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log" sheetId="1" r:id="rId4"/>
    <sheet state="visible" name="Main Anthologys" sheetId="2" r:id="rId5"/>
    <sheet state="visible" name="Completed Games" sheetId="3" r:id="rId6"/>
    <sheet state="visible" name="Game Rate" sheetId="4" r:id="rId7"/>
    <sheet state="visible" name="Forcast chart" sheetId="5" r:id="rId8"/>
  </sheets>
  <definedNames>
    <definedName hidden="1" localSheetId="0" name="_xlnm._FilterDatabase">Backlog!$A$1:$M$342</definedName>
    <definedName hidden="1" localSheetId="1" name="_xlnm._FilterDatabase">'Main Anthologys'!$A$1:$J$65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295">
      <text>
        <t xml:space="preserve">Any Game Bought before this date I will have to manually update
	-harry clark</t>
      </text>
    </comment>
  </commentList>
</comments>
</file>

<file path=xl/sharedStrings.xml><?xml version="1.0" encoding="utf-8"?>
<sst xmlns="http://schemas.openxmlformats.org/spreadsheetml/2006/main" count="2658" uniqueCount="493">
  <si>
    <t>Game</t>
  </si>
  <si>
    <t>Estimated
completion time</t>
  </si>
  <si>
    <t>Estimated
Days</t>
  </si>
  <si>
    <t>Genre</t>
  </si>
  <si>
    <t>Play stautus</t>
  </si>
  <si>
    <t>Drop In/Out</t>
  </si>
  <si>
    <t>Date
Purchased</t>
  </si>
  <si>
    <t>Cost</t>
  </si>
  <si>
    <t>Rate
Cost/play time £ph</t>
  </si>
  <si>
    <t>Year</t>
  </si>
  <si>
    <t>Sum of Games</t>
  </si>
  <si>
    <t>Platform</t>
  </si>
  <si>
    <t>Current Game
Rate</t>
  </si>
  <si>
    <t>Total War: SHOGUN 2</t>
  </si>
  <si>
    <t>Grand Strategy</t>
  </si>
  <si>
    <t>Yes</t>
  </si>
  <si>
    <t>STEAM</t>
  </si>
  <si>
    <t>Assassin's Creed II</t>
  </si>
  <si>
    <t>Action &amp;
Adventure</t>
  </si>
  <si>
    <t>Compleat</t>
  </si>
  <si>
    <t>No</t>
  </si>
  <si>
    <t>Uplay</t>
  </si>
  <si>
    <t>Assassin's Creed Brotherhood</t>
  </si>
  <si>
    <t>The Elder Scrolls V: Skyrim</t>
  </si>
  <si>
    <t>Action
RPG</t>
  </si>
  <si>
    <t>Assassin's Creed Revelations</t>
  </si>
  <si>
    <t>Aliens versus Predator Classic 2000</t>
  </si>
  <si>
    <t>FPS</t>
  </si>
  <si>
    <t>LEGO® Star Wars™: The Complete Saga</t>
  </si>
  <si>
    <t>Lego</t>
  </si>
  <si>
    <t>Space Pirates and Zombies</t>
  </si>
  <si>
    <t>Total War: NAPOLEON - Definitive Edition</t>
  </si>
  <si>
    <t>STAR WARS™ Republic Commando</t>
  </si>
  <si>
    <t>Age of Empires® III (2007)</t>
  </si>
  <si>
    <t>RTS</t>
  </si>
  <si>
    <t>BioShock 2 Remastered</t>
  </si>
  <si>
    <t>BioShock Remastered</t>
  </si>
  <si>
    <t>Dead Space (2008)</t>
  </si>
  <si>
    <t>Survival Horror</t>
  </si>
  <si>
    <t>EA</t>
  </si>
  <si>
    <t>Dead Space 2</t>
  </si>
  <si>
    <t>Batman: Arkham Asylum GOTY Edition</t>
  </si>
  <si>
    <t>Beat em Up</t>
  </si>
  <si>
    <t>The Basement Collection</t>
  </si>
  <si>
    <t>Platfom</t>
  </si>
  <si>
    <t>Batman: Arkham City GOTY</t>
  </si>
  <si>
    <t>Assassin's Creed III Remastered</t>
  </si>
  <si>
    <t>The Elder Scrolls III: Morrowind</t>
  </si>
  <si>
    <t>Dishonored</t>
  </si>
  <si>
    <t>Stealth</t>
  </si>
  <si>
    <t>The Elder Scrolls IV: Oblivion</t>
  </si>
  <si>
    <t>Kingdom Come: Deliverance</t>
  </si>
  <si>
    <t>Portal</t>
  </si>
  <si>
    <t>Puzzle</t>
  </si>
  <si>
    <t>Portal 2</t>
  </si>
  <si>
    <t>Portal Reloaded</t>
  </si>
  <si>
    <t>Portal Stories: Mel</t>
  </si>
  <si>
    <t>Half-Life</t>
  </si>
  <si>
    <t>Half-Life 2</t>
  </si>
  <si>
    <t>Half-Life 2: Deathmatch</t>
  </si>
  <si>
    <t>Half-Life 2: Episode One</t>
  </si>
  <si>
    <t>Half-Life 2: Episode Two</t>
  </si>
  <si>
    <t>Half-Life 2: Lost Coast</t>
  </si>
  <si>
    <t>Half-Life: Blue Shift</t>
  </si>
  <si>
    <t>Half-Life: Opposing Force</t>
  </si>
  <si>
    <t>Half-Life: Source</t>
  </si>
  <si>
    <t>The 39 Steps</t>
  </si>
  <si>
    <t>Adventure</t>
  </si>
  <si>
    <t>Frozen Cortex</t>
  </si>
  <si>
    <t>Sports</t>
  </si>
  <si>
    <t>Aliens vs. Predator</t>
  </si>
  <si>
    <t>Hydrophobia: Prophecy</t>
  </si>
  <si>
    <t>LEGO® Batman™ 2: DC Super Heroes</t>
  </si>
  <si>
    <t>LEGO® Batman™: The Videogame</t>
  </si>
  <si>
    <t>Borderlands 2</t>
  </si>
  <si>
    <t>Borderlands GOTY</t>
  </si>
  <si>
    <t>Mass Effect (2007)</t>
  </si>
  <si>
    <t>Mass Effect 2</t>
  </si>
  <si>
    <t>Poker Night 2</t>
  </si>
  <si>
    <t>ENDLESS™ Space - Definitive Edition</t>
  </si>
  <si>
    <t>Warhammer 40,000: Space Marine - Anniversary Edition</t>
  </si>
  <si>
    <t>TPS</t>
  </si>
  <si>
    <t>System Shock 2</t>
  </si>
  <si>
    <t>Batman™: Arkham Origins</t>
  </si>
  <si>
    <t>Mass Effect 3</t>
  </si>
  <si>
    <t>Mirror's Edge</t>
  </si>
  <si>
    <t>Crysis</t>
  </si>
  <si>
    <t>Crysis 2 Maximum Edition</t>
  </si>
  <si>
    <t>Crysis Warhead</t>
  </si>
  <si>
    <t>1953 - KGB Unleashed</t>
  </si>
  <si>
    <t>BioShock Infinite</t>
  </si>
  <si>
    <t>Sanctum 2</t>
  </si>
  <si>
    <t>Deus Ex: Game of the Year Edition</t>
  </si>
  <si>
    <t>Deus Ex: Human Revolution - Director's Cut</t>
  </si>
  <si>
    <t>Fallout 3 - Game of the Year Edition</t>
  </si>
  <si>
    <t>Imperium Romanum: Gold Edition</t>
  </si>
  <si>
    <t>Strategy</t>
  </si>
  <si>
    <t>Tropico</t>
  </si>
  <si>
    <t>Tropico 2: Pirate Cove</t>
  </si>
  <si>
    <t>Tropico 3 - Steam Special Edition</t>
  </si>
  <si>
    <t>Tropico 3: Absolute Power</t>
  </si>
  <si>
    <t>Deus Ex: The Fall</t>
  </si>
  <si>
    <t>ACE COMBAT™ ASSAULT HORIZON Enhanced Edition</t>
  </si>
  <si>
    <t>Arcade</t>
  </si>
  <si>
    <t>Sanctum</t>
  </si>
  <si>
    <t>STAR WARS™: Knights of the Old Republic™</t>
  </si>
  <si>
    <t>Asassins creed IV: black flag</t>
  </si>
  <si>
    <t>Dead Space 3</t>
  </si>
  <si>
    <t>Darksiders II Deathinitive Edition</t>
  </si>
  <si>
    <t>Hack and Slash</t>
  </si>
  <si>
    <t>Darksiders Warmastered Edition</t>
  </si>
  <si>
    <t>DARK SOULS™: Prepare To Die Edition</t>
  </si>
  <si>
    <t>Warhammer 40,000: Kill Team</t>
  </si>
  <si>
    <t>Far Cry® 3</t>
  </si>
  <si>
    <t>The Witcher 2: Assassins of Kings Enhanced Edition</t>
  </si>
  <si>
    <t>The Witcher: Enhanced Edition</t>
  </si>
  <si>
    <t>Age of Empires II (2013)</t>
  </si>
  <si>
    <t>Sid Meier's Civilization V</t>
  </si>
  <si>
    <t>Call of Juarez Gunslinger</t>
  </si>
  <si>
    <t>Far Cry® 3 Blood Dragon</t>
  </si>
  <si>
    <t>South Park™: The Stick of Truth™</t>
  </si>
  <si>
    <t>Call of Duty: World at War</t>
  </si>
  <si>
    <t>Contrast</t>
  </si>
  <si>
    <t>Alien: Isolation</t>
  </si>
  <si>
    <t>Aliens: Colonial Marines</t>
  </si>
  <si>
    <t>Borderlands: The Pre-Sequel</t>
  </si>
  <si>
    <t>Unepic</t>
  </si>
  <si>
    <t>Torchlight II</t>
  </si>
  <si>
    <t>Dragon Age: Origins - Ultimate Edition</t>
  </si>
  <si>
    <t>Assassin's Creed Liberation</t>
  </si>
  <si>
    <t>Injustice: Gods Among Us Ultimate Edition</t>
  </si>
  <si>
    <t>Stronghold Crusader Extreme HD</t>
  </si>
  <si>
    <t>Bace Builder</t>
  </si>
  <si>
    <t>Stronghold Crusader HD</t>
  </si>
  <si>
    <t>Stronghold HD</t>
  </si>
  <si>
    <t>Dishonored 2</t>
  </si>
  <si>
    <t>Tom Clancy's Rainbow Six: Vegas 2</t>
  </si>
  <si>
    <t>LEGO® Batman™ 3: Beyond Gotham</t>
  </si>
  <si>
    <t>Hammerwatch</t>
  </si>
  <si>
    <t>Wolfenstein: The New Order</t>
  </si>
  <si>
    <t>The Witcher 3: Wild Hunt</t>
  </si>
  <si>
    <t>Battlefleet Gothic: Armada</t>
  </si>
  <si>
    <t>Mirror's Edge: Catalyst</t>
  </si>
  <si>
    <t>Fallout: New Vegas</t>
  </si>
  <si>
    <t>Middle-earth™: Shadow of Mordor™</t>
  </si>
  <si>
    <t>Dragon Age™ Inquisition – Game of the Year Edition</t>
  </si>
  <si>
    <t>Dragon Age II: Ultimate Edition</t>
  </si>
  <si>
    <t>Brütal Legend</t>
  </si>
  <si>
    <t>Fallout 4</t>
  </si>
  <si>
    <t>Rise of the Tomb Raider</t>
  </si>
  <si>
    <t>Crysis 3</t>
  </si>
  <si>
    <t>Mass effect Andromida</t>
  </si>
  <si>
    <t>STAR WARS™ Episode I Racer</t>
  </si>
  <si>
    <t>Racing</t>
  </si>
  <si>
    <t>STAR WARS™: Shadows of the Empire</t>
  </si>
  <si>
    <t>Prey</t>
  </si>
  <si>
    <t>Batman™: Arkham Knight</t>
  </si>
  <si>
    <t>FTL: Faster Than Light</t>
  </si>
  <si>
    <t>Space Sim</t>
  </si>
  <si>
    <t>Thief</t>
  </si>
  <si>
    <t>Thief Gold</t>
  </si>
  <si>
    <t>Thief: Deadly Shadows</t>
  </si>
  <si>
    <t>Thief™ II: The Metal Age</t>
  </si>
  <si>
    <t>Dying Light</t>
  </si>
  <si>
    <t>Bayonetta</t>
  </si>
  <si>
    <t>E.Y.E: Divine Cybermancy</t>
  </si>
  <si>
    <t>Grim Dawn</t>
  </si>
  <si>
    <t>Torchlight</t>
  </si>
  <si>
    <t>Sins of a Solar Empire: Rebellion</t>
  </si>
  <si>
    <t>Sid Meier's Civilization: Beyond Earth</t>
  </si>
  <si>
    <t>Shadow Warrior Classic (1997)</t>
  </si>
  <si>
    <t>Shadow Warrior Classic Redux</t>
  </si>
  <si>
    <t>Total War: ATTILA</t>
  </si>
  <si>
    <t>Total War: MEDIEVAL II - Definitive Edition</t>
  </si>
  <si>
    <t>Total War: ROME II - Emperor Edition</t>
  </si>
  <si>
    <t>STAR WARS™ Jedi Knight II: Jedi Outcast™</t>
  </si>
  <si>
    <t>STAR WARS™ Jedi Knight: Dark Forces II</t>
  </si>
  <si>
    <t>STAR WARS™ Jedi Knight: Jedi Academy™</t>
  </si>
  <si>
    <t>STAR WARS™ Jedi Knight: Mysteries of the Sith™</t>
  </si>
  <si>
    <t>STAR WARS™ Knights of the Old Republic™ II: The Sith Lords™</t>
  </si>
  <si>
    <t>STAR WARS™: Dark Forces</t>
  </si>
  <si>
    <t>STAR WARS™: Rogue Squadron 3D</t>
  </si>
  <si>
    <t>STAR WARS™ Empire at War: Gold Pack</t>
  </si>
  <si>
    <t>STAR WARS™ Galactic Battlegrounds Saga</t>
  </si>
  <si>
    <t>STAR WARS™ Starfighter™</t>
  </si>
  <si>
    <t>STAR WARS™ X-Wing vs TIE Fighter: Balance of Power Campaigns™</t>
  </si>
  <si>
    <t>STAR WARS™: The Force Unleashed™ II</t>
  </si>
  <si>
    <t>STAR WARS™: The Force Unleashed™ Ultimate Sith Edition</t>
  </si>
  <si>
    <t>STAR WARS™: TIE Fighter Special Edition</t>
  </si>
  <si>
    <t>STAR WARS™: X-Wing Alliance™</t>
  </si>
  <si>
    <t>STAR WARS™: X-Wing Special Edition</t>
  </si>
  <si>
    <t>Black Mesa</t>
  </si>
  <si>
    <t>Dishonored®: Death of the Outsider™</t>
  </si>
  <si>
    <t>LIGHTNING RETURNS: FINAL FANTASY XIII</t>
  </si>
  <si>
    <t>JRPG</t>
  </si>
  <si>
    <t>Tom Clancy's Rainbow Six: Vegas</t>
  </si>
  <si>
    <t>Warhammer 40,000: Dawn of War - Dark Crusade</t>
  </si>
  <si>
    <t>Warhammer 40,000: Dawn of War - Game of the Year Edition</t>
  </si>
  <si>
    <t>Warhammer 40,000: Dawn of War - Soulstorm</t>
  </si>
  <si>
    <t>Warhammer 40,000: Dawn of War - Winter Assault</t>
  </si>
  <si>
    <t>Beyond Divinity</t>
  </si>
  <si>
    <t>CRPG</t>
  </si>
  <si>
    <t>Beyond Good &amp; Evil</t>
  </si>
  <si>
    <t>Brothers in Arms: Earned in Blood</t>
  </si>
  <si>
    <t>Medal of Honor: Airborne</t>
  </si>
  <si>
    <t>Metro 2033 Redux</t>
  </si>
  <si>
    <t>Metro: Last Light Redux</t>
  </si>
  <si>
    <t>Mount &amp; Blade</t>
  </si>
  <si>
    <t>SandBox</t>
  </si>
  <si>
    <t>Mount &amp; Blade: Warband</t>
  </si>
  <si>
    <t>Mount &amp; Blade: With Fire and Sword</t>
  </si>
  <si>
    <t>System Shock: Enhanced Edition</t>
  </si>
  <si>
    <t>Brothers in Arms: Hell's Highway</t>
  </si>
  <si>
    <t>Brothers in Arms: Road to Hill 30</t>
  </si>
  <si>
    <t>Deus Ex: Mankind Divided™</t>
  </si>
  <si>
    <t>NieR:Automata™</t>
  </si>
  <si>
    <t>The Turing Test</t>
  </si>
  <si>
    <t>Phoning Home</t>
  </si>
  <si>
    <t>The Talos Principle</t>
  </si>
  <si>
    <t>The Bureau: XCOM Declassified</t>
  </si>
  <si>
    <t>STAR WARS™ Battlefront (Classic, 2004)</t>
  </si>
  <si>
    <t>Oddworld: Abe's Exoddus</t>
  </si>
  <si>
    <t>Oddworld: Abe's Oddysee</t>
  </si>
  <si>
    <t>Oddworld: New 'n' Tasty</t>
  </si>
  <si>
    <t>Rain World</t>
  </si>
  <si>
    <t>Shadow Warrior 2</t>
  </si>
  <si>
    <t>Space Pirates and Zombies 2</t>
  </si>
  <si>
    <t>Shadow Warrior</t>
  </si>
  <si>
    <t>Viscera Cleanup Detail: Shadow Warrior</t>
  </si>
  <si>
    <t>Sim</t>
  </si>
  <si>
    <t>Spec Ops: The Line</t>
  </si>
  <si>
    <t>Grim Fandango Remastered</t>
  </si>
  <si>
    <t>Pnt &amp;
Click</t>
  </si>
  <si>
    <t>Fallout</t>
  </si>
  <si>
    <t>Fallout 2</t>
  </si>
  <si>
    <t>Fallout Tactics</t>
  </si>
  <si>
    <t>Hollow Knight</t>
  </si>
  <si>
    <t>Pillars of Eternity</t>
  </si>
  <si>
    <t>Saints Row 2</t>
  </si>
  <si>
    <t>Saints Row IV</t>
  </si>
  <si>
    <t>Saints Row: Gat out of Hell</t>
  </si>
  <si>
    <t>Saints Row: The Third</t>
  </si>
  <si>
    <t>Final Fantasy III (3D Remake)</t>
  </si>
  <si>
    <t>Final Fantasy IV (3D Remake)</t>
  </si>
  <si>
    <t>FINAL FANTASY IV: THE AFTER YEARS</t>
  </si>
  <si>
    <t>FINAL FANTASY IX</t>
  </si>
  <si>
    <t>FINAL FANTASY V</t>
  </si>
  <si>
    <t>FINAL FANTASY VI</t>
  </si>
  <si>
    <t>FINAL FANTASY VII</t>
  </si>
  <si>
    <t>FINAL FANTASY VIII</t>
  </si>
  <si>
    <t>Ryse: Son of Rome</t>
  </si>
  <si>
    <t>Tomb Raider</t>
  </si>
  <si>
    <t>Tomb Raider (VI): The Angel of Darkness</t>
  </si>
  <si>
    <t>Tomb Raider I</t>
  </si>
  <si>
    <t>Tomb Raider II</t>
  </si>
  <si>
    <t>Tomb Raider III: Adventures of Lara Croft</t>
  </si>
  <si>
    <t>Tomb Raider: Anniversary</t>
  </si>
  <si>
    <t>Tomb Raider: Chronicles</t>
  </si>
  <si>
    <t>Tomb Raider: Legend</t>
  </si>
  <si>
    <t>Tomb Raider: The Last Revelation</t>
  </si>
  <si>
    <t>Tomb Raider: Underworld</t>
  </si>
  <si>
    <t>Pillars of Eternity II: Deadfire</t>
  </si>
  <si>
    <t>Dragon's Dogma: Dark Arisen</t>
  </si>
  <si>
    <t>Iron Sky Invasion</t>
  </si>
  <si>
    <t>Risen</t>
  </si>
  <si>
    <t>Risen 2 - Dark Waters</t>
  </si>
  <si>
    <t>Risen 3 - Titan Lords</t>
  </si>
  <si>
    <t>Hellblade: Senua's Sacrifice</t>
  </si>
  <si>
    <t>Hidden &amp; Dangerous 2: Courage Under Fire</t>
  </si>
  <si>
    <t>Hidden &amp; Dangerous: Action Pack</t>
  </si>
  <si>
    <t>Subnautica</t>
  </si>
  <si>
    <t>Vampire: The Masquerade - Bloodlines</t>
  </si>
  <si>
    <t>Tyranny</t>
  </si>
  <si>
    <t>FINAL FANTASY TYPE-0 HD</t>
  </si>
  <si>
    <t>FINAL FANTASY X/X-2 HD Remaster</t>
  </si>
  <si>
    <t>FINAL FANTASY XII THE ZODIAC AGE</t>
  </si>
  <si>
    <t>FINAL FANTASY XIII</t>
  </si>
  <si>
    <t>FINAL FANTASY XIII-2</t>
  </si>
  <si>
    <t>FINAL FANTASY XV WINDOWS EDITION</t>
  </si>
  <si>
    <t>Zeus + Poseidon</t>
  </si>
  <si>
    <t>Arcanum</t>
  </si>
  <si>
    <t>Pharaoh + Cleopatra</t>
  </si>
  <si>
    <t>Planescape: Torment: Enhanced Edition</t>
  </si>
  <si>
    <t>The Age of Decadence</t>
  </si>
  <si>
    <t>LEGO® DC Super-Villains</t>
  </si>
  <si>
    <t>LEGO® MARVEL Super Heroes</t>
  </si>
  <si>
    <t>LEGO® MARVEL Super Heroes 2</t>
  </si>
  <si>
    <t>Sins of a Solar Empire: Trinity</t>
  </si>
  <si>
    <t>Assasins creed Unity</t>
  </si>
  <si>
    <t>Star Wars: Battlefront 2 (Classic, 2005)</t>
  </si>
  <si>
    <t>Warhammer 40,000: Dawn of War II</t>
  </si>
  <si>
    <t>Warhammer 40,000: Dawn of War II - Chaos Rising</t>
  </si>
  <si>
    <t>Warhammer 40,000: Dawn of War II - Retribution</t>
  </si>
  <si>
    <t>Warhammer 40,000: Dawn of War III</t>
  </si>
  <si>
    <t>CODE VEIN</t>
  </si>
  <si>
    <t>Soulslike</t>
  </si>
  <si>
    <t>MEDIEVAL: Total War™ - Gold Edition</t>
  </si>
  <si>
    <t>SHOGUN: Total War™ - Collection</t>
  </si>
  <si>
    <t>Rome: Total War</t>
  </si>
  <si>
    <t>Rome: Total War - Alexander</t>
  </si>
  <si>
    <t>Divine Divinity</t>
  </si>
  <si>
    <t>Divinity II: Developer's Cut</t>
  </si>
  <si>
    <t>Divinity: Original Sin 2</t>
  </si>
  <si>
    <t>Divinity: Original Sin Enhanced Edition</t>
  </si>
  <si>
    <t>Extinction</t>
  </si>
  <si>
    <t>Strange Brigade</t>
  </si>
  <si>
    <t>Age of Mythology: Extended Edition</t>
  </si>
  <si>
    <t>Call of Duty</t>
  </si>
  <si>
    <t>Call of Duty 2</t>
  </si>
  <si>
    <t>Call of Duty: United Offensive</t>
  </si>
  <si>
    <t>Garfield Kart</t>
  </si>
  <si>
    <t>GOD EATER 2 Rage Burst</t>
  </si>
  <si>
    <t>GOD EATER RESURRECTION</t>
  </si>
  <si>
    <t>Tower of Time</t>
  </si>
  <si>
    <t>RAGE</t>
  </si>
  <si>
    <t>Baldur's Gate II: Enhanced Edition</t>
  </si>
  <si>
    <t>Baldur's Gate: Enhanced Edition</t>
  </si>
  <si>
    <t>Pathfinder: Kingmaker</t>
  </si>
  <si>
    <t>Cyberpunk 2077</t>
  </si>
  <si>
    <t>Assassin's Creed Odyssey</t>
  </si>
  <si>
    <t>Assassin's Creed Origins</t>
  </si>
  <si>
    <t>Metro Exodus</t>
  </si>
  <si>
    <t>STAR WARS™: Squadrons</t>
  </si>
  <si>
    <t>Halo 4</t>
  </si>
  <si>
    <t>Halo: Combat Evolved Anniversary</t>
  </si>
  <si>
    <t>Halo 2: Anniversary</t>
  </si>
  <si>
    <t>Halo: Reach</t>
  </si>
  <si>
    <t>Halo 3</t>
  </si>
  <si>
    <t>Halo 3: ODST</t>
  </si>
  <si>
    <t>STAR WARS Jedi: Fallen Order™</t>
  </si>
  <si>
    <t>Terminator: Resistance</t>
  </si>
  <si>
    <t>The Elder Scrolls II: Daggerfall</t>
  </si>
  <si>
    <t>The Elder Scrolls: Arena</t>
  </si>
  <si>
    <t>Borderlands 3</t>
  </si>
  <si>
    <t>Cloudpunk</t>
  </si>
  <si>
    <t>Neverwinter Nights: Enhanced Edition</t>
  </si>
  <si>
    <t>Shadow of the Tomb Raider</t>
  </si>
  <si>
    <t>NieR Replicant ver.1.22474487139...</t>
  </si>
  <si>
    <t>Ghostrunner</t>
  </si>
  <si>
    <t>GOD EATER 3</t>
  </si>
  <si>
    <t>Sherlock Holmes: The Devil's Daughter</t>
  </si>
  <si>
    <t>EPIC GAMES</t>
  </si>
  <si>
    <t>FINAL FANTASY VII REMAKE INTERGRADE</t>
  </si>
  <si>
    <t>Assassin's Creed</t>
  </si>
  <si>
    <t>Marvel's Guardians of the Galaxy</t>
  </si>
  <si>
    <t>Battlefleet Gothic: Armada 2</t>
  </si>
  <si>
    <t>Middle-earth™: Shadow of War™</t>
  </si>
  <si>
    <t>Persona 4 Golden</t>
  </si>
  <si>
    <t>S.T.A.L.K.E.R.: Call of Pripyat</t>
  </si>
  <si>
    <t>S.T.A.L.K.E.R.: Clear Sky</t>
  </si>
  <si>
    <t>S.T.A.L.K.E.R.: Shadow of Chernobyl</t>
  </si>
  <si>
    <t>The Outer Worlds</t>
  </si>
  <si>
    <t>Vampire: The Masquerade - Redemption</t>
  </si>
  <si>
    <t>Sekiro™: Shadows Die Twice</t>
  </si>
  <si>
    <t>ANNO: Mutationem</t>
  </si>
  <si>
    <t>2.5D</t>
  </si>
  <si>
    <t>Ghostwire: Tokyo</t>
  </si>
  <si>
    <t>Stray</t>
  </si>
  <si>
    <t>Marvel’s Spider-Man Remastered</t>
  </si>
  <si>
    <t>Steelrising</t>
  </si>
  <si>
    <t>Soulstice</t>
  </si>
  <si>
    <t>Persona 5 Royal</t>
  </si>
  <si>
    <t>CRISIS CORE –FINAL FANTASY VII– REUNION</t>
  </si>
  <si>
    <t>Catherine Classic</t>
  </si>
  <si>
    <t>Persona 3 Portable</t>
  </si>
  <si>
    <t>Persona 5 Strikers</t>
  </si>
  <si>
    <t>Hogwarts Legacy</t>
  </si>
  <si>
    <t>Atomic Heart</t>
  </si>
  <si>
    <t xml:space="preserve">FPS </t>
  </si>
  <si>
    <t>Resident Evil</t>
  </si>
  <si>
    <t>SIGNALIS</t>
  </si>
  <si>
    <t>Resident Evil 0</t>
  </si>
  <si>
    <t>Resident Evil 2</t>
  </si>
  <si>
    <t>Resident Evil 3</t>
  </si>
  <si>
    <t>resident evil 4 (2005)</t>
  </si>
  <si>
    <t>Resident Evil 5</t>
  </si>
  <si>
    <t>Resident Evil 6</t>
  </si>
  <si>
    <t>Resident Evil 7 Biohazard</t>
  </si>
  <si>
    <t>Resident Evil Revelations</t>
  </si>
  <si>
    <t>Resident Evil Revelations 2</t>
  </si>
  <si>
    <t>Resident Evil Village</t>
  </si>
  <si>
    <t>STAR WARS Jedi: Survivor™</t>
  </si>
  <si>
    <t>Warhammer 40,000: BoltGun</t>
  </si>
  <si>
    <t>GRIS</t>
  </si>
  <si>
    <t xml:space="preserve">GreedFall  Gold Edition </t>
  </si>
  <si>
    <t>Starfield</t>
  </si>
  <si>
    <t>Lies of P</t>
  </si>
  <si>
    <t>Persona 5 Tactica</t>
  </si>
  <si>
    <t>Tactical RPG</t>
  </si>
  <si>
    <t>Warhammer 40,000: Rogue Trader</t>
  </si>
  <si>
    <t>Current
Game rate</t>
  </si>
  <si>
    <t>Compleated
Game Rate</t>
  </si>
  <si>
    <t>Compleated
Days</t>
  </si>
  <si>
    <t>Compleated
Hr</t>
  </si>
  <si>
    <t>Anthology</t>
  </si>
  <si>
    <t>Star Wars</t>
  </si>
  <si>
    <t>Final Fantasy</t>
  </si>
  <si>
    <r>
      <rPr>
        <rFont val="Roboto"/>
        <b/>
        <color rgb="FF000000"/>
        <sz val="10.0"/>
      </rPr>
      <t>Table name</t>
    </r>
    <r>
      <rPr>
        <rFont val="Roboto"/>
        <b val="0"/>
        <color rgb="FF000000"/>
        <sz val="10.0"/>
      </rPr>
      <t>: Completed Games</t>
    </r>
    <r>
      <rPr>
        <rFont val="Roboto"/>
        <b/>
        <color rgb="FF000000"/>
        <sz val="10.0"/>
      </rPr>
      <t xml:space="preserve"> Last updated</t>
    </r>
    <r>
      <rPr>
        <rFont val="Roboto"/>
        <b val="0"/>
        <color rgb="FF000000"/>
        <sz val="10.0"/>
      </rPr>
      <t>: Dec 12, 2023 1:13 AM</t>
    </r>
  </si>
  <si>
    <t>Date_Purchased</t>
  </si>
  <si>
    <t>start</t>
  </si>
  <si>
    <t>Finish</t>
  </si>
  <si>
    <t>How_long_to_in_days</t>
  </si>
  <si>
    <t>Duration</t>
  </si>
  <si>
    <t>Game_rate__hours_days</t>
  </si>
  <si>
    <t>Cost__New_AAA__Only</t>
  </si>
  <si>
    <t>Rate_Cost_play_time___ph</t>
  </si>
  <si>
    <t>Cheated</t>
  </si>
  <si>
    <t>Great_On_Steam_Deck</t>
  </si>
  <si>
    <t>Difficulty</t>
  </si>
  <si>
    <t>Main_Genre</t>
  </si>
  <si>
    <t>New__Unplayed__or_Replay_</t>
  </si>
  <si>
    <t>compleat_status</t>
  </si>
  <si>
    <t>Replay_Priority</t>
  </si>
  <si>
    <t>Has_NG_</t>
  </si>
  <si>
    <t>Vido_game__equivalito_of__comfort_food</t>
  </si>
  <si>
    <t>Notes</t>
  </si>
  <si>
    <t>Hard</t>
  </si>
  <si>
    <t>Replay</t>
  </si>
  <si>
    <t>Medium</t>
  </si>
  <si>
    <t>Unplayed</t>
  </si>
  <si>
    <t>-5 days for coz at fringe (all ready adjusted)</t>
  </si>
  <si>
    <t>Normal</t>
  </si>
  <si>
    <t>Low</t>
  </si>
  <si>
    <t>High</t>
  </si>
  <si>
    <t>next time install the + patch tgmed at the end</t>
  </si>
  <si>
    <t>Easy</t>
  </si>
  <si>
    <t>Playable</t>
  </si>
  <si>
    <t>50/50</t>
  </si>
  <si>
    <t>there is replay but ch8 is the point of no return until the end of the game but then there is free roming at the end</t>
  </si>
  <si>
    <t>Do not kill choin until fort folic. Replay infiante fierst</t>
  </si>
  <si>
    <t>Replay infinite first</t>
  </si>
  <si>
    <t>Dropped difficulty during lady Comstocks 
Boss battle to easy and did not reset&lt;------ I feel like a twat
next time replay this first then Bioshock then bioshock 2</t>
  </si>
  <si>
    <t>New Game</t>
  </si>
  <si>
    <t>Missed battle simes and manuscripts tons of fun Played over holiday</t>
  </si>
  <si>
    <t>has ng+ played over an insanely good game</t>
  </si>
  <si>
    <t>Normal=easy 10 missons</t>
  </si>
  <si>
    <t>Order= easy disoder = hard</t>
  </si>
  <si>
    <t>sargent = normal</t>
  </si>
  <si>
    <t>normal</t>
  </si>
  <si>
    <t>Uncompleat</t>
  </si>
  <si>
    <t>unfinished gave up not that great of a game
"Casual"</t>
  </si>
  <si>
    <t>Defult</t>
  </si>
  <si>
    <t>Use ergonomic controller
unfinished gave up 2nd boss fight too difficult, really fucking hard, unforgiving</t>
  </si>
  <si>
    <t>fun game did get a bit fatigued tho close to the end</t>
  </si>
  <si>
    <t>hard + suervival mode next time play on nightmare</t>
  </si>
  <si>
    <t>Played on god mode unejoably challenging</t>
  </si>
  <si>
    <t>next time play on true west</t>
  </si>
  <si>
    <t>Next time play on Tatari mode, Tatari difficulty means no XP for some reason
Game Pics see drop box kk case files gives xp. see STEAM streen caps for side objectives locations
Dropped difficulty during bosses</t>
  </si>
  <si>
    <t>Did not fin, depressed, will try again 11/03/22, (13/04/22) to 17/03/22, (15/04/22)</t>
  </si>
  <si>
    <t>Vary Hard</t>
  </si>
  <si>
    <t>TGM,ed at the end g0od fun Explorer perk reveals all locations at LV 20
Next time play with tale of two weaistland mod https://taleoftwowastelands.com/viewforum.php?f=47</t>
  </si>
  <si>
    <t>VAry punishing droped to easy 87% main 100% elf 0% bormoirm?</t>
  </si>
  <si>
    <t>The combat was Meh but the story was aswsome,
I cryed at the end, I have no Frends, talk to adachi more. Yu Narukami</t>
  </si>
  <si>
    <t>Maeh but replayeble for 100% tho best done with frends</t>
  </si>
  <si>
    <t>Staggered, Not supper fun will not get next game
09/07/22, (29/07/22), (04/09/22) to 20/07/22, (12/08/22), (06/09/22) I think I should youse cheats if I striggl next time
I need to prebuff befor battles and skeliton spaming spells as well</t>
  </si>
  <si>
    <t>replay to get 100%</t>
  </si>
  <si>
    <t>compleat 83% gankie and traffic actvitys are lame</t>
  </si>
  <si>
    <t>dlc PT 3 last mission is on the sable carrier ship fin side shit before hand, was at frindg
https://www.nexusmods.com/marvelsspidermanremastered/mods/1268 spider gwen mod
https://www.nexusmods.com/marvelsspidermanremastered/mods/1798 gwenome</t>
  </si>
  <si>
    <t>Yeah easy solulsborn but chilling tobe intresting</t>
  </si>
  <si>
    <t>I had to cheat closer to the end and with the barthadious boss battle because they where fucking hard and I was not enjoying the game, the story was decent 07/09/22 (23/09/22) to 12/09/22 (21/10/22)</t>
  </si>
  <si>
    <t>Okumar boss is super difficult . did not unlock golden will do in 2024 if the world is still alive and kickcing :) will play strikers in 23 tho
talk to the counter, aketchi, and Kasumi to unlock the 3rd semester and don't sellout your friends. Ren Amamiya 21/10/22 (28/12/22) to 05/12/22 (31/12/22)</t>
  </si>
  <si>
    <t>Difficutly spikes all over the place</t>
  </si>
  <si>
    <t>Aertis</t>
  </si>
  <si>
    <t>stimes do not carry over</t>
  </si>
  <si>
    <t>Ubisoft at its finest 13/01/22 (11/03/22) to 19/01/23 (15/03/23)</t>
  </si>
  <si>
    <t>170-263 cheated off Not enjoying the Game loop it did have a quaint jank tho
The Final boss Nyx is a total wank of a battle
Probably wont replay but defo play the remake the tec jank was endearing the gameplay was way too repetitive Shiped yuki
Started at 12:00 am and Fined at 01:47am 15/03/23 - 26/03/23 2nd jump</t>
  </si>
  <si>
    <t>Last Boss lv 35 lv cap 40 68% compleat next time full array of potions for last boss
Challenges Combat 77% Quest 98% Exloration 45% Feild gide 90% Room of Rquerment 31%
Last 2 side mission are OWLEs and rquerier 100%
27/03/23 to 02/04/23 2nd jump</t>
  </si>
  <si>
    <t>Played in russion language poly gon 1,2,6,8,10 done 1-12
The DLC was a bit tricky it kindy througs you in to it. I should replay the game when the last DLC is relecaed </t>
  </si>
  <si>
    <t>Super repetitive, powered through the last two missions.</t>
  </si>
  <si>
    <t>There where a couple of holiday where I did not get any game play</t>
  </si>
  <si>
    <t>For the last 3 Boss Battles I did drop the difficlty to Story mode, the power of cheese compells me with a couple of the battles.</t>
  </si>
  <si>
    <t>Difficult on Hear will replay on easy
Was sick and did not enjoy</t>
  </si>
  <si>
    <t>Had to cheat during the boss fights
Okay Focus on the main missions, as a priority the side missions can be complated along the
That is how you can stop the count down clock
(14/05/23-20/05/23)
(02/06/23-12/06/23)</t>
  </si>
  <si>
    <t>Continuous</t>
  </si>
  <si>
    <t>Italy, Egipt, Europe campaine, If I compleat the Europe campaine
I did save scum it a bit with the prussian campine and bailed on the British Panicular campine</t>
  </si>
  <si>
    <t>Complated on exterminatus</t>
  </si>
  <si>
    <t>- Next time play on Nightmare
- NExtime bring a rogue or trapps expert for end battle
- Dennerime tavern good for distallators and concentatios in potion making
- Sigri and Ororin did not have a good ending look up how to get a good ending nextime Awakening
- Kinda regret not puting ther game streches</t>
  </si>
  <si>
    <t>On the 5th level "use round multiplyer" agansed the ranged nids </t>
  </si>
  <si>
    <t>A bit too fast paced for my liking also if you delet the game the save file gets delated</t>
  </si>
  <si>
    <t>the missions where not supper cohesive and I think I relayed a bit too much on the rubber band effect</t>
  </si>
  <si>
    <t>Puzzles makes Harry's brain go burr. 
I got the "Promice ending" Next time look up how to get the artifact ending
Mine Drill boss wait untill she is on her knees and chouging then shoot here the targatinge renticals will give you the green light.</t>
  </si>
  <si>
    <t>01/09/23        14/09/23
23/09/23        26/09/23
07/10/23        09/10/23
https://www.nexusmods.com/starfield/mods/3554 &lt;---- Cervy pervy mod
Med pack good, Truma pack beter emergncy pack best</t>
  </si>
  <si>
    <t>I had to power my way though with cheats there was a rebalancing in diffcutly so try parrying and doging on the rank and fint 
DO NOT TRUST GIPPETO, lie listen to music. Suficsa at to say I got the bad ending </t>
  </si>
  <si>
    <t>26/09/23        26/09/23
01/10/23        06/10/23
Just the Phantom liberty DLC</t>
  </si>
  <si>
    <t>No where nere at bad as I was expecing it to be I thorht it would be herndios escort game but it was really nice.</t>
  </si>
  <si>
    <t>Work with the jank</t>
  </si>
  <si>
    <t>Befor the point of no retuern do the DLC missions</t>
  </si>
  <si>
    <t>I metophicaly ran though this game I should replay it and give it the attention that it desved </t>
  </si>
  <si>
    <t>It was okay however I skiped the last boss fight it felt a bit unblanced and overall not fun</t>
  </si>
  <si>
    <t>A bit more combat than I was expectine but still fun</t>
  </si>
  <si>
    <t>AVERAGE of Game_rate__hours_days</t>
  </si>
  <si>
    <t>Modled
Days</t>
  </si>
  <si>
    <t>Modled Game
Rate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</si>
</sst>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quot; &quot;"/>
    <numFmt numFmtId="165" formatCode="dd/mm/yyyy"/>
    <numFmt numFmtId="166" formatCode="d/m/yyyy"/>
    <numFmt numFmtId="167" formatCode="dd/mm/yy"/>
    <numFmt numFmtId="168" formatCode="0.0"/>
  </numFmts>
  <fonts count="14">
    <font>
      <sz val="10.0"/>
      <color rgb="FF000000"/>
      <name val="Arial"/>
      <scheme val="minor"/>
    </font>
    <font>
      <color theme="1"/>
      <name val="Arial"/>
    </font>
    <font>
      <color theme="1"/>
      <name val="Arial"/>
      <scheme val="minor"/>
    </font>
    <font>
      <color rgb="FF000000"/>
      <name val="Arial"/>
    </font>
    <font>
      <color rgb="FF000000"/>
      <name val="Arial"/>
      <scheme val="minor"/>
    </font>
    <font>
      <sz val="11.0"/>
      <color rgb="FF444444"/>
      <name val="Arial"/>
    </font>
    <font>
      <sz val="9.0"/>
      <color rgb="FF1F1F1F"/>
      <name val="&quot;Google Sans&quot;"/>
    </font>
    <font>
      <sz val="9.0"/>
      <color rgb="FF141414"/>
      <name val="BrutalType"/>
    </font>
    <font>
      <sz val="11.0"/>
      <color rgb="FF000000"/>
      <name val="Calibri"/>
    </font>
    <font>
      <sz val="9.0"/>
      <color rgb="FF000000"/>
      <name val="&quot;Google Sans Mono&quot;"/>
    </font>
    <font>
      <sz val="10.0"/>
      <color rgb="FF000000"/>
      <name val="Roboto"/>
    </font>
    <font>
      <b/>
      <sz val="11.0"/>
      <color rgb="FF202124"/>
      <name val="Roboto Medium"/>
    </font>
    <font>
      <sz val="10.0"/>
      <color rgb="FF3C4043"/>
      <name val="Roboto"/>
    </font>
    <font>
      <b/>
      <color theme="1"/>
      <name val="Arial"/>
    </font>
  </fonts>
  <fills count="8">
    <fill>
      <patternFill patternType="none"/>
    </fill>
    <fill>
      <patternFill patternType="lightGray"/>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B7B7B7"/>
        <bgColor rgb="FFB7B7B7"/>
      </patternFill>
    </fill>
    <fill>
      <patternFill patternType="solid">
        <fgColor rgb="FFF8F9FA"/>
        <bgColor rgb="FFF8F9FA"/>
      </patternFill>
    </fill>
    <fill>
      <patternFill patternType="solid">
        <fgColor rgb="FFF1F3F4"/>
        <bgColor rgb="FFF1F3F4"/>
      </patternFill>
    </fill>
  </fills>
  <borders count="2">
    <border/>
    <border>
      <left style="thin">
        <color rgb="FFDADCE0"/>
      </left>
      <right style="thin">
        <color rgb="FFDADCE0"/>
      </right>
      <bottom style="thin">
        <color rgb="FFDADCE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readingOrder="0" vertical="bottom"/>
    </xf>
    <xf borderId="0" fillId="2" fontId="1" numFmtId="0" xfId="0" applyAlignment="1" applyFill="1" applyFont="1">
      <alignment readingOrder="0" vertical="bottom"/>
    </xf>
    <xf borderId="0" fillId="3" fontId="1" numFmtId="0" xfId="0" applyAlignment="1" applyFill="1" applyFont="1">
      <alignment readingOrder="0" vertical="bottom"/>
    </xf>
    <xf borderId="0" fillId="0" fontId="2" numFmtId="0" xfId="0" applyAlignment="1" applyFont="1">
      <alignment readingOrder="0"/>
    </xf>
    <xf borderId="0" fillId="3" fontId="1" numFmtId="2" xfId="0" applyAlignment="1" applyFont="1" applyNumberFormat="1">
      <alignment readingOrder="0" vertical="bottom"/>
    </xf>
    <xf borderId="0" fillId="3" fontId="1" numFmtId="164" xfId="0" applyAlignment="1" applyFont="1" applyNumberFormat="1">
      <alignment readingOrder="0" vertical="bottom"/>
    </xf>
    <xf borderId="0" fillId="0" fontId="1" numFmtId="0" xfId="0" applyAlignment="1" applyFont="1">
      <alignment vertical="bottom"/>
    </xf>
    <xf borderId="0" fillId="2" fontId="1" numFmtId="2" xfId="0" applyAlignment="1" applyFont="1" applyNumberFormat="1">
      <alignment readingOrder="0" vertical="bottom"/>
    </xf>
    <xf borderId="0" fillId="0" fontId="2" numFmtId="165" xfId="0" applyAlignment="1" applyFont="1" applyNumberFormat="1">
      <alignment readingOrder="0"/>
    </xf>
    <xf borderId="0" fillId="3" fontId="2" numFmtId="2" xfId="0" applyAlignment="1" applyFont="1" applyNumberFormat="1">
      <alignment readingOrder="0"/>
    </xf>
    <xf borderId="0" fillId="3" fontId="2" numFmtId="164" xfId="0" applyAlignment="1" applyFont="1" applyNumberFormat="1">
      <alignment readingOrder="0"/>
    </xf>
    <xf borderId="0" fillId="0" fontId="2" numFmtId="166" xfId="0" applyAlignment="1" applyFont="1" applyNumberFormat="1">
      <alignment readingOrder="0"/>
    </xf>
    <xf borderId="0" fillId="4" fontId="3" numFmtId="0" xfId="0" applyAlignment="1" applyFill="1" applyFont="1">
      <alignment readingOrder="0" vertical="bottom"/>
    </xf>
    <xf borderId="0" fillId="4" fontId="1" numFmtId="0" xfId="0" applyAlignment="1" applyFont="1">
      <alignment readingOrder="0" vertical="bottom"/>
    </xf>
    <xf borderId="0" fillId="4" fontId="2" numFmtId="0" xfId="0" applyAlignment="1" applyFont="1">
      <alignment readingOrder="0"/>
    </xf>
    <xf borderId="0" fillId="4" fontId="2" numFmtId="165" xfId="0" applyAlignment="1" applyFont="1" applyNumberFormat="1">
      <alignment readingOrder="0"/>
    </xf>
    <xf borderId="0" fillId="0" fontId="4" numFmtId="4" xfId="0" applyFont="1" applyNumberFormat="1"/>
    <xf borderId="0" fillId="4" fontId="1" numFmtId="0" xfId="0" applyAlignment="1" applyFont="1">
      <alignment vertical="bottom"/>
    </xf>
    <xf borderId="0" fillId="0" fontId="1" numFmtId="0" xfId="0" applyAlignment="1" applyFont="1">
      <alignment readingOrder="0" vertical="bottom"/>
    </xf>
    <xf borderId="0" fillId="0" fontId="3" numFmtId="0" xfId="0" applyAlignment="1" applyFont="1">
      <alignment readingOrder="0" vertical="bottom"/>
    </xf>
    <xf borderId="0" fillId="0" fontId="2" numFmtId="167" xfId="0" applyAlignment="1" applyFont="1" applyNumberFormat="1">
      <alignment readingOrder="0"/>
    </xf>
    <xf borderId="0" fillId="4" fontId="3" numFmtId="0" xfId="0" applyAlignment="1" applyFont="1">
      <alignment readingOrder="0" vertical="bottom"/>
    </xf>
    <xf borderId="0" fillId="0" fontId="1" numFmtId="4" xfId="0" applyAlignment="1" applyFont="1" applyNumberFormat="1">
      <alignment horizontal="right" vertical="bottom"/>
    </xf>
    <xf borderId="0" fillId="4" fontId="5" numFmtId="0" xfId="0" applyAlignment="1" applyFont="1">
      <alignment horizontal="left" readingOrder="0"/>
    </xf>
    <xf borderId="0" fillId="4" fontId="3" numFmtId="0" xfId="0" applyAlignment="1" applyFont="1">
      <alignment horizontal="right" readingOrder="0"/>
    </xf>
    <xf borderId="0" fillId="0" fontId="1" numFmtId="0" xfId="0" applyAlignment="1" applyFont="1">
      <alignment vertical="bottom"/>
    </xf>
    <xf borderId="0" fillId="4" fontId="6" numFmtId="0" xfId="0" applyAlignment="1" applyFont="1">
      <alignment readingOrder="0"/>
    </xf>
    <xf borderId="0" fillId="5" fontId="1" numFmtId="0" xfId="0" applyAlignment="1" applyFill="1" applyFont="1">
      <alignment vertical="bottom"/>
    </xf>
    <xf borderId="0" fillId="5" fontId="1" numFmtId="0" xfId="0" applyAlignment="1" applyFont="1">
      <alignment readingOrder="0" vertical="bottom"/>
    </xf>
    <xf borderId="0" fillId="5" fontId="1" numFmtId="2" xfId="0" applyAlignment="1" applyFont="1" applyNumberFormat="1">
      <alignment readingOrder="0" vertical="bottom"/>
    </xf>
    <xf borderId="0" fillId="5" fontId="2" numFmtId="0" xfId="0" applyAlignment="1" applyFont="1">
      <alignment readingOrder="0"/>
    </xf>
    <xf borderId="0" fillId="5" fontId="2" numFmtId="165" xfId="0" applyAlignment="1" applyFont="1" applyNumberFormat="1">
      <alignment readingOrder="0"/>
    </xf>
    <xf borderId="0" fillId="5" fontId="1" numFmtId="164" xfId="0" applyAlignment="1" applyFont="1" applyNumberFormat="1">
      <alignment readingOrder="0" vertical="bottom"/>
    </xf>
    <xf borderId="0" fillId="4" fontId="7" numFmtId="0" xfId="0" applyAlignment="1" applyFont="1">
      <alignment horizontal="right" readingOrder="0" shrinkToFit="0" wrapText="0"/>
    </xf>
    <xf borderId="0" fillId="0" fontId="1" numFmtId="2" xfId="0" applyAlignment="1" applyFont="1" applyNumberFormat="1">
      <alignment readingOrder="0" vertical="bottom"/>
    </xf>
    <xf borderId="0" fillId="0" fontId="8" numFmtId="0" xfId="0" applyAlignment="1" applyFont="1">
      <alignment readingOrder="0" shrinkToFit="0" vertical="bottom" wrapText="0"/>
    </xf>
    <xf borderId="0" fillId="0" fontId="8" numFmtId="165" xfId="0" applyAlignment="1" applyFont="1" applyNumberFormat="1">
      <alignment horizontal="right" readingOrder="0" shrinkToFit="0" vertical="bottom" wrapText="0"/>
    </xf>
    <xf borderId="0" fillId="0" fontId="8" numFmtId="2" xfId="0" applyAlignment="1" applyFont="1" applyNumberFormat="1">
      <alignment horizontal="right" readingOrder="0" shrinkToFit="0" vertical="bottom" wrapText="0"/>
    </xf>
    <xf borderId="0" fillId="2" fontId="2" numFmtId="0" xfId="0" applyAlignment="1" applyFont="1">
      <alignment readingOrder="0"/>
    </xf>
    <xf borderId="0" fillId="2" fontId="9" numFmtId="0" xfId="0" applyFont="1"/>
    <xf borderId="0" fillId="2" fontId="9" numFmtId="165" xfId="0" applyFont="1" applyNumberFormat="1"/>
    <xf borderId="0" fillId="2" fontId="2" numFmtId="2" xfId="0" applyFont="1" applyNumberFormat="1"/>
    <xf borderId="0" fillId="2" fontId="9" numFmtId="168" xfId="0" applyAlignment="1" applyFont="1" applyNumberFormat="1">
      <alignment horizontal="right"/>
    </xf>
    <xf borderId="0" fillId="2" fontId="9" numFmtId="168" xfId="0" applyFont="1" applyNumberFormat="1"/>
    <xf borderId="0" fillId="2" fontId="9" numFmtId="166" xfId="0" applyFont="1" applyNumberFormat="1"/>
    <xf borderId="0" fillId="4" fontId="10" numFmtId="0" xfId="0" applyAlignment="1" applyFill="1" applyFont="1">
      <alignment horizontal="left" readingOrder="0" shrinkToFit="0" vertical="center" wrapText="0"/>
    </xf>
    <xf borderId="1" fillId="6" fontId="11" numFmtId="0" xfId="0" applyAlignment="1" applyBorder="1" applyFill="1" applyFont="1">
      <alignment horizontal="left" readingOrder="0" shrinkToFit="0" vertical="center" wrapText="0"/>
    </xf>
    <xf borderId="0" fillId="4" fontId="12" numFmtId="49" xfId="0" applyAlignment="1" applyFont="1" applyNumberFormat="1">
      <alignment horizontal="left" readingOrder="0" shrinkToFit="0" vertical="top" wrapText="0"/>
    </xf>
    <xf borderId="0" fillId="4" fontId="12" numFmtId="14" xfId="0" applyAlignment="1" applyFont="1" applyNumberFormat="1">
      <alignment horizontal="right" readingOrder="0" shrinkToFit="0" vertical="top" wrapText="0"/>
    </xf>
    <xf borderId="0" fillId="4" fontId="12" numFmtId="0" xfId="0" applyAlignment="1" applyFont="1">
      <alignment horizontal="right" readingOrder="0" shrinkToFit="0" vertical="top" wrapText="0"/>
    </xf>
    <xf borderId="0" fillId="4" fontId="12" numFmtId="0" xfId="0" applyAlignment="1" applyFont="1">
      <alignment horizontal="left" readingOrder="0" shrinkToFit="0" vertical="top" wrapText="0"/>
    </xf>
    <xf borderId="0" fillId="7" fontId="12" numFmtId="49" xfId="0" applyAlignment="1" applyFill="1" applyFont="1" applyNumberFormat="1">
      <alignment horizontal="left" readingOrder="0" shrinkToFit="0" vertical="top" wrapText="0"/>
    </xf>
    <xf borderId="0" fillId="7" fontId="12" numFmtId="14" xfId="0" applyAlignment="1" applyFont="1" applyNumberFormat="1">
      <alignment horizontal="right" readingOrder="0" shrinkToFit="0" vertical="top" wrapText="0"/>
    </xf>
    <xf borderId="0" fillId="7" fontId="12" numFmtId="0" xfId="0" applyAlignment="1" applyFont="1">
      <alignment horizontal="right" readingOrder="0" shrinkToFit="0" vertical="top" wrapText="0"/>
    </xf>
    <xf borderId="0" fillId="7" fontId="12" numFmtId="0" xfId="0" applyAlignment="1" applyFont="1">
      <alignment horizontal="left" readingOrder="0" shrinkToFit="0" vertical="top" wrapText="0"/>
    </xf>
    <xf borderId="0" fillId="0" fontId="2" numFmtId="0" xfId="0" applyFont="1"/>
    <xf borderId="0" fillId="0" fontId="2" numFmtId="2" xfId="0" applyFont="1" applyNumberFormat="1"/>
    <xf borderId="0" fillId="2" fontId="13" numFmtId="0" xfId="0" applyAlignment="1" applyFont="1">
      <alignment vertical="bottom"/>
    </xf>
    <xf borderId="0" fillId="3" fontId="13" numFmtId="2" xfId="0" applyAlignment="1" applyFont="1" applyNumberFormat="1">
      <alignment vertical="bottom"/>
    </xf>
    <xf borderId="0" fillId="4" fontId="9" numFmtId="0" xfId="0" applyFont="1"/>
    <xf borderId="0" fillId="4" fontId="9"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53.75"/>
    <col customWidth="1" min="2" max="2" width="16.25"/>
    <col customWidth="1" min="3" max="4" width="13.38"/>
    <col customWidth="1" min="5" max="5" width="14.63"/>
    <col customWidth="1" min="9" max="9" width="14.63"/>
    <col customWidth="1" min="13" max="13" width="14.63"/>
  </cols>
  <sheetData>
    <row r="1">
      <c r="A1" s="1" t="s">
        <v>0</v>
      </c>
      <c r="B1" s="1" t="s">
        <v>1</v>
      </c>
      <c r="C1" s="2" t="s">
        <v>2</v>
      </c>
      <c r="D1" s="1" t="s">
        <v>3</v>
      </c>
      <c r="E1" s="3" t="s">
        <v>4</v>
      </c>
      <c r="F1" s="4" t="s">
        <v>5</v>
      </c>
      <c r="G1" s="4" t="s">
        <v>6</v>
      </c>
      <c r="H1" s="4" t="s">
        <v>7</v>
      </c>
      <c r="I1" s="5" t="s">
        <v>8</v>
      </c>
      <c r="J1" s="6" t="s">
        <v>9</v>
      </c>
      <c r="K1" s="1" t="s">
        <v>10</v>
      </c>
      <c r="L1" s="1" t="s">
        <v>11</v>
      </c>
      <c r="M1" s="5" t="s">
        <v>12</v>
      </c>
    </row>
    <row r="2">
      <c r="A2" s="7" t="s">
        <v>13</v>
      </c>
      <c r="B2" s="1">
        <v>216.0</v>
      </c>
      <c r="C2" s="8">
        <f t="shared" ref="C2:C78" si="1">B2/M$2</f>
        <v>34.72691257</v>
      </c>
      <c r="D2" s="1" t="s">
        <v>14</v>
      </c>
      <c r="E2" s="3" t="str">
        <f>IFERROR(__xludf.DUMMYFUNCTION("IFERROR(INDEX(IMPORTRANGE(""docs.google.com/spreadsheets/d/1Dz5m9yCjvG51SgZ1o2KfJUBBR9Y0WOI97noTgdya4Zs/edit#gid=709845608"", ""Game!$A$2:$P""), MATCH(A2,IMPORTRANGE(""docs.google.com/spreadsheets/d/1Dz5m9yCjvG51SgZ1o2KfJUBBR9Y0WOI97noTgdya4Zs/edit#gid=70"&amp;"9845608"", ""Game!$A$2:$A""),0),16),""UnCompleat"")"),"UnCompleat")</f>
        <v>UnCompleat</v>
      </c>
      <c r="F2" s="4" t="s">
        <v>15</v>
      </c>
      <c r="G2" s="9">
        <v>40612.0</v>
      </c>
      <c r="H2" s="4">
        <v>101.92</v>
      </c>
      <c r="I2" s="5">
        <f t="shared" ref="I2:I342" si="2">H2/B2</f>
        <v>0.4718518519</v>
      </c>
      <c r="J2" s="6">
        <f t="shared" ref="J2:J180" si="3">G2</f>
        <v>40612</v>
      </c>
      <c r="K2" s="4">
        <v>5.0</v>
      </c>
      <c r="L2" s="4" t="s">
        <v>16</v>
      </c>
      <c r="M2" s="5">
        <f>'Game Rate'!A2</f>
        <v>6.219959795</v>
      </c>
    </row>
    <row r="3">
      <c r="A3" s="7" t="s">
        <v>17</v>
      </c>
      <c r="B3" s="4">
        <v>35.0</v>
      </c>
      <c r="C3" s="8">
        <f t="shared" si="1"/>
        <v>5.627046018</v>
      </c>
      <c r="D3" s="1" t="s">
        <v>18</v>
      </c>
      <c r="E3" s="3" t="s">
        <v>19</v>
      </c>
      <c r="F3" s="4" t="s">
        <v>20</v>
      </c>
      <c r="G3" s="9">
        <v>40885.0</v>
      </c>
      <c r="H3" s="4">
        <v>6.87</v>
      </c>
      <c r="I3" s="10">
        <f t="shared" si="2"/>
        <v>0.1962857143</v>
      </c>
      <c r="J3" s="11">
        <f t="shared" si="3"/>
        <v>40885</v>
      </c>
      <c r="K3" s="4">
        <v>5.0</v>
      </c>
      <c r="L3" s="4" t="s">
        <v>21</v>
      </c>
      <c r="M3" s="10">
        <f t="shared" ref="M3:M285" si="4">M2</f>
        <v>6.219959795</v>
      </c>
    </row>
    <row r="4">
      <c r="A4" s="7" t="s">
        <v>22</v>
      </c>
      <c r="B4" s="4">
        <v>42.0</v>
      </c>
      <c r="C4" s="8">
        <f t="shared" si="1"/>
        <v>6.752455222</v>
      </c>
      <c r="D4" s="1" t="s">
        <v>18</v>
      </c>
      <c r="E4" s="3" t="s">
        <v>19</v>
      </c>
      <c r="F4" s="4" t="s">
        <v>20</v>
      </c>
      <c r="G4" s="9">
        <v>40885.0</v>
      </c>
      <c r="H4" s="4">
        <v>5.0</v>
      </c>
      <c r="I4" s="10">
        <f t="shared" si="2"/>
        <v>0.119047619</v>
      </c>
      <c r="J4" s="11">
        <f t="shared" si="3"/>
        <v>40885</v>
      </c>
      <c r="K4" s="4">
        <v>5.0</v>
      </c>
      <c r="L4" s="4" t="s">
        <v>21</v>
      </c>
      <c r="M4" s="10">
        <f t="shared" si="4"/>
        <v>6.219959795</v>
      </c>
    </row>
    <row r="5">
      <c r="A5" s="7" t="s">
        <v>23</v>
      </c>
      <c r="B5" s="4">
        <v>208.0</v>
      </c>
      <c r="C5" s="8">
        <f t="shared" si="1"/>
        <v>33.44073062</v>
      </c>
      <c r="D5" s="1" t="s">
        <v>24</v>
      </c>
      <c r="E5" s="3" t="str">
        <f>IFERROR(__xludf.DUMMYFUNCTION("IFERROR(INDEX(IMPORTRANGE(""docs.google.com/spreadsheets/d/1Dz5m9yCjvG51SgZ1o2KfJUBBR9Y0WOI97noTgdya4Zs/edit#gid=709845608"", ""Game!$A$2:$P""), MATCH(A5,IMPORTRANGE(""docs.google.com/spreadsheets/d/1Dz5m9yCjvG51SgZ1o2KfJUBBR9Y0WOI97noTgdya4Zs/edit#gid=70"&amp;"9845608"", ""Game!$A$2:$A""),0),16),""UnCompleat"")"),"UnCompleat")</f>
        <v>UnCompleat</v>
      </c>
      <c r="F5" s="4" t="s">
        <v>20</v>
      </c>
      <c r="G5" s="12">
        <v>40903.0</v>
      </c>
      <c r="H5" s="4">
        <v>26.52</v>
      </c>
      <c r="I5" s="5">
        <f t="shared" si="2"/>
        <v>0.1275</v>
      </c>
      <c r="J5" s="6">
        <f t="shared" si="3"/>
        <v>40903</v>
      </c>
      <c r="K5" s="4">
        <v>5.0</v>
      </c>
      <c r="L5" s="4" t="s">
        <v>16</v>
      </c>
      <c r="M5" s="5">
        <f t="shared" si="4"/>
        <v>6.219959795</v>
      </c>
    </row>
    <row r="6">
      <c r="A6" s="7" t="s">
        <v>25</v>
      </c>
      <c r="B6" s="4">
        <v>34.0</v>
      </c>
      <c r="C6" s="8">
        <f t="shared" si="1"/>
        <v>5.466273275</v>
      </c>
      <c r="D6" s="1" t="s">
        <v>18</v>
      </c>
      <c r="E6" s="3" t="s">
        <v>19</v>
      </c>
      <c r="F6" s="4" t="s">
        <v>20</v>
      </c>
      <c r="G6" s="12">
        <v>40903.0</v>
      </c>
      <c r="H6" s="4">
        <v>25.49</v>
      </c>
      <c r="I6" s="10">
        <f t="shared" si="2"/>
        <v>0.7497058824</v>
      </c>
      <c r="J6" s="11">
        <f t="shared" si="3"/>
        <v>40903</v>
      </c>
      <c r="K6" s="4">
        <v>5.0</v>
      </c>
      <c r="L6" s="4" t="s">
        <v>21</v>
      </c>
      <c r="M6" s="10">
        <f t="shared" si="4"/>
        <v>6.219959795</v>
      </c>
    </row>
    <row r="7">
      <c r="A7" s="7" t="s">
        <v>26</v>
      </c>
      <c r="B7" s="1">
        <v>30.0</v>
      </c>
      <c r="C7" s="8">
        <f t="shared" si="1"/>
        <v>4.823182301</v>
      </c>
      <c r="D7" s="1" t="s">
        <v>27</v>
      </c>
      <c r="E7" s="3" t="str">
        <f>IFERROR(__xludf.DUMMYFUNCTION("IFERROR(INDEX(IMPORTRANGE(""docs.google.com/spreadsheets/d/1Dz5m9yCjvG51SgZ1o2KfJUBBR9Y0WOI97noTgdya4Zs/edit#gid=709845608"", ""Game!$A$2:$P""), MATCH(A7,IMPORTRANGE(""docs.google.com/spreadsheets/d/1Dz5m9yCjvG51SgZ1o2KfJUBBR9Y0WOI97noTgdya4Zs/edit#gid=70"&amp;"9845608"", ""Game!$A$2:$A""),0),16),""Not Started"")"),"Not Started")</f>
        <v>Not Started</v>
      </c>
      <c r="F7" s="4" t="s">
        <v>20</v>
      </c>
      <c r="G7" s="9">
        <v>41036.0</v>
      </c>
      <c r="H7" s="4">
        <v>24.97</v>
      </c>
      <c r="I7" s="5">
        <f t="shared" si="2"/>
        <v>0.8323333333</v>
      </c>
      <c r="J7" s="6">
        <f t="shared" si="3"/>
        <v>41036</v>
      </c>
      <c r="K7" s="4">
        <v>16.0</v>
      </c>
      <c r="L7" s="4" t="s">
        <v>16</v>
      </c>
      <c r="M7" s="5">
        <f t="shared" si="4"/>
        <v>6.219959795</v>
      </c>
    </row>
    <row r="8">
      <c r="A8" s="7" t="s">
        <v>28</v>
      </c>
      <c r="B8" s="1">
        <v>40.0</v>
      </c>
      <c r="C8" s="8">
        <f t="shared" si="1"/>
        <v>6.430909735</v>
      </c>
      <c r="D8" s="1" t="s">
        <v>29</v>
      </c>
      <c r="E8" s="3" t="s">
        <v>19</v>
      </c>
      <c r="F8" s="4" t="s">
        <v>15</v>
      </c>
      <c r="G8" s="9">
        <v>41072.0</v>
      </c>
      <c r="H8" s="4">
        <v>8.99</v>
      </c>
      <c r="I8" s="5">
        <f t="shared" si="2"/>
        <v>0.22475</v>
      </c>
      <c r="J8" s="6">
        <f t="shared" si="3"/>
        <v>41072</v>
      </c>
      <c r="K8" s="4">
        <v>16.0</v>
      </c>
      <c r="L8" s="4" t="s">
        <v>16</v>
      </c>
      <c r="M8" s="5">
        <f t="shared" si="4"/>
        <v>6.219959795</v>
      </c>
    </row>
    <row r="9">
      <c r="A9" s="7" t="s">
        <v>30</v>
      </c>
      <c r="B9" s="1">
        <v>58.0</v>
      </c>
      <c r="C9" s="8">
        <f t="shared" si="1"/>
        <v>9.324819116</v>
      </c>
      <c r="D9" s="1" t="s">
        <v>14</v>
      </c>
      <c r="E9" s="3" t="str">
        <f>IFERROR(__xludf.DUMMYFUNCTION("IFERROR(INDEX(IMPORTRANGE(""docs.google.com/spreadsheets/d/1Dz5m9yCjvG51SgZ1o2KfJUBBR9Y0WOI97noTgdya4Zs/edit#gid=709845608"", ""Game!$A$2:$P""), MATCH(A9,IMPORTRANGE(""docs.google.com/spreadsheets/d/1Dz5m9yCjvG51SgZ1o2KfJUBBR9Y0WOI97noTgdya4Zs/edit#gid=70"&amp;"9845608"", ""Game!$A$2:$A""),0),16),""Not Started"")"),"Not Started")</f>
        <v>Not Started</v>
      </c>
      <c r="F9" s="4" t="s">
        <v>15</v>
      </c>
      <c r="G9" s="9">
        <v>41082.0</v>
      </c>
      <c r="H9" s="4">
        <v>1.74</v>
      </c>
      <c r="I9" s="5">
        <f t="shared" si="2"/>
        <v>0.03</v>
      </c>
      <c r="J9" s="6">
        <f t="shared" si="3"/>
        <v>41082</v>
      </c>
      <c r="K9" s="4">
        <v>16.0</v>
      </c>
      <c r="L9" s="4" t="s">
        <v>16</v>
      </c>
      <c r="M9" s="5">
        <f t="shared" si="4"/>
        <v>6.219959795</v>
      </c>
    </row>
    <row r="10">
      <c r="A10" s="13" t="s">
        <v>31</v>
      </c>
      <c r="B10" s="14">
        <v>80.0</v>
      </c>
      <c r="C10" s="8">
        <f t="shared" si="1"/>
        <v>12.86181947</v>
      </c>
      <c r="D10" s="1" t="s">
        <v>14</v>
      </c>
      <c r="E10" s="3" t="str">
        <f>IFERROR(__xludf.DUMMYFUNCTION("IFERROR(INDEX(IMPORTRANGE(""docs.google.com/spreadsheets/d/1Dz5m9yCjvG51SgZ1o2KfJUBBR9Y0WOI97noTgdya4Zs/edit#gid=709845608"", ""Game!$A$2:$P""), MATCH(A10,IMPORTRANGE(""docs.google.com/spreadsheets/d/1Dz5m9yCjvG51SgZ1o2KfJUBBR9Y0WOI97noTgdya4Zs/edit#gid=7"&amp;"09845608"", ""Game!$A$2:$A""),0),16),""UnCompleat"")"),"UnCompleat")</f>
        <v>UnCompleat</v>
      </c>
      <c r="F10" s="15" t="s">
        <v>15</v>
      </c>
      <c r="G10" s="16">
        <v>41100.0</v>
      </c>
      <c r="H10" s="15">
        <v>14.93</v>
      </c>
      <c r="I10" s="5">
        <f t="shared" si="2"/>
        <v>0.186625</v>
      </c>
      <c r="J10" s="6">
        <f t="shared" si="3"/>
        <v>41100</v>
      </c>
      <c r="K10" s="4">
        <v>16.0</v>
      </c>
      <c r="L10" s="15" t="s">
        <v>16</v>
      </c>
      <c r="M10" s="5">
        <f t="shared" si="4"/>
        <v>6.219959795</v>
      </c>
    </row>
    <row r="11">
      <c r="A11" s="7" t="s">
        <v>32</v>
      </c>
      <c r="B11" s="1">
        <v>10.0</v>
      </c>
      <c r="C11" s="8">
        <f t="shared" si="1"/>
        <v>1.607727434</v>
      </c>
      <c r="D11" s="1" t="s">
        <v>27</v>
      </c>
      <c r="E11" s="3" t="s">
        <v>19</v>
      </c>
      <c r="F11" s="4" t="s">
        <v>20</v>
      </c>
      <c r="G11" s="9">
        <v>41102.0</v>
      </c>
      <c r="H11" s="4">
        <v>4.14</v>
      </c>
      <c r="I11" s="5">
        <f t="shared" si="2"/>
        <v>0.414</v>
      </c>
      <c r="J11" s="6">
        <f t="shared" si="3"/>
        <v>41102</v>
      </c>
      <c r="K11" s="4">
        <v>16.0</v>
      </c>
      <c r="L11" s="4" t="s">
        <v>16</v>
      </c>
      <c r="M11" s="5">
        <f t="shared" si="4"/>
        <v>6.219959795</v>
      </c>
    </row>
    <row r="12">
      <c r="A12" s="7" t="s">
        <v>33</v>
      </c>
      <c r="B12" s="1">
        <v>61.0</v>
      </c>
      <c r="C12" s="8">
        <f t="shared" si="1"/>
        <v>9.807137346</v>
      </c>
      <c r="D12" s="1" t="s">
        <v>34</v>
      </c>
      <c r="E12" s="3" t="str">
        <f>IFERROR(__xludf.DUMMYFUNCTION("IFERROR(INDEX(IMPORTRANGE(""docs.google.com/spreadsheets/d/1Dz5m9yCjvG51SgZ1o2KfJUBBR9Y0WOI97noTgdya4Zs/edit#gid=709845608"", ""Game!$A$2:$P""), MATCH(A12,IMPORTRANGE(""docs.google.com/spreadsheets/d/1Dz5m9yCjvG51SgZ1o2KfJUBBR9Y0WOI97noTgdya4Zs/edit#gid=7"&amp;"09845608"", ""Game!$A$2:$A""),0),16),""Not Started"")"),"Not Started")</f>
        <v>Not Started</v>
      </c>
      <c r="F12" s="4" t="s">
        <v>15</v>
      </c>
      <c r="G12" s="9">
        <v>41108.0</v>
      </c>
      <c r="H12" s="4">
        <v>17.99</v>
      </c>
      <c r="I12" s="5">
        <f t="shared" si="2"/>
        <v>0.2949180328</v>
      </c>
      <c r="J12" s="6">
        <f t="shared" si="3"/>
        <v>41108</v>
      </c>
      <c r="K12" s="4">
        <v>16.0</v>
      </c>
      <c r="L12" s="4" t="s">
        <v>16</v>
      </c>
      <c r="M12" s="5">
        <f t="shared" si="4"/>
        <v>6.219959795</v>
      </c>
    </row>
    <row r="13">
      <c r="A13" s="7" t="s">
        <v>35</v>
      </c>
      <c r="B13" s="1">
        <v>23.0</v>
      </c>
      <c r="C13" s="8">
        <f t="shared" si="1"/>
        <v>3.697773098</v>
      </c>
      <c r="D13" s="1" t="s">
        <v>27</v>
      </c>
      <c r="E13" s="3" t="s">
        <v>19</v>
      </c>
      <c r="F13" s="4" t="s">
        <v>20</v>
      </c>
      <c r="G13" s="9">
        <v>41108.0</v>
      </c>
      <c r="H13" s="4">
        <v>6.98</v>
      </c>
      <c r="I13" s="5">
        <f t="shared" si="2"/>
        <v>0.3034782609</v>
      </c>
      <c r="J13" s="6">
        <f t="shared" si="3"/>
        <v>41108</v>
      </c>
      <c r="K13" s="4">
        <v>16.0</v>
      </c>
      <c r="L13" s="4" t="s">
        <v>16</v>
      </c>
      <c r="M13" s="5">
        <f t="shared" si="4"/>
        <v>6.219959795</v>
      </c>
    </row>
    <row r="14">
      <c r="A14" s="7" t="s">
        <v>36</v>
      </c>
      <c r="B14" s="1">
        <v>22.0</v>
      </c>
      <c r="C14" s="8">
        <f t="shared" si="1"/>
        <v>3.537000354</v>
      </c>
      <c r="D14" s="1" t="s">
        <v>27</v>
      </c>
      <c r="E14" s="3" t="s">
        <v>19</v>
      </c>
      <c r="F14" s="4" t="s">
        <v>20</v>
      </c>
      <c r="G14" s="9">
        <v>41108.0</v>
      </c>
      <c r="H14" s="4">
        <v>6.98</v>
      </c>
      <c r="I14" s="5">
        <f t="shared" si="2"/>
        <v>0.3172727273</v>
      </c>
      <c r="J14" s="6">
        <f t="shared" si="3"/>
        <v>41108</v>
      </c>
      <c r="K14" s="4">
        <v>16.0</v>
      </c>
      <c r="L14" s="4" t="s">
        <v>16</v>
      </c>
      <c r="M14" s="5">
        <f t="shared" si="4"/>
        <v>6.219959795</v>
      </c>
    </row>
    <row r="15">
      <c r="A15" s="7" t="s">
        <v>37</v>
      </c>
      <c r="B15" s="1">
        <v>30.0</v>
      </c>
      <c r="C15" s="8">
        <f t="shared" si="1"/>
        <v>4.823182301</v>
      </c>
      <c r="D15" s="1" t="s">
        <v>38</v>
      </c>
      <c r="E15" s="3" t="s">
        <v>19</v>
      </c>
      <c r="F15" s="4" t="s">
        <v>20</v>
      </c>
      <c r="G15" s="9">
        <v>41137.0</v>
      </c>
      <c r="H15" s="4">
        <v>6.24</v>
      </c>
      <c r="I15" s="5">
        <f t="shared" si="2"/>
        <v>0.208</v>
      </c>
      <c r="J15" s="6">
        <f t="shared" si="3"/>
        <v>41137</v>
      </c>
      <c r="K15" s="4">
        <v>16.0</v>
      </c>
      <c r="L15" s="4" t="s">
        <v>39</v>
      </c>
      <c r="M15" s="5">
        <f t="shared" si="4"/>
        <v>6.219959795</v>
      </c>
    </row>
    <row r="16">
      <c r="A16" s="7" t="s">
        <v>40</v>
      </c>
      <c r="B16" s="1">
        <v>16.0</v>
      </c>
      <c r="C16" s="8">
        <f t="shared" si="1"/>
        <v>2.572363894</v>
      </c>
      <c r="D16" s="1" t="s">
        <v>38</v>
      </c>
      <c r="E16" s="3" t="s">
        <v>19</v>
      </c>
      <c r="F16" s="4" t="s">
        <v>20</v>
      </c>
      <c r="G16" s="9">
        <v>41137.0</v>
      </c>
      <c r="H16" s="4">
        <v>6.24</v>
      </c>
      <c r="I16" s="5">
        <f t="shared" si="2"/>
        <v>0.39</v>
      </c>
      <c r="J16" s="6">
        <f t="shared" si="3"/>
        <v>41137</v>
      </c>
      <c r="K16" s="4">
        <v>16.0</v>
      </c>
      <c r="L16" s="4" t="s">
        <v>39</v>
      </c>
      <c r="M16" s="5">
        <f t="shared" si="4"/>
        <v>6.219959795</v>
      </c>
    </row>
    <row r="17">
      <c r="A17" s="7" t="s">
        <v>41</v>
      </c>
      <c r="B17" s="1">
        <v>25.0</v>
      </c>
      <c r="C17" s="8">
        <f t="shared" si="1"/>
        <v>4.019318584</v>
      </c>
      <c r="D17" s="1" t="s">
        <v>42</v>
      </c>
      <c r="E17" s="3" t="s">
        <v>19</v>
      </c>
      <c r="F17" s="4" t="s">
        <v>20</v>
      </c>
      <c r="G17" s="9">
        <v>41191.0</v>
      </c>
      <c r="H17" s="4">
        <v>9.99</v>
      </c>
      <c r="I17" s="5">
        <f t="shared" si="2"/>
        <v>0.3996</v>
      </c>
      <c r="J17" s="6">
        <f t="shared" si="3"/>
        <v>41191</v>
      </c>
      <c r="K17" s="4">
        <v>16.0</v>
      </c>
      <c r="L17" s="4" t="s">
        <v>16</v>
      </c>
      <c r="M17" s="5">
        <f t="shared" si="4"/>
        <v>6.219959795</v>
      </c>
    </row>
    <row r="18">
      <c r="A18" s="7" t="s">
        <v>43</v>
      </c>
      <c r="B18" s="1">
        <v>78.0</v>
      </c>
      <c r="C18" s="8">
        <f t="shared" si="1"/>
        <v>12.54027398</v>
      </c>
      <c r="D18" s="1" t="s">
        <v>44</v>
      </c>
      <c r="E18" s="3" t="str">
        <f>IFERROR(__xludf.DUMMYFUNCTION("IFERROR(INDEX(IMPORTRANGE(""docs.google.com/spreadsheets/d/1Dz5m9yCjvG51SgZ1o2KfJUBBR9Y0WOI97noTgdya4Zs/edit#gid=709845608"", ""Game!$A$2:$P""), MATCH(A18,IMPORTRANGE(""docs.google.com/spreadsheets/d/1Dz5m9yCjvG51SgZ1o2KfJUBBR9Y0WOI97noTgdya4Zs/edit#gid=7"&amp;"09845608"", ""Game!$A$2:$A""),0),16),""UnCompleat"")"),"UnCompleat")</f>
        <v>UnCompleat</v>
      </c>
      <c r="F18" s="4" t="s">
        <v>20</v>
      </c>
      <c r="G18" s="12">
        <v>41236.0</v>
      </c>
      <c r="H18" s="4">
        <v>1.49</v>
      </c>
      <c r="I18" s="5">
        <f t="shared" si="2"/>
        <v>0.0191025641</v>
      </c>
      <c r="J18" s="6">
        <f t="shared" si="3"/>
        <v>41236</v>
      </c>
      <c r="K18" s="4">
        <v>16.0</v>
      </c>
      <c r="L18" s="4" t="s">
        <v>16</v>
      </c>
      <c r="M18" s="5">
        <f t="shared" si="4"/>
        <v>6.219959795</v>
      </c>
    </row>
    <row r="19">
      <c r="A19" s="7" t="s">
        <v>45</v>
      </c>
      <c r="B19" s="1">
        <v>57.0</v>
      </c>
      <c r="C19" s="8">
        <f t="shared" si="1"/>
        <v>9.164046373</v>
      </c>
      <c r="D19" s="1" t="s">
        <v>42</v>
      </c>
      <c r="E19" s="3" t="s">
        <v>19</v>
      </c>
      <c r="F19" s="4" t="s">
        <v>20</v>
      </c>
      <c r="G19" s="12">
        <v>41238.0</v>
      </c>
      <c r="H19" s="4">
        <v>4.99</v>
      </c>
      <c r="I19" s="5">
        <f t="shared" si="2"/>
        <v>0.08754385965</v>
      </c>
      <c r="J19" s="6">
        <f t="shared" si="3"/>
        <v>41238</v>
      </c>
      <c r="K19" s="4">
        <v>16.0</v>
      </c>
      <c r="L19" s="4" t="s">
        <v>16</v>
      </c>
      <c r="M19" s="5">
        <f t="shared" si="4"/>
        <v>6.219959795</v>
      </c>
    </row>
    <row r="20">
      <c r="A20" s="7" t="s">
        <v>46</v>
      </c>
      <c r="B20" s="1">
        <v>55.0</v>
      </c>
      <c r="C20" s="8">
        <f t="shared" si="1"/>
        <v>8.842500886</v>
      </c>
      <c r="D20" s="1" t="s">
        <v>18</v>
      </c>
      <c r="E20" s="3" t="s">
        <v>19</v>
      </c>
      <c r="F20" s="4" t="s">
        <v>20</v>
      </c>
      <c r="G20" s="12">
        <v>41272.0</v>
      </c>
      <c r="H20" s="4">
        <v>24.99</v>
      </c>
      <c r="I20" s="5">
        <f t="shared" si="2"/>
        <v>0.4543636364</v>
      </c>
      <c r="J20" s="6">
        <f t="shared" si="3"/>
        <v>41272</v>
      </c>
      <c r="K20" s="4">
        <v>16.0</v>
      </c>
      <c r="L20" s="4" t="s">
        <v>21</v>
      </c>
      <c r="M20" s="5">
        <f t="shared" si="4"/>
        <v>6.219959795</v>
      </c>
    </row>
    <row r="21">
      <c r="A21" s="7" t="s">
        <v>47</v>
      </c>
      <c r="B21" s="1">
        <v>364.0</v>
      </c>
      <c r="C21" s="8">
        <f t="shared" si="1"/>
        <v>58.52127859</v>
      </c>
      <c r="D21" s="1" t="s">
        <v>24</v>
      </c>
      <c r="E21" s="3" t="str">
        <f>IFERROR(__xludf.DUMMYFUNCTION("IFERROR(INDEX(IMPORTRANGE(""docs.google.com/spreadsheets/d/1Dz5m9yCjvG51SgZ1o2KfJUBBR9Y0WOI97noTgdya4Zs/edit#gid=709845608"", ""Game!$A$2:$P""), MATCH(A21,IMPORTRANGE(""docs.google.com/spreadsheets/d/1Dz5m9yCjvG51SgZ1o2KfJUBBR9Y0WOI97noTgdya4Zs/edit#gid=7"&amp;"09845608"", ""Game!$A$2:$A""),0),16),""Not Started"")"),"Not Started")</f>
        <v>Not Started</v>
      </c>
      <c r="F21" s="4" t="s">
        <v>20</v>
      </c>
      <c r="G21" s="12">
        <v>41273.0</v>
      </c>
      <c r="H21" s="4">
        <v>3.24</v>
      </c>
      <c r="I21" s="5">
        <f t="shared" si="2"/>
        <v>0.008901098901</v>
      </c>
      <c r="J21" s="6">
        <f t="shared" si="3"/>
        <v>41273</v>
      </c>
      <c r="K21" s="4">
        <v>16.0</v>
      </c>
      <c r="L21" s="4" t="s">
        <v>16</v>
      </c>
      <c r="M21" s="5">
        <f t="shared" si="4"/>
        <v>6.219959795</v>
      </c>
    </row>
    <row r="22">
      <c r="A22" s="7" t="s">
        <v>48</v>
      </c>
      <c r="B22" s="1">
        <v>36.5</v>
      </c>
      <c r="C22" s="8">
        <f t="shared" si="1"/>
        <v>5.868205133</v>
      </c>
      <c r="D22" s="1" t="s">
        <v>49</v>
      </c>
      <c r="E22" s="3" t="s">
        <v>19</v>
      </c>
      <c r="F22" s="4" t="s">
        <v>20</v>
      </c>
      <c r="G22" s="12">
        <v>41274.0</v>
      </c>
      <c r="H22" s="4">
        <v>42.66</v>
      </c>
      <c r="I22" s="5">
        <f t="shared" si="2"/>
        <v>1.168767123</v>
      </c>
      <c r="J22" s="6">
        <f t="shared" si="3"/>
        <v>41274</v>
      </c>
      <c r="K22" s="4">
        <v>16.0</v>
      </c>
      <c r="L22" s="4" t="s">
        <v>16</v>
      </c>
      <c r="M22" s="5">
        <f t="shared" si="4"/>
        <v>6.219959795</v>
      </c>
    </row>
    <row r="23">
      <c r="A23" s="7" t="s">
        <v>50</v>
      </c>
      <c r="B23" s="1">
        <v>174.0</v>
      </c>
      <c r="C23" s="8">
        <f t="shared" si="1"/>
        <v>27.97445735</v>
      </c>
      <c r="D23" s="1" t="s">
        <v>24</v>
      </c>
      <c r="E23" s="3" t="str">
        <f>IFERROR(__xludf.DUMMYFUNCTION("IFERROR(INDEX(IMPORTRANGE(""docs.google.com/spreadsheets/d/1Dz5m9yCjvG51SgZ1o2KfJUBBR9Y0WOI97noTgdya4Zs/edit#gid=709845608"", ""Game!$A$2:$P""), MATCH(A23,IMPORTRANGE(""docs.google.com/spreadsheets/d/1Dz5m9yCjvG51SgZ1o2KfJUBBR9Y0WOI97noTgdya4Zs/edit#gid=7"&amp;"09845608"", ""Game!$A$2:$A""),0),16),""Not Started"")"),"Not Started")</f>
        <v>Not Started</v>
      </c>
      <c r="F23" s="4" t="s">
        <v>20</v>
      </c>
      <c r="G23" s="12">
        <v>41274.0</v>
      </c>
      <c r="H23" s="4">
        <v>4.99</v>
      </c>
      <c r="I23" s="5">
        <f t="shared" si="2"/>
        <v>0.02867816092</v>
      </c>
      <c r="J23" s="6">
        <f t="shared" si="3"/>
        <v>41274</v>
      </c>
      <c r="K23" s="4">
        <v>16.0</v>
      </c>
      <c r="L23" s="4" t="s">
        <v>16</v>
      </c>
      <c r="M23" s="5">
        <f t="shared" si="4"/>
        <v>6.219959795</v>
      </c>
    </row>
    <row r="24">
      <c r="A24" s="7" t="s">
        <v>51</v>
      </c>
      <c r="B24" s="1">
        <v>129.0</v>
      </c>
      <c r="C24" s="8">
        <f t="shared" si="1"/>
        <v>20.7396839</v>
      </c>
      <c r="D24" s="1" t="s">
        <v>24</v>
      </c>
      <c r="E24" s="3" t="str">
        <f>IFERROR(__xludf.DUMMYFUNCTION("IFERROR(INDEX(IMPORTRANGE(""docs.google.com/spreadsheets/d/1Dz5m9yCjvG51SgZ1o2KfJUBBR9Y0WOI97noTgdya4Zs/edit#gid=709845608"", ""Game!$A$2:$P""), MATCH(A24,IMPORTRANGE(""docs.google.com/spreadsheets/d/1Dz5m9yCjvG51SgZ1o2KfJUBBR9Y0WOI97noTgdya4Zs/edit#gid=7"&amp;"09845608"", ""Game!$A$2:$A""),0),16),""Not Started"")"),"Not Started")</f>
        <v>Not Started</v>
      </c>
      <c r="F24" s="4" t="s">
        <v>20</v>
      </c>
      <c r="G24" s="9">
        <v>41318.0</v>
      </c>
      <c r="H24" s="4">
        <v>71.23</v>
      </c>
      <c r="I24" s="5">
        <f t="shared" si="2"/>
        <v>0.5521705426</v>
      </c>
      <c r="J24" s="6">
        <f t="shared" si="3"/>
        <v>41318</v>
      </c>
      <c r="K24" s="4">
        <v>36.0</v>
      </c>
      <c r="L24" s="4" t="s">
        <v>16</v>
      </c>
      <c r="M24" s="5">
        <f t="shared" si="4"/>
        <v>6.219959795</v>
      </c>
    </row>
    <row r="25">
      <c r="A25" s="7" t="s">
        <v>52</v>
      </c>
      <c r="B25" s="1">
        <v>10.0</v>
      </c>
      <c r="C25" s="8">
        <f t="shared" si="1"/>
        <v>1.607727434</v>
      </c>
      <c r="D25" s="1" t="s">
        <v>53</v>
      </c>
      <c r="E25" s="3" t="s">
        <v>19</v>
      </c>
      <c r="F25" s="4" t="s">
        <v>20</v>
      </c>
      <c r="G25" s="9">
        <v>41384.0</v>
      </c>
      <c r="H25" s="17">
        <v>4.49</v>
      </c>
      <c r="I25" s="5">
        <f t="shared" si="2"/>
        <v>0.449</v>
      </c>
      <c r="J25" s="6">
        <f t="shared" si="3"/>
        <v>41384</v>
      </c>
      <c r="K25" s="4">
        <v>36.0</v>
      </c>
      <c r="L25" s="4" t="s">
        <v>16</v>
      </c>
      <c r="M25" s="5">
        <f t="shared" si="4"/>
        <v>6.219959795</v>
      </c>
    </row>
    <row r="26">
      <c r="A26" s="7" t="s">
        <v>54</v>
      </c>
      <c r="B26" s="1">
        <v>21.0</v>
      </c>
      <c r="C26" s="8">
        <f t="shared" si="1"/>
        <v>3.376227611</v>
      </c>
      <c r="D26" s="1" t="s">
        <v>53</v>
      </c>
      <c r="E26" s="3" t="s">
        <v>19</v>
      </c>
      <c r="F26" s="4" t="s">
        <v>20</v>
      </c>
      <c r="G26" s="9">
        <v>41384.0</v>
      </c>
      <c r="H26" s="17">
        <v>4.49</v>
      </c>
      <c r="I26" s="5">
        <f t="shared" si="2"/>
        <v>0.2138095238</v>
      </c>
      <c r="J26" s="6">
        <f t="shared" si="3"/>
        <v>41384</v>
      </c>
      <c r="K26" s="4">
        <v>36.0</v>
      </c>
      <c r="L26" s="4" t="s">
        <v>16</v>
      </c>
      <c r="M26" s="5">
        <f t="shared" si="4"/>
        <v>6.219959795</v>
      </c>
    </row>
    <row r="27">
      <c r="A27" s="7" t="s">
        <v>55</v>
      </c>
      <c r="B27" s="1">
        <v>5.0</v>
      </c>
      <c r="C27" s="8">
        <f t="shared" si="1"/>
        <v>0.8038637169</v>
      </c>
      <c r="D27" s="1" t="s">
        <v>53</v>
      </c>
      <c r="E27" s="3" t="str">
        <f>IFERROR(__xludf.DUMMYFUNCTION("IFERROR(INDEX(IMPORTRANGE(""docs.google.com/spreadsheets/d/1Dz5m9yCjvG51SgZ1o2KfJUBBR9Y0WOI97noTgdya4Zs/edit#gid=709845608"", ""Game!$A$2:$P""), MATCH(A27,IMPORTRANGE(""docs.google.com/spreadsheets/d/1Dz5m9yCjvG51SgZ1o2KfJUBBR9Y0WOI97noTgdya4Zs/edit#gid=7"&amp;"09845608"", ""Game!$A$2:$A""),0),16),""Not Started"")"),"Not Started")</f>
        <v>Not Started</v>
      </c>
      <c r="F27" s="4" t="s">
        <v>20</v>
      </c>
      <c r="G27" s="9">
        <v>41384.0</v>
      </c>
      <c r="H27" s="4">
        <v>0.01</v>
      </c>
      <c r="I27" s="5">
        <f t="shared" si="2"/>
        <v>0.002</v>
      </c>
      <c r="J27" s="6">
        <f t="shared" si="3"/>
        <v>41384</v>
      </c>
      <c r="K27" s="4">
        <v>36.0</v>
      </c>
      <c r="L27" s="4" t="s">
        <v>16</v>
      </c>
      <c r="M27" s="5">
        <f t="shared" si="4"/>
        <v>6.219959795</v>
      </c>
    </row>
    <row r="28">
      <c r="A28" s="7" t="s">
        <v>56</v>
      </c>
      <c r="B28" s="1">
        <v>12.0</v>
      </c>
      <c r="C28" s="8">
        <f t="shared" si="1"/>
        <v>1.929272921</v>
      </c>
      <c r="D28" s="1" t="s">
        <v>53</v>
      </c>
      <c r="E28" s="3" t="str">
        <f>IFERROR(__xludf.DUMMYFUNCTION("IFERROR(INDEX(IMPORTRANGE(""docs.google.com/spreadsheets/d/1Dz5m9yCjvG51SgZ1o2KfJUBBR9Y0WOI97noTgdya4Zs/edit#gid=709845608"", ""Game!$A$2:$P""), MATCH(A28,IMPORTRANGE(""docs.google.com/spreadsheets/d/1Dz5m9yCjvG51SgZ1o2KfJUBBR9Y0WOI97noTgdya4Zs/edit#gid=7"&amp;"09845608"", ""Game!$A$2:$A""),0),16),""Not Started"")"),"Not Started")</f>
        <v>Not Started</v>
      </c>
      <c r="F28" s="4" t="s">
        <v>20</v>
      </c>
      <c r="G28" s="9">
        <v>41384.0</v>
      </c>
      <c r="H28" s="4">
        <v>0.01</v>
      </c>
      <c r="I28" s="5">
        <f t="shared" si="2"/>
        <v>0.0008333333333</v>
      </c>
      <c r="J28" s="6">
        <f t="shared" si="3"/>
        <v>41384</v>
      </c>
      <c r="K28" s="4">
        <v>36.0</v>
      </c>
      <c r="L28" s="4" t="s">
        <v>16</v>
      </c>
      <c r="M28" s="5">
        <f t="shared" si="4"/>
        <v>6.219959795</v>
      </c>
    </row>
    <row r="29">
      <c r="A29" s="7" t="s">
        <v>57</v>
      </c>
      <c r="B29" s="1">
        <v>15.5</v>
      </c>
      <c r="C29" s="8">
        <f t="shared" si="1"/>
        <v>2.491977522</v>
      </c>
      <c r="D29" s="1" t="s">
        <v>27</v>
      </c>
      <c r="E29" s="3" t="s">
        <v>19</v>
      </c>
      <c r="F29" s="4" t="s">
        <v>20</v>
      </c>
      <c r="G29" s="9">
        <v>41392.0</v>
      </c>
      <c r="H29" s="4">
        <v>2.99</v>
      </c>
      <c r="I29" s="5">
        <f t="shared" si="2"/>
        <v>0.1929032258</v>
      </c>
      <c r="J29" s="6">
        <f t="shared" si="3"/>
        <v>41392</v>
      </c>
      <c r="K29" s="4">
        <v>36.0</v>
      </c>
      <c r="L29" s="4" t="s">
        <v>16</v>
      </c>
      <c r="M29" s="5">
        <f t="shared" si="4"/>
        <v>6.219959795</v>
      </c>
    </row>
    <row r="30">
      <c r="A30" s="7" t="s">
        <v>58</v>
      </c>
      <c r="B30" s="1">
        <v>19.5</v>
      </c>
      <c r="C30" s="8">
        <f t="shared" si="1"/>
        <v>3.135068496</v>
      </c>
      <c r="D30" s="1" t="s">
        <v>27</v>
      </c>
      <c r="E30" s="3" t="s">
        <v>19</v>
      </c>
      <c r="F30" s="4" t="s">
        <v>20</v>
      </c>
      <c r="G30" s="9">
        <v>41392.0</v>
      </c>
      <c r="H30" s="4">
        <v>2.99</v>
      </c>
      <c r="I30" s="5">
        <f t="shared" si="2"/>
        <v>0.1533333333</v>
      </c>
      <c r="J30" s="6">
        <f t="shared" si="3"/>
        <v>41392</v>
      </c>
      <c r="K30" s="4">
        <v>36.0</v>
      </c>
      <c r="L30" s="4" t="s">
        <v>16</v>
      </c>
      <c r="M30" s="5">
        <f t="shared" si="4"/>
        <v>6.219959795</v>
      </c>
    </row>
    <row r="31">
      <c r="A31" s="7" t="s">
        <v>59</v>
      </c>
      <c r="B31" s="1">
        <v>60.0</v>
      </c>
      <c r="C31" s="8">
        <f t="shared" si="1"/>
        <v>9.646364603</v>
      </c>
      <c r="D31" s="1" t="s">
        <v>27</v>
      </c>
      <c r="E31" s="3" t="s">
        <v>19</v>
      </c>
      <c r="F31" s="4" t="s">
        <v>20</v>
      </c>
      <c r="G31" s="9">
        <v>41392.0</v>
      </c>
      <c r="H31" s="4">
        <v>2.99</v>
      </c>
      <c r="I31" s="5">
        <f t="shared" si="2"/>
        <v>0.04983333333</v>
      </c>
      <c r="J31" s="6">
        <f t="shared" si="3"/>
        <v>41392</v>
      </c>
      <c r="K31" s="4">
        <v>36.0</v>
      </c>
      <c r="L31" s="4" t="s">
        <v>16</v>
      </c>
      <c r="M31" s="5">
        <f t="shared" si="4"/>
        <v>6.219959795</v>
      </c>
    </row>
    <row r="32">
      <c r="A32" s="7" t="s">
        <v>60</v>
      </c>
      <c r="B32" s="1">
        <v>5.0</v>
      </c>
      <c r="C32" s="8">
        <f t="shared" si="1"/>
        <v>0.8038637169</v>
      </c>
      <c r="D32" s="1" t="s">
        <v>27</v>
      </c>
      <c r="E32" s="3" t="s">
        <v>19</v>
      </c>
      <c r="F32" s="4" t="s">
        <v>20</v>
      </c>
      <c r="G32" s="9">
        <v>41392.0</v>
      </c>
      <c r="H32" s="4">
        <v>2.99</v>
      </c>
      <c r="I32" s="5">
        <f t="shared" si="2"/>
        <v>0.598</v>
      </c>
      <c r="J32" s="6">
        <f t="shared" si="3"/>
        <v>41392</v>
      </c>
      <c r="K32" s="4">
        <v>36.0</v>
      </c>
      <c r="L32" s="4" t="s">
        <v>16</v>
      </c>
      <c r="M32" s="5">
        <f t="shared" si="4"/>
        <v>6.219959795</v>
      </c>
    </row>
    <row r="33">
      <c r="A33" s="7" t="s">
        <v>61</v>
      </c>
      <c r="B33" s="1">
        <v>9.0</v>
      </c>
      <c r="C33" s="8">
        <f t="shared" si="1"/>
        <v>1.44695469</v>
      </c>
      <c r="D33" s="1" t="s">
        <v>27</v>
      </c>
      <c r="E33" s="3" t="s">
        <v>19</v>
      </c>
      <c r="F33" s="4" t="s">
        <v>20</v>
      </c>
      <c r="G33" s="9">
        <v>41392.0</v>
      </c>
      <c r="H33" s="4">
        <v>2.99</v>
      </c>
      <c r="I33" s="5">
        <f t="shared" si="2"/>
        <v>0.3322222222</v>
      </c>
      <c r="J33" s="6">
        <f t="shared" si="3"/>
        <v>41392</v>
      </c>
      <c r="K33" s="4">
        <v>36.0</v>
      </c>
      <c r="L33" s="4" t="s">
        <v>16</v>
      </c>
      <c r="M33" s="5">
        <f t="shared" si="4"/>
        <v>6.219959795</v>
      </c>
    </row>
    <row r="34">
      <c r="A34" s="7" t="s">
        <v>62</v>
      </c>
      <c r="B34" s="1">
        <v>0.5</v>
      </c>
      <c r="C34" s="8">
        <f t="shared" si="1"/>
        <v>0.08038637169</v>
      </c>
      <c r="D34" s="1" t="s">
        <v>27</v>
      </c>
      <c r="E34" s="3" t="s">
        <v>19</v>
      </c>
      <c r="F34" s="4" t="s">
        <v>20</v>
      </c>
      <c r="G34" s="9">
        <v>41392.0</v>
      </c>
      <c r="H34" s="4">
        <v>2.99</v>
      </c>
      <c r="I34" s="5">
        <f t="shared" si="2"/>
        <v>5.98</v>
      </c>
      <c r="J34" s="6">
        <f t="shared" si="3"/>
        <v>41392</v>
      </c>
      <c r="K34" s="4">
        <v>36.0</v>
      </c>
      <c r="L34" s="4" t="s">
        <v>16</v>
      </c>
      <c r="M34" s="5">
        <f t="shared" si="4"/>
        <v>6.219959795</v>
      </c>
    </row>
    <row r="35">
      <c r="A35" s="7" t="s">
        <v>63</v>
      </c>
      <c r="B35" s="1">
        <v>3.5</v>
      </c>
      <c r="C35" s="8">
        <f t="shared" si="1"/>
        <v>0.5627046018</v>
      </c>
      <c r="D35" s="1" t="s">
        <v>27</v>
      </c>
      <c r="E35" s="3" t="s">
        <v>19</v>
      </c>
      <c r="F35" s="4" t="s">
        <v>20</v>
      </c>
      <c r="G35" s="9">
        <v>41392.0</v>
      </c>
      <c r="H35" s="4">
        <v>2.99</v>
      </c>
      <c r="I35" s="5">
        <f t="shared" si="2"/>
        <v>0.8542857143</v>
      </c>
      <c r="J35" s="6">
        <f t="shared" si="3"/>
        <v>41392</v>
      </c>
      <c r="K35" s="4">
        <v>36.0</v>
      </c>
      <c r="L35" s="4" t="s">
        <v>16</v>
      </c>
      <c r="M35" s="5">
        <f t="shared" si="4"/>
        <v>6.219959795</v>
      </c>
    </row>
    <row r="36">
      <c r="A36" s="7" t="s">
        <v>64</v>
      </c>
      <c r="B36" s="1">
        <v>7.5</v>
      </c>
      <c r="C36" s="8">
        <f t="shared" si="1"/>
        <v>1.205795575</v>
      </c>
      <c r="D36" s="1" t="s">
        <v>27</v>
      </c>
      <c r="E36" s="3" t="s">
        <v>19</v>
      </c>
      <c r="F36" s="4" t="s">
        <v>20</v>
      </c>
      <c r="G36" s="9">
        <v>41392.0</v>
      </c>
      <c r="H36" s="4">
        <v>2.99</v>
      </c>
      <c r="I36" s="5">
        <f t="shared" si="2"/>
        <v>0.3986666667</v>
      </c>
      <c r="J36" s="6">
        <f t="shared" si="3"/>
        <v>41392</v>
      </c>
      <c r="K36" s="4">
        <v>36.0</v>
      </c>
      <c r="L36" s="4" t="s">
        <v>16</v>
      </c>
      <c r="M36" s="5">
        <f t="shared" si="4"/>
        <v>6.219959795</v>
      </c>
    </row>
    <row r="37">
      <c r="A37" s="7" t="s">
        <v>65</v>
      </c>
      <c r="B37" s="1">
        <v>13.0</v>
      </c>
      <c r="C37" s="8">
        <f t="shared" si="1"/>
        <v>2.090045664</v>
      </c>
      <c r="D37" s="1" t="s">
        <v>27</v>
      </c>
      <c r="E37" s="3" t="str">
        <f>IFERROR(__xludf.DUMMYFUNCTION("IFERROR(INDEX(IMPORTRANGE(""docs.google.com/spreadsheets/d/1Dz5m9yCjvG51SgZ1o2KfJUBBR9Y0WOI97noTgdya4Zs/edit#gid=709845608"", ""Game!$A$2:$P""), MATCH(A37,IMPORTRANGE(""docs.google.com/spreadsheets/d/1Dz5m9yCjvG51SgZ1o2KfJUBBR9Y0WOI97noTgdya4Zs/edit#gid=7"&amp;"09845608"", ""Game!$A$2:$A""),0),16),""Not Started"")"),"Not Started")</f>
        <v>Not Started</v>
      </c>
      <c r="F37" s="4" t="s">
        <v>20</v>
      </c>
      <c r="G37" s="9">
        <v>41392.0</v>
      </c>
      <c r="H37" s="4">
        <v>2.99</v>
      </c>
      <c r="I37" s="5">
        <f t="shared" si="2"/>
        <v>0.23</v>
      </c>
      <c r="J37" s="6">
        <f t="shared" si="3"/>
        <v>41392</v>
      </c>
      <c r="K37" s="4">
        <v>36.0</v>
      </c>
      <c r="L37" s="4" t="s">
        <v>16</v>
      </c>
      <c r="M37" s="5">
        <f t="shared" si="4"/>
        <v>6.219959795</v>
      </c>
    </row>
    <row r="38">
      <c r="A38" s="18" t="s">
        <v>66</v>
      </c>
      <c r="B38" s="14">
        <v>5.0</v>
      </c>
      <c r="C38" s="8">
        <f t="shared" si="1"/>
        <v>0.8038637169</v>
      </c>
      <c r="D38" s="14" t="s">
        <v>67</v>
      </c>
      <c r="E38" s="3" t="str">
        <f>IFERROR(__xludf.DUMMYFUNCTION("IFERROR(INDEX(IMPORTRANGE(""docs.google.com/spreadsheets/d/1Dz5m9yCjvG51SgZ1o2KfJUBBR9Y0WOI97noTgdya4Zs/edit#gid=709845608"", ""Game!$A$2:$P""), MATCH(A38,IMPORTRANGE(""docs.google.com/spreadsheets/d/1Dz5m9yCjvG51SgZ1o2KfJUBBR9Y0WOI97noTgdya4Zs/edit#gid=7"&amp;"09845608"", ""Game!$A$2:$A""),0),16),""Not Started"")"),"Not Started")</f>
        <v>Not Started</v>
      </c>
      <c r="F38" s="15" t="s">
        <v>20</v>
      </c>
      <c r="G38" s="16">
        <v>41392.0</v>
      </c>
      <c r="H38" s="17">
        <v>7.99</v>
      </c>
      <c r="I38" s="5">
        <f t="shared" si="2"/>
        <v>1.598</v>
      </c>
      <c r="J38" s="6">
        <f t="shared" si="3"/>
        <v>41392</v>
      </c>
      <c r="K38" s="4">
        <v>36.0</v>
      </c>
      <c r="L38" s="4" t="s">
        <v>16</v>
      </c>
      <c r="M38" s="5">
        <f t="shared" si="4"/>
        <v>6.219959795</v>
      </c>
    </row>
    <row r="39">
      <c r="A39" s="7" t="s">
        <v>68</v>
      </c>
      <c r="B39" s="1">
        <v>3.0</v>
      </c>
      <c r="C39" s="8">
        <f t="shared" si="1"/>
        <v>0.4823182301</v>
      </c>
      <c r="D39" s="1" t="s">
        <v>69</v>
      </c>
      <c r="E39" s="3" t="str">
        <f>IFERROR(__xludf.DUMMYFUNCTION("IFERROR(INDEX(IMPORTRANGE(""docs.google.com/spreadsheets/d/1Dz5m9yCjvG51SgZ1o2KfJUBBR9Y0WOI97noTgdya4Zs/edit#gid=709845608"", ""Game!$A$2:$P""), MATCH(A39,IMPORTRANGE(""docs.google.com/spreadsheets/d/1Dz5m9yCjvG51SgZ1o2KfJUBBR9Y0WOI97noTgdya4Zs/edit#gid=7"&amp;"09845608"", ""Game!$A$2:$A""),0),16),""Not Started"")"),"Not Started")</f>
        <v>Not Started</v>
      </c>
      <c r="F39" s="4" t="s">
        <v>15</v>
      </c>
      <c r="G39" s="9">
        <v>41395.0</v>
      </c>
      <c r="H39" s="4">
        <v>9.49</v>
      </c>
      <c r="I39" s="5">
        <f t="shared" si="2"/>
        <v>3.163333333</v>
      </c>
      <c r="J39" s="6">
        <f t="shared" si="3"/>
        <v>41395</v>
      </c>
      <c r="K39" s="4">
        <v>36.0</v>
      </c>
      <c r="L39" s="4" t="s">
        <v>16</v>
      </c>
      <c r="M39" s="5">
        <f t="shared" si="4"/>
        <v>6.219959795</v>
      </c>
    </row>
    <row r="40">
      <c r="A40" s="19" t="s">
        <v>70</v>
      </c>
      <c r="B40" s="1">
        <v>23.0</v>
      </c>
      <c r="C40" s="8">
        <f t="shared" si="1"/>
        <v>3.697773098</v>
      </c>
      <c r="D40" s="1" t="s">
        <v>27</v>
      </c>
      <c r="E40" s="3" t="s">
        <v>19</v>
      </c>
      <c r="F40" s="4" t="s">
        <v>20</v>
      </c>
      <c r="G40" s="9">
        <v>41407.0</v>
      </c>
      <c r="H40" s="4">
        <v>2.99</v>
      </c>
      <c r="I40" s="5">
        <f t="shared" si="2"/>
        <v>0.13</v>
      </c>
      <c r="J40" s="6">
        <f t="shared" si="3"/>
        <v>41407</v>
      </c>
      <c r="K40" s="4">
        <v>36.0</v>
      </c>
      <c r="L40" s="4" t="s">
        <v>16</v>
      </c>
      <c r="M40" s="5">
        <f t="shared" si="4"/>
        <v>6.219959795</v>
      </c>
    </row>
    <row r="41">
      <c r="A41" s="7" t="s">
        <v>71</v>
      </c>
      <c r="B41" s="1">
        <v>8.0</v>
      </c>
      <c r="C41" s="8">
        <f t="shared" si="1"/>
        <v>1.286181947</v>
      </c>
      <c r="D41" s="1" t="s">
        <v>38</v>
      </c>
      <c r="E41" s="3" t="s">
        <v>19</v>
      </c>
      <c r="F41" s="4" t="s">
        <v>20</v>
      </c>
      <c r="G41" s="9">
        <v>41410.0</v>
      </c>
      <c r="H41" s="4">
        <v>0.99</v>
      </c>
      <c r="I41" s="5">
        <f t="shared" si="2"/>
        <v>0.12375</v>
      </c>
      <c r="J41" s="6">
        <f t="shared" si="3"/>
        <v>41410</v>
      </c>
      <c r="K41" s="4">
        <v>36.0</v>
      </c>
      <c r="L41" s="4" t="s">
        <v>16</v>
      </c>
      <c r="M41" s="5">
        <f t="shared" si="4"/>
        <v>6.219959795</v>
      </c>
    </row>
    <row r="42">
      <c r="A42" s="7" t="s">
        <v>72</v>
      </c>
      <c r="B42" s="1">
        <v>25.0</v>
      </c>
      <c r="C42" s="8">
        <f t="shared" si="1"/>
        <v>4.019318584</v>
      </c>
      <c r="D42" s="1" t="s">
        <v>29</v>
      </c>
      <c r="E42" s="3" t="str">
        <f>IFERROR(__xludf.DUMMYFUNCTION("IFERROR(INDEX(IMPORTRANGE(""docs.google.com/spreadsheets/d/1Dz5m9yCjvG51SgZ1o2KfJUBBR9Y0WOI97noTgdya4Zs/edit#gid=709845608"", ""Game!$A$2:$P""), MATCH(A42,IMPORTRANGE(""docs.google.com/spreadsheets/d/1Dz5m9yCjvG51SgZ1o2KfJUBBR9Y0WOI97noTgdya4Zs/edit#gid=7"&amp;"09845608"", ""Game!$A$2:$A""),0),16),""Not Started"")"),"Not Started")</f>
        <v>Not Started</v>
      </c>
      <c r="F42" s="4" t="s">
        <v>15</v>
      </c>
      <c r="G42" s="9">
        <v>41410.0</v>
      </c>
      <c r="H42" s="4">
        <v>5.0</v>
      </c>
      <c r="I42" s="5">
        <f t="shared" si="2"/>
        <v>0.2</v>
      </c>
      <c r="J42" s="6">
        <f t="shared" si="3"/>
        <v>41410</v>
      </c>
      <c r="K42" s="4">
        <v>36.0</v>
      </c>
      <c r="L42" s="4" t="s">
        <v>16</v>
      </c>
      <c r="M42" s="5">
        <f t="shared" si="4"/>
        <v>6.219959795</v>
      </c>
    </row>
    <row r="43">
      <c r="A43" s="18" t="s">
        <v>73</v>
      </c>
      <c r="B43" s="14">
        <v>30.0</v>
      </c>
      <c r="C43" s="8">
        <f t="shared" si="1"/>
        <v>4.823182301</v>
      </c>
      <c r="D43" s="14" t="s">
        <v>29</v>
      </c>
      <c r="E43" s="3" t="s">
        <v>19</v>
      </c>
      <c r="F43" s="15" t="s">
        <v>15</v>
      </c>
      <c r="G43" s="9">
        <v>41410.0</v>
      </c>
      <c r="H43" s="15">
        <v>2.5</v>
      </c>
      <c r="I43" s="5">
        <f t="shared" si="2"/>
        <v>0.08333333333</v>
      </c>
      <c r="J43" s="6">
        <f t="shared" si="3"/>
        <v>41410</v>
      </c>
      <c r="K43" s="4">
        <v>36.0</v>
      </c>
      <c r="L43" s="4" t="s">
        <v>16</v>
      </c>
      <c r="M43" s="5">
        <f t="shared" si="4"/>
        <v>6.219959795</v>
      </c>
    </row>
    <row r="44">
      <c r="A44" s="7" t="s">
        <v>74</v>
      </c>
      <c r="B44" s="1">
        <v>129.0</v>
      </c>
      <c r="C44" s="8">
        <f t="shared" si="1"/>
        <v>20.7396839</v>
      </c>
      <c r="D44" s="1" t="s">
        <v>24</v>
      </c>
      <c r="E44" s="3" t="s">
        <v>19</v>
      </c>
      <c r="F44" s="4" t="s">
        <v>20</v>
      </c>
      <c r="G44" s="9">
        <v>41411.0</v>
      </c>
      <c r="H44" s="4">
        <v>67.99</v>
      </c>
      <c r="I44" s="5">
        <f t="shared" si="2"/>
        <v>0.5270542636</v>
      </c>
      <c r="J44" s="6">
        <f t="shared" si="3"/>
        <v>41411</v>
      </c>
      <c r="K44" s="4">
        <v>36.0</v>
      </c>
      <c r="L44" s="4" t="s">
        <v>16</v>
      </c>
      <c r="M44" s="5">
        <f t="shared" si="4"/>
        <v>6.219959795</v>
      </c>
    </row>
    <row r="45">
      <c r="A45" s="20" t="s">
        <v>75</v>
      </c>
      <c r="B45" s="1">
        <v>82.5</v>
      </c>
      <c r="C45" s="8">
        <f t="shared" si="1"/>
        <v>13.26375133</v>
      </c>
      <c r="D45" s="1" t="s">
        <v>24</v>
      </c>
      <c r="E45" s="3" t="s">
        <v>19</v>
      </c>
      <c r="F45" s="4" t="s">
        <v>20</v>
      </c>
      <c r="G45" s="9">
        <v>41411.0</v>
      </c>
      <c r="H45" s="4">
        <v>27.69</v>
      </c>
      <c r="I45" s="5">
        <f t="shared" si="2"/>
        <v>0.3356363636</v>
      </c>
      <c r="J45" s="6">
        <f t="shared" si="3"/>
        <v>41411</v>
      </c>
      <c r="K45" s="4">
        <v>36.0</v>
      </c>
      <c r="L45" s="4" t="s">
        <v>16</v>
      </c>
      <c r="M45" s="5">
        <f t="shared" si="4"/>
        <v>6.219959795</v>
      </c>
    </row>
    <row r="46">
      <c r="A46" s="7" t="s">
        <v>76</v>
      </c>
      <c r="B46" s="1">
        <v>43.0</v>
      </c>
      <c r="C46" s="8">
        <f t="shared" si="1"/>
        <v>6.913227965</v>
      </c>
      <c r="D46" s="1" t="s">
        <v>24</v>
      </c>
      <c r="E46" s="3" t="s">
        <v>19</v>
      </c>
      <c r="F46" s="4" t="s">
        <v>20</v>
      </c>
      <c r="G46" s="9">
        <v>41437.0</v>
      </c>
      <c r="H46" s="4">
        <v>4.99</v>
      </c>
      <c r="I46" s="5">
        <f t="shared" si="2"/>
        <v>0.1160465116</v>
      </c>
      <c r="J46" s="6">
        <f t="shared" si="3"/>
        <v>41437</v>
      </c>
      <c r="K46" s="4">
        <v>36.0</v>
      </c>
      <c r="L46" s="4" t="s">
        <v>16</v>
      </c>
      <c r="M46" s="5">
        <f t="shared" si="4"/>
        <v>6.219959795</v>
      </c>
    </row>
    <row r="47">
      <c r="A47" s="19" t="s">
        <v>77</v>
      </c>
      <c r="B47" s="1">
        <v>50.0</v>
      </c>
      <c r="C47" s="8">
        <f t="shared" si="1"/>
        <v>8.038637169</v>
      </c>
      <c r="D47" s="1" t="s">
        <v>24</v>
      </c>
      <c r="E47" s="3" t="s">
        <v>19</v>
      </c>
      <c r="F47" s="4" t="s">
        <v>20</v>
      </c>
      <c r="G47" s="9">
        <v>41437.0</v>
      </c>
      <c r="H47" s="4">
        <v>9.99</v>
      </c>
      <c r="I47" s="5">
        <f t="shared" si="2"/>
        <v>0.1998</v>
      </c>
      <c r="J47" s="6">
        <f t="shared" si="3"/>
        <v>41437</v>
      </c>
      <c r="K47" s="4">
        <v>36.0</v>
      </c>
      <c r="L47" s="4" t="s">
        <v>16</v>
      </c>
      <c r="M47" s="5">
        <f t="shared" si="4"/>
        <v>6.219959795</v>
      </c>
    </row>
    <row r="48">
      <c r="A48" s="7" t="s">
        <v>78</v>
      </c>
      <c r="B48" s="1">
        <v>14.0</v>
      </c>
      <c r="C48" s="8">
        <f t="shared" si="1"/>
        <v>2.250818407</v>
      </c>
      <c r="D48" s="1" t="s">
        <v>53</v>
      </c>
      <c r="E48" s="3" t="str">
        <f>IFERROR(__xludf.DUMMYFUNCTION("IFERROR(INDEX(IMPORTRANGE(""docs.google.com/spreadsheets/d/1Dz5m9yCjvG51SgZ1o2KfJUBBR9Y0WOI97noTgdya4Zs/edit#gid=709845608"", ""Game!$A$2:$P""), MATCH(A48,IMPORTRANGE(""docs.google.com/spreadsheets/d/1Dz5m9yCjvG51SgZ1o2KfJUBBR9Y0WOI97noTgdya4Zs/edit#gid=7"&amp;"09845608"", ""Game!$A$2:$A""),0),16),""Not Started"")"),"Not Started")</f>
        <v>Not Started</v>
      </c>
      <c r="F48" s="4" t="s">
        <v>15</v>
      </c>
      <c r="G48" s="9">
        <v>41448.0</v>
      </c>
      <c r="H48" s="4">
        <v>2.67</v>
      </c>
      <c r="I48" s="5">
        <f t="shared" si="2"/>
        <v>0.1907142857</v>
      </c>
      <c r="J48" s="6">
        <f t="shared" si="3"/>
        <v>41448</v>
      </c>
      <c r="K48" s="4">
        <v>36.0</v>
      </c>
      <c r="L48" s="4" t="s">
        <v>16</v>
      </c>
      <c r="M48" s="5">
        <f t="shared" si="4"/>
        <v>6.219959795</v>
      </c>
    </row>
    <row r="49">
      <c r="A49" s="7" t="s">
        <v>79</v>
      </c>
      <c r="B49" s="1">
        <v>128.0</v>
      </c>
      <c r="C49" s="8">
        <f t="shared" si="1"/>
        <v>20.57891115</v>
      </c>
      <c r="D49" s="1" t="s">
        <v>14</v>
      </c>
      <c r="E49" s="3" t="str">
        <f>IFERROR(__xludf.DUMMYFUNCTION("IFERROR(INDEX(IMPORTRANGE(""docs.google.com/spreadsheets/d/1Dz5m9yCjvG51SgZ1o2KfJUBBR9Y0WOI97noTgdya4Zs/edit#gid=709845608"", ""Game!$A$2:$P""), MATCH(A49,IMPORTRANGE(""docs.google.com/spreadsheets/d/1Dz5m9yCjvG51SgZ1o2KfJUBBR9Y0WOI97noTgdya4Zs/edit#gid=7"&amp;"09845608"", ""Game!$A$2:$A""),0),16),""Not Started"")"),"Not Started")</f>
        <v>Not Started</v>
      </c>
      <c r="F49" s="4" t="s">
        <v>15</v>
      </c>
      <c r="G49" s="9">
        <v>41453.0</v>
      </c>
      <c r="H49" s="4">
        <v>14.49</v>
      </c>
      <c r="I49" s="5">
        <f t="shared" si="2"/>
        <v>0.113203125</v>
      </c>
      <c r="J49" s="6">
        <f t="shared" si="3"/>
        <v>41453</v>
      </c>
      <c r="K49" s="4">
        <v>36.0</v>
      </c>
      <c r="L49" s="4" t="s">
        <v>16</v>
      </c>
      <c r="M49" s="5">
        <f t="shared" si="4"/>
        <v>6.219959795</v>
      </c>
    </row>
    <row r="50">
      <c r="A50" s="7" t="s">
        <v>80</v>
      </c>
      <c r="B50" s="1">
        <v>20.0</v>
      </c>
      <c r="C50" s="8">
        <f t="shared" si="1"/>
        <v>3.215454868</v>
      </c>
      <c r="D50" s="1" t="s">
        <v>81</v>
      </c>
      <c r="E50" s="3" t="s">
        <v>19</v>
      </c>
      <c r="F50" s="4" t="s">
        <v>20</v>
      </c>
      <c r="G50" s="9">
        <v>41467.0</v>
      </c>
      <c r="H50" s="4">
        <v>10.68</v>
      </c>
      <c r="I50" s="5">
        <f t="shared" si="2"/>
        <v>0.534</v>
      </c>
      <c r="J50" s="6">
        <f t="shared" si="3"/>
        <v>41467</v>
      </c>
      <c r="K50" s="4">
        <v>36.0</v>
      </c>
      <c r="L50" s="4" t="s">
        <v>16</v>
      </c>
      <c r="M50" s="5">
        <f t="shared" si="4"/>
        <v>6.219959795</v>
      </c>
    </row>
    <row r="51">
      <c r="A51" s="19" t="s">
        <v>82</v>
      </c>
      <c r="B51" s="1">
        <v>21.0</v>
      </c>
      <c r="C51" s="8">
        <f t="shared" si="1"/>
        <v>3.376227611</v>
      </c>
      <c r="D51" s="1" t="s">
        <v>38</v>
      </c>
      <c r="E51" s="3" t="str">
        <f>IFERROR(__xludf.DUMMYFUNCTION("IFERROR(INDEX(IMPORTRANGE(""docs.google.com/spreadsheets/d/1Dz5m9yCjvG51SgZ1o2KfJUBBR9Y0WOI97noTgdya4Zs/edit#gid=709845608"", ""Game!$A$2:$P""), MATCH(A51,IMPORTRANGE(""docs.google.com/spreadsheets/d/1Dz5m9yCjvG51SgZ1o2KfJUBBR9Y0WOI97noTgdya4Zs/edit#gid=7"&amp;"09845608"", ""Game!$A$2:$A""),0),16),""Not Started"")"),"Not Started")</f>
        <v>Not Started</v>
      </c>
      <c r="F51" s="4" t="s">
        <v>20</v>
      </c>
      <c r="G51" s="9">
        <v>41469.0</v>
      </c>
      <c r="H51" s="4">
        <v>1.74</v>
      </c>
      <c r="I51" s="5">
        <f t="shared" si="2"/>
        <v>0.08285714286</v>
      </c>
      <c r="J51" s="6">
        <f t="shared" si="3"/>
        <v>41469</v>
      </c>
      <c r="K51" s="4">
        <v>36.0</v>
      </c>
      <c r="L51" s="4" t="s">
        <v>16</v>
      </c>
      <c r="M51" s="5">
        <f t="shared" si="4"/>
        <v>6.219959795</v>
      </c>
    </row>
    <row r="52">
      <c r="A52" s="7" t="s">
        <v>83</v>
      </c>
      <c r="B52" s="1">
        <v>40.0</v>
      </c>
      <c r="C52" s="8">
        <f t="shared" si="1"/>
        <v>6.430909735</v>
      </c>
      <c r="D52" s="1" t="s">
        <v>42</v>
      </c>
      <c r="E52" s="3" t="s">
        <v>19</v>
      </c>
      <c r="F52" s="4" t="s">
        <v>20</v>
      </c>
      <c r="G52" s="9">
        <v>41539.0</v>
      </c>
      <c r="H52" s="4">
        <f>27.99+3.74</f>
        <v>31.73</v>
      </c>
      <c r="I52" s="5">
        <f t="shared" si="2"/>
        <v>0.79325</v>
      </c>
      <c r="J52" s="6">
        <f t="shared" si="3"/>
        <v>41539</v>
      </c>
      <c r="K52" s="4">
        <v>36.0</v>
      </c>
      <c r="L52" s="4" t="s">
        <v>16</v>
      </c>
      <c r="M52" s="5">
        <f t="shared" si="4"/>
        <v>6.219959795</v>
      </c>
    </row>
    <row r="53">
      <c r="A53" s="19" t="s">
        <v>84</v>
      </c>
      <c r="B53" s="1">
        <v>50.0</v>
      </c>
      <c r="C53" s="8">
        <f t="shared" si="1"/>
        <v>8.038637169</v>
      </c>
      <c r="D53" s="1" t="s">
        <v>24</v>
      </c>
      <c r="E53" s="3" t="s">
        <v>19</v>
      </c>
      <c r="F53" s="4" t="s">
        <v>20</v>
      </c>
      <c r="G53" s="9">
        <v>41540.0</v>
      </c>
      <c r="H53" s="4">
        <v>12.71</v>
      </c>
      <c r="I53" s="5">
        <f t="shared" si="2"/>
        <v>0.2542</v>
      </c>
      <c r="J53" s="6">
        <f t="shared" si="3"/>
        <v>41540</v>
      </c>
      <c r="K53" s="4">
        <v>36.0</v>
      </c>
      <c r="L53" s="4" t="s">
        <v>39</v>
      </c>
      <c r="M53" s="5">
        <f t="shared" si="4"/>
        <v>6.219959795</v>
      </c>
    </row>
    <row r="54">
      <c r="A54" s="7" t="s">
        <v>85</v>
      </c>
      <c r="B54" s="1">
        <v>12.0</v>
      </c>
      <c r="C54" s="8">
        <f t="shared" si="1"/>
        <v>1.929272921</v>
      </c>
      <c r="D54" s="1" t="s">
        <v>44</v>
      </c>
      <c r="E54" s="3" t="s">
        <v>19</v>
      </c>
      <c r="F54" s="4" t="s">
        <v>20</v>
      </c>
      <c r="G54" s="9">
        <v>41551.0</v>
      </c>
      <c r="H54" s="4">
        <v>3.74</v>
      </c>
      <c r="I54" s="5">
        <f t="shared" si="2"/>
        <v>0.3116666667</v>
      </c>
      <c r="J54" s="6">
        <f t="shared" si="3"/>
        <v>41551</v>
      </c>
      <c r="K54" s="4">
        <v>36.0</v>
      </c>
      <c r="L54" s="4" t="s">
        <v>16</v>
      </c>
      <c r="M54" s="5">
        <f t="shared" si="4"/>
        <v>6.219959795</v>
      </c>
    </row>
    <row r="55">
      <c r="A55" s="7" t="s">
        <v>86</v>
      </c>
      <c r="B55" s="1">
        <v>12.0</v>
      </c>
      <c r="C55" s="8">
        <f t="shared" si="1"/>
        <v>1.929272921</v>
      </c>
      <c r="D55" s="1" t="s">
        <v>27</v>
      </c>
      <c r="E55" s="3" t="s">
        <v>19</v>
      </c>
      <c r="F55" s="4" t="s">
        <v>20</v>
      </c>
      <c r="G55" s="12">
        <v>41561.0</v>
      </c>
      <c r="H55" s="4">
        <v>9.99</v>
      </c>
      <c r="I55" s="5">
        <f t="shared" si="2"/>
        <v>0.8325</v>
      </c>
      <c r="J55" s="6">
        <f t="shared" si="3"/>
        <v>41561</v>
      </c>
      <c r="K55" s="4">
        <v>36.0</v>
      </c>
      <c r="L55" s="4" t="s">
        <v>16</v>
      </c>
      <c r="M55" s="5">
        <f t="shared" si="4"/>
        <v>6.219959795</v>
      </c>
    </row>
    <row r="56">
      <c r="A56" s="7" t="s">
        <v>87</v>
      </c>
      <c r="B56" s="1">
        <v>15.0</v>
      </c>
      <c r="C56" s="8">
        <f t="shared" si="1"/>
        <v>2.411591151</v>
      </c>
      <c r="D56" s="1" t="s">
        <v>27</v>
      </c>
      <c r="E56" s="3" t="s">
        <v>19</v>
      </c>
      <c r="F56" s="4" t="s">
        <v>20</v>
      </c>
      <c r="G56" s="12">
        <v>41562.0</v>
      </c>
      <c r="H56" s="4">
        <v>9.99</v>
      </c>
      <c r="I56" s="5">
        <f t="shared" si="2"/>
        <v>0.666</v>
      </c>
      <c r="J56" s="6">
        <f t="shared" si="3"/>
        <v>41562</v>
      </c>
      <c r="K56" s="4">
        <v>36.0</v>
      </c>
      <c r="L56" s="4" t="s">
        <v>16</v>
      </c>
      <c r="M56" s="5">
        <f t="shared" si="4"/>
        <v>6.219959795</v>
      </c>
    </row>
    <row r="57">
      <c r="A57" s="7" t="s">
        <v>88</v>
      </c>
      <c r="B57" s="1">
        <v>7.0</v>
      </c>
      <c r="C57" s="8">
        <f t="shared" si="1"/>
        <v>1.125409204</v>
      </c>
      <c r="D57" s="1" t="s">
        <v>27</v>
      </c>
      <c r="E57" s="3" t="s">
        <v>19</v>
      </c>
      <c r="F57" s="4" t="s">
        <v>20</v>
      </c>
      <c r="G57" s="12">
        <v>41563.0</v>
      </c>
      <c r="H57" s="4">
        <v>9.99</v>
      </c>
      <c r="I57" s="5">
        <f t="shared" si="2"/>
        <v>1.427142857</v>
      </c>
      <c r="J57" s="6">
        <f t="shared" si="3"/>
        <v>41563</v>
      </c>
      <c r="K57" s="4">
        <v>36.0</v>
      </c>
      <c r="L57" s="4" t="s">
        <v>16</v>
      </c>
      <c r="M57" s="5">
        <f t="shared" si="4"/>
        <v>6.219959795</v>
      </c>
    </row>
    <row r="58">
      <c r="A58" s="7" t="s">
        <v>89</v>
      </c>
      <c r="B58" s="1">
        <v>3.0</v>
      </c>
      <c r="C58" s="8">
        <f t="shared" si="1"/>
        <v>0.4823182301</v>
      </c>
      <c r="D58" s="1" t="s">
        <v>67</v>
      </c>
      <c r="E58" s="3" t="str">
        <f>IFERROR(__xludf.DUMMYFUNCTION("IFERROR(INDEX(IMPORTRANGE(""docs.google.com/spreadsheets/d/1Dz5m9yCjvG51SgZ1o2KfJUBBR9Y0WOI97noTgdya4Zs/edit#gid=709845608"", ""Game!$A$2:$P""), MATCH(A58,IMPORTRANGE(""docs.google.com/spreadsheets/d/1Dz5m9yCjvG51SgZ1o2KfJUBBR9Y0WOI97noTgdya4Zs/edit#gid=7"&amp;"09845608"", ""Game!$A$2:$A""),0),16),""Not Started"")"),"Not Started")</f>
        <v>Not Started</v>
      </c>
      <c r="F58" s="4" t="s">
        <v>20</v>
      </c>
      <c r="G58" s="12">
        <v>41627.0</v>
      </c>
      <c r="H58" s="4">
        <v>1.75</v>
      </c>
      <c r="I58" s="5">
        <f t="shared" si="2"/>
        <v>0.5833333333</v>
      </c>
      <c r="J58" s="6">
        <f t="shared" si="3"/>
        <v>41627</v>
      </c>
      <c r="K58" s="4">
        <v>36.0</v>
      </c>
      <c r="L58" s="4" t="s">
        <v>16</v>
      </c>
      <c r="M58" s="5">
        <f t="shared" si="4"/>
        <v>6.219959795</v>
      </c>
    </row>
    <row r="59">
      <c r="A59" s="7" t="s">
        <v>90</v>
      </c>
      <c r="B59" s="1">
        <v>28.0</v>
      </c>
      <c r="C59" s="8">
        <f t="shared" si="1"/>
        <v>4.501636815</v>
      </c>
      <c r="D59" s="1" t="s">
        <v>27</v>
      </c>
      <c r="E59" s="3" t="s">
        <v>19</v>
      </c>
      <c r="F59" s="4" t="s">
        <v>20</v>
      </c>
      <c r="G59" s="12">
        <v>41627.0</v>
      </c>
      <c r="H59" s="4">
        <v>22.23</v>
      </c>
      <c r="I59" s="5">
        <f t="shared" si="2"/>
        <v>0.7939285714</v>
      </c>
      <c r="J59" s="6">
        <f t="shared" si="3"/>
        <v>41627</v>
      </c>
      <c r="K59" s="4">
        <v>36.0</v>
      </c>
      <c r="L59" s="4" t="s">
        <v>16</v>
      </c>
      <c r="M59" s="5">
        <f t="shared" si="4"/>
        <v>6.219959795</v>
      </c>
    </row>
    <row r="60">
      <c r="A60" s="7" t="s">
        <v>91</v>
      </c>
      <c r="B60" s="1">
        <v>59.0</v>
      </c>
      <c r="C60" s="8">
        <f t="shared" si="1"/>
        <v>9.485591859</v>
      </c>
      <c r="D60" s="1" t="s">
        <v>27</v>
      </c>
      <c r="E60" s="3" t="str">
        <f>IFERROR(__xludf.DUMMYFUNCTION("IFERROR(INDEX(IMPORTRANGE(""docs.google.com/spreadsheets/d/1Dz5m9yCjvG51SgZ1o2KfJUBBR9Y0WOI97noTgdya4Zs/edit#gid=709845608"", ""Game!$A$2:$P""), MATCH(A60,IMPORTRANGE(""docs.google.com/spreadsheets/d/1Dz5m9yCjvG51SgZ1o2KfJUBBR9Y0WOI97noTgdya4Zs/edit#gid=7"&amp;"09845608"", ""Game!$A$2:$A""),0),16),""UnCompleat"")"),"UnCompleat")</f>
        <v>UnCompleat</v>
      </c>
      <c r="F60" s="4" t="s">
        <v>20</v>
      </c>
      <c r="G60" s="9">
        <v>41663.0</v>
      </c>
      <c r="H60" s="17">
        <v>2.84</v>
      </c>
      <c r="I60" s="5">
        <f t="shared" si="2"/>
        <v>0.04813559322</v>
      </c>
      <c r="J60" s="6">
        <f t="shared" si="3"/>
        <v>41663</v>
      </c>
      <c r="K60" s="4">
        <v>32.0</v>
      </c>
      <c r="L60" s="4" t="s">
        <v>16</v>
      </c>
      <c r="M60" s="5">
        <f t="shared" si="4"/>
        <v>6.219959795</v>
      </c>
    </row>
    <row r="61">
      <c r="A61" s="7" t="s">
        <v>92</v>
      </c>
      <c r="B61" s="1">
        <v>39.0</v>
      </c>
      <c r="C61" s="8">
        <f t="shared" si="1"/>
        <v>6.270136992</v>
      </c>
      <c r="D61" s="1" t="s">
        <v>24</v>
      </c>
      <c r="E61" s="3" t="str">
        <f>IFERROR(__xludf.DUMMYFUNCTION("IFERROR(INDEX(IMPORTRANGE(""docs.google.com/spreadsheets/d/1Dz5m9yCjvG51SgZ1o2KfJUBBR9Y0WOI97noTgdya4Zs/edit#gid=709845608"", ""Game!$A$2:$P""), MATCH(A61,IMPORTRANGE(""docs.google.com/spreadsheets/d/1Dz5m9yCjvG51SgZ1o2KfJUBBR9Y0WOI97noTgdya4Zs/edit#gid=7"&amp;"09845608"", ""Game!$A$2:$A""),0),16),""Not Started"")"),"Not Started")</f>
        <v>Not Started</v>
      </c>
      <c r="F61" s="4" t="s">
        <v>20</v>
      </c>
      <c r="G61" s="9">
        <v>41673.0</v>
      </c>
      <c r="H61" s="4">
        <v>0.69</v>
      </c>
      <c r="I61" s="5">
        <f t="shared" si="2"/>
        <v>0.01769230769</v>
      </c>
      <c r="J61" s="6">
        <f t="shared" si="3"/>
        <v>41673</v>
      </c>
      <c r="K61" s="4">
        <v>32.0</v>
      </c>
      <c r="L61" s="4" t="s">
        <v>16</v>
      </c>
      <c r="M61" s="5">
        <f t="shared" si="4"/>
        <v>6.219959795</v>
      </c>
    </row>
    <row r="62">
      <c r="A62" s="7" t="s">
        <v>93</v>
      </c>
      <c r="B62" s="1">
        <v>44.0</v>
      </c>
      <c r="C62" s="8">
        <f t="shared" si="1"/>
        <v>7.074000709</v>
      </c>
      <c r="D62" s="1" t="s">
        <v>24</v>
      </c>
      <c r="E62" s="3" t="s">
        <v>19</v>
      </c>
      <c r="F62" s="4" t="s">
        <v>20</v>
      </c>
      <c r="G62" s="9">
        <v>41673.0</v>
      </c>
      <c r="H62" s="4">
        <v>3.24</v>
      </c>
      <c r="I62" s="5">
        <f t="shared" si="2"/>
        <v>0.07363636364</v>
      </c>
      <c r="J62" s="6">
        <f t="shared" si="3"/>
        <v>41673</v>
      </c>
      <c r="K62" s="4">
        <v>32.0</v>
      </c>
      <c r="L62" s="4" t="s">
        <v>16</v>
      </c>
      <c r="M62" s="5">
        <f t="shared" si="4"/>
        <v>6.219959795</v>
      </c>
    </row>
    <row r="63">
      <c r="A63" s="7" t="s">
        <v>94</v>
      </c>
      <c r="B63" s="1">
        <v>108.0</v>
      </c>
      <c r="C63" s="8">
        <f t="shared" si="1"/>
        <v>17.36345628</v>
      </c>
      <c r="D63" s="1" t="s">
        <v>24</v>
      </c>
      <c r="E63" s="3" t="s">
        <v>19</v>
      </c>
      <c r="F63" s="4" t="s">
        <v>20</v>
      </c>
      <c r="G63" s="9">
        <v>41697.0</v>
      </c>
      <c r="H63" s="4">
        <v>9.06</v>
      </c>
      <c r="I63" s="5">
        <f t="shared" si="2"/>
        <v>0.08388888889</v>
      </c>
      <c r="J63" s="6">
        <f t="shared" si="3"/>
        <v>41697</v>
      </c>
      <c r="K63" s="4">
        <v>32.0</v>
      </c>
      <c r="L63" s="4" t="s">
        <v>16</v>
      </c>
      <c r="M63" s="5">
        <f t="shared" si="4"/>
        <v>6.219959795</v>
      </c>
    </row>
    <row r="64">
      <c r="A64" s="20" t="s">
        <v>95</v>
      </c>
      <c r="B64" s="1">
        <v>42.0</v>
      </c>
      <c r="C64" s="8">
        <f t="shared" si="1"/>
        <v>6.752455222</v>
      </c>
      <c r="D64" s="1" t="s">
        <v>96</v>
      </c>
      <c r="E64" s="3" t="str">
        <f>IFERROR(__xludf.DUMMYFUNCTION("IFERROR(INDEX(IMPORTRANGE(""docs.google.com/spreadsheets/d/1Dz5m9yCjvG51SgZ1o2KfJUBBR9Y0WOI97noTgdya4Zs/edit#gid=709845608"", ""Game!$A$2:$P""), MATCH(A64,IMPORTRANGE(""docs.google.com/spreadsheets/d/1Dz5m9yCjvG51SgZ1o2KfJUBBR9Y0WOI97noTgdya4Zs/edit#gid=7"&amp;"09845608"", ""Game!$A$2:$A""),0),16),""Not Started"")"),"Not Started")</f>
        <v>Not Started</v>
      </c>
      <c r="F64" s="4" t="s">
        <v>15</v>
      </c>
      <c r="G64" s="9">
        <v>41712.0</v>
      </c>
      <c r="H64" s="4">
        <v>1.99</v>
      </c>
      <c r="I64" s="5">
        <f t="shared" si="2"/>
        <v>0.04738095238</v>
      </c>
      <c r="J64" s="6">
        <f t="shared" si="3"/>
        <v>41712</v>
      </c>
      <c r="K64" s="4">
        <v>32.0</v>
      </c>
      <c r="L64" s="4" t="s">
        <v>16</v>
      </c>
      <c r="M64" s="5">
        <f t="shared" si="4"/>
        <v>6.219959795</v>
      </c>
    </row>
    <row r="65">
      <c r="A65" s="7" t="s">
        <v>97</v>
      </c>
      <c r="B65" s="1">
        <v>39.0</v>
      </c>
      <c r="C65" s="8">
        <f t="shared" si="1"/>
        <v>6.270136992</v>
      </c>
      <c r="D65" s="1" t="s">
        <v>14</v>
      </c>
      <c r="E65" s="3" t="str">
        <f>IFERROR(__xludf.DUMMYFUNCTION("IFERROR(INDEX(IMPORTRANGE(""docs.google.com/spreadsheets/d/1Dz5m9yCjvG51SgZ1o2KfJUBBR9Y0WOI97noTgdya4Zs/edit#gid=709845608"", ""Game!$A$2:$P""), MATCH(A65,IMPORTRANGE(""docs.google.com/spreadsheets/d/1Dz5m9yCjvG51SgZ1o2KfJUBBR9Y0WOI97noTgdya4Zs/edit#gid=7"&amp;"09845608"", ""Game!$A$2:$A""),0),16),""Not Started"")"),"Not Started")</f>
        <v>Not Started</v>
      </c>
      <c r="F65" s="4" t="s">
        <v>15</v>
      </c>
      <c r="G65" s="9">
        <v>41712.0</v>
      </c>
      <c r="H65" s="4">
        <v>1.66</v>
      </c>
      <c r="I65" s="5">
        <f t="shared" si="2"/>
        <v>0.04256410256</v>
      </c>
      <c r="J65" s="6">
        <f t="shared" si="3"/>
        <v>41712</v>
      </c>
      <c r="K65" s="4">
        <v>32.0</v>
      </c>
      <c r="L65" s="4" t="s">
        <v>16</v>
      </c>
      <c r="M65" s="5">
        <f t="shared" si="4"/>
        <v>6.219959795</v>
      </c>
    </row>
    <row r="66">
      <c r="A66" s="7" t="s">
        <v>98</v>
      </c>
      <c r="B66" s="1">
        <v>36.0</v>
      </c>
      <c r="C66" s="8">
        <f t="shared" si="1"/>
        <v>5.787818762</v>
      </c>
      <c r="D66" s="1" t="s">
        <v>14</v>
      </c>
      <c r="E66" s="3" t="str">
        <f>IFERROR(__xludf.DUMMYFUNCTION("IFERROR(INDEX(IMPORTRANGE(""docs.google.com/spreadsheets/d/1Dz5m9yCjvG51SgZ1o2KfJUBBR9Y0WOI97noTgdya4Zs/edit#gid=709845608"", ""Game!$A$2:$P""), MATCH(A66,IMPORTRANGE(""docs.google.com/spreadsheets/d/1Dz5m9yCjvG51SgZ1o2KfJUBBR9Y0WOI97noTgdya4Zs/edit#gid=7"&amp;"09845608"", ""Game!$A$2:$A""),0),16),""Not Started"")"),"Not Started")</f>
        <v>Not Started</v>
      </c>
      <c r="F66" s="4" t="s">
        <v>15</v>
      </c>
      <c r="G66" s="9">
        <v>41712.0</v>
      </c>
      <c r="H66" s="4">
        <v>1.66</v>
      </c>
      <c r="I66" s="5">
        <f t="shared" si="2"/>
        <v>0.04611111111</v>
      </c>
      <c r="J66" s="6">
        <f t="shared" si="3"/>
        <v>41712</v>
      </c>
      <c r="K66" s="4">
        <v>32.0</v>
      </c>
      <c r="L66" s="4" t="s">
        <v>16</v>
      </c>
      <c r="M66" s="5">
        <f t="shared" si="4"/>
        <v>6.219959795</v>
      </c>
    </row>
    <row r="67">
      <c r="A67" s="20" t="s">
        <v>99</v>
      </c>
      <c r="B67" s="1">
        <v>53.0</v>
      </c>
      <c r="C67" s="8">
        <f t="shared" si="1"/>
        <v>8.520955399</v>
      </c>
      <c r="D67" s="1" t="s">
        <v>14</v>
      </c>
      <c r="E67" s="3" t="str">
        <f>IFERROR(__xludf.DUMMYFUNCTION("IFERROR(INDEX(IMPORTRANGE(""docs.google.com/spreadsheets/d/1Dz5m9yCjvG51SgZ1o2KfJUBBR9Y0WOI97noTgdya4Zs/edit#gid=709845608"", ""Game!$A$2:$P""), MATCH(A67,IMPORTRANGE(""docs.google.com/spreadsheets/d/1Dz5m9yCjvG51SgZ1o2KfJUBBR9Y0WOI97noTgdya4Zs/edit#gid=7"&amp;"09845608"", ""Game!$A$2:$A""),0),16),""Not Started"")"),"Not Started")</f>
        <v>Not Started</v>
      </c>
      <c r="F67" s="4" t="s">
        <v>15</v>
      </c>
      <c r="G67" s="9">
        <v>41712.0</v>
      </c>
      <c r="H67" s="4">
        <v>1.66</v>
      </c>
      <c r="I67" s="5">
        <f t="shared" si="2"/>
        <v>0.03132075472</v>
      </c>
      <c r="J67" s="6">
        <f t="shared" si="3"/>
        <v>41712</v>
      </c>
      <c r="K67" s="4">
        <v>32.0</v>
      </c>
      <c r="L67" s="4" t="s">
        <v>16</v>
      </c>
      <c r="M67" s="5">
        <f t="shared" si="4"/>
        <v>6.219959795</v>
      </c>
    </row>
    <row r="68">
      <c r="A68" s="7" t="s">
        <v>100</v>
      </c>
      <c r="B68" s="1">
        <v>53.0</v>
      </c>
      <c r="C68" s="8">
        <f t="shared" si="1"/>
        <v>8.520955399</v>
      </c>
      <c r="D68" s="1" t="s">
        <v>14</v>
      </c>
      <c r="E68" s="3" t="str">
        <f>IFERROR(__xludf.DUMMYFUNCTION("IFERROR(INDEX(IMPORTRANGE(""docs.google.com/spreadsheets/d/1Dz5m9yCjvG51SgZ1o2KfJUBBR9Y0WOI97noTgdya4Zs/edit#gid=709845608"", ""Game!$A$2:$P""), MATCH(A68,IMPORTRANGE(""docs.google.com/spreadsheets/d/1Dz5m9yCjvG51SgZ1o2KfJUBBR9Y0WOI97noTgdya4Zs/edit#gid=7"&amp;"09845608"", ""Game!$A$2:$A""),0),16),""Not Started"")"),"Not Started")</f>
        <v>Not Started</v>
      </c>
      <c r="F68" s="4" t="s">
        <v>15</v>
      </c>
      <c r="G68" s="9">
        <v>41712.0</v>
      </c>
      <c r="H68" s="4">
        <v>1.66</v>
      </c>
      <c r="I68" s="5">
        <f t="shared" si="2"/>
        <v>0.03132075472</v>
      </c>
      <c r="J68" s="6">
        <f t="shared" si="3"/>
        <v>41712</v>
      </c>
      <c r="K68" s="4">
        <v>32.0</v>
      </c>
      <c r="L68" s="4" t="s">
        <v>16</v>
      </c>
      <c r="M68" s="5">
        <f t="shared" si="4"/>
        <v>6.219959795</v>
      </c>
    </row>
    <row r="69">
      <c r="A69" s="7" t="s">
        <v>101</v>
      </c>
      <c r="B69" s="1">
        <v>7.0</v>
      </c>
      <c r="C69" s="8">
        <f t="shared" si="1"/>
        <v>1.125409204</v>
      </c>
      <c r="D69" s="1" t="s">
        <v>24</v>
      </c>
      <c r="E69" s="3" t="s">
        <v>19</v>
      </c>
      <c r="F69" s="4" t="s">
        <v>20</v>
      </c>
      <c r="G69" s="9">
        <v>41724.0</v>
      </c>
      <c r="H69" s="4">
        <v>7.99</v>
      </c>
      <c r="I69" s="5">
        <f t="shared" si="2"/>
        <v>1.141428571</v>
      </c>
      <c r="J69" s="6">
        <f t="shared" si="3"/>
        <v>41724</v>
      </c>
      <c r="K69" s="4">
        <v>32.0</v>
      </c>
      <c r="L69" s="4" t="s">
        <v>16</v>
      </c>
      <c r="M69" s="5">
        <f t="shared" si="4"/>
        <v>6.219959795</v>
      </c>
    </row>
    <row r="70">
      <c r="A70" s="7" t="s">
        <v>102</v>
      </c>
      <c r="B70" s="1">
        <v>13.0</v>
      </c>
      <c r="C70" s="8">
        <f t="shared" si="1"/>
        <v>2.090045664</v>
      </c>
      <c r="D70" s="1" t="s">
        <v>103</v>
      </c>
      <c r="E70" s="3" t="s">
        <v>19</v>
      </c>
      <c r="F70" s="4" t="s">
        <v>20</v>
      </c>
      <c r="G70" s="9">
        <v>41734.0</v>
      </c>
      <c r="H70" s="4">
        <v>2.49</v>
      </c>
      <c r="I70" s="5">
        <f t="shared" si="2"/>
        <v>0.1915384615</v>
      </c>
      <c r="J70" s="6">
        <f t="shared" si="3"/>
        <v>41734</v>
      </c>
      <c r="K70" s="4">
        <v>32.0</v>
      </c>
      <c r="L70" s="4" t="s">
        <v>16</v>
      </c>
      <c r="M70" s="5">
        <f t="shared" si="4"/>
        <v>6.219959795</v>
      </c>
    </row>
    <row r="71">
      <c r="A71" s="7" t="s">
        <v>104</v>
      </c>
      <c r="B71" s="1">
        <v>55.0</v>
      </c>
      <c r="C71" s="8">
        <f t="shared" si="1"/>
        <v>8.842500886</v>
      </c>
      <c r="D71" s="1" t="s">
        <v>27</v>
      </c>
      <c r="E71" s="3" t="str">
        <f>IFERROR(__xludf.DUMMYFUNCTION("IFERROR(INDEX(IMPORTRANGE(""docs.google.com/spreadsheets/d/1Dz5m9yCjvG51SgZ1o2KfJUBBR9Y0WOI97noTgdya4Zs/edit#gid=709845608"", ""Game!$A$2:$P""), MATCH(A71,IMPORTRANGE(""docs.google.com/spreadsheets/d/1Dz5m9yCjvG51SgZ1o2KfJUBBR9Y0WOI97noTgdya4Zs/edit#gid=7"&amp;"09845608"", ""Game!$A$2:$A""),0),16),""UnCompleat"")"),"UnCompleat")</f>
        <v>UnCompleat</v>
      </c>
      <c r="F71" s="4" t="s">
        <v>20</v>
      </c>
      <c r="G71" s="9">
        <v>41740.0</v>
      </c>
      <c r="H71" s="17">
        <v>1.39</v>
      </c>
      <c r="I71" s="5">
        <f t="shared" si="2"/>
        <v>0.02527272727</v>
      </c>
      <c r="J71" s="6">
        <f t="shared" si="3"/>
        <v>41740</v>
      </c>
      <c r="K71" s="4">
        <v>32.0</v>
      </c>
      <c r="L71" s="4" t="s">
        <v>16</v>
      </c>
      <c r="M71" s="5">
        <f t="shared" si="4"/>
        <v>6.219959795</v>
      </c>
    </row>
    <row r="72">
      <c r="A72" s="7" t="s">
        <v>105</v>
      </c>
      <c r="B72" s="1">
        <v>47.0</v>
      </c>
      <c r="C72" s="8">
        <f t="shared" si="1"/>
        <v>7.556318939</v>
      </c>
      <c r="D72" s="1" t="s">
        <v>24</v>
      </c>
      <c r="E72" s="3" t="s">
        <v>19</v>
      </c>
      <c r="F72" s="4" t="s">
        <v>20</v>
      </c>
      <c r="G72" s="9">
        <v>41755.0</v>
      </c>
      <c r="H72" s="4">
        <v>6.99</v>
      </c>
      <c r="I72" s="5">
        <f t="shared" si="2"/>
        <v>0.1487234043</v>
      </c>
      <c r="J72" s="6">
        <f t="shared" si="3"/>
        <v>41755</v>
      </c>
      <c r="K72" s="4">
        <v>32.0</v>
      </c>
      <c r="L72" s="4" t="s">
        <v>16</v>
      </c>
      <c r="M72" s="5">
        <f t="shared" si="4"/>
        <v>6.219959795</v>
      </c>
    </row>
    <row r="73">
      <c r="A73" s="4" t="s">
        <v>106</v>
      </c>
      <c r="B73" s="4">
        <v>60.0</v>
      </c>
      <c r="C73" s="8">
        <f t="shared" si="1"/>
        <v>9.646364603</v>
      </c>
      <c r="D73" s="1" t="s">
        <v>18</v>
      </c>
      <c r="E73" s="3" t="s">
        <v>19</v>
      </c>
      <c r="F73" s="4" t="s">
        <v>20</v>
      </c>
      <c r="G73" s="9">
        <v>41755.0</v>
      </c>
      <c r="H73" s="4">
        <v>14.99</v>
      </c>
      <c r="I73" s="10">
        <f t="shared" si="2"/>
        <v>0.2498333333</v>
      </c>
      <c r="J73" s="11">
        <f t="shared" si="3"/>
        <v>41755</v>
      </c>
      <c r="K73" s="4">
        <v>32.0</v>
      </c>
      <c r="L73" s="4" t="s">
        <v>39</v>
      </c>
      <c r="M73" s="10">
        <f t="shared" si="4"/>
        <v>6.219959795</v>
      </c>
    </row>
    <row r="74">
      <c r="A74" s="19" t="s">
        <v>107</v>
      </c>
      <c r="B74" s="1">
        <v>24.0</v>
      </c>
      <c r="C74" s="8">
        <f t="shared" si="1"/>
        <v>3.858545841</v>
      </c>
      <c r="D74" s="1" t="s">
        <v>38</v>
      </c>
      <c r="E74" s="3" t="s">
        <v>19</v>
      </c>
      <c r="F74" s="4" t="s">
        <v>20</v>
      </c>
      <c r="G74" s="9">
        <v>41764.0</v>
      </c>
      <c r="H74" s="4">
        <f>3.99+4.99</f>
        <v>8.98</v>
      </c>
      <c r="I74" s="5">
        <f t="shared" si="2"/>
        <v>0.3741666667</v>
      </c>
      <c r="J74" s="6">
        <f t="shared" si="3"/>
        <v>41764</v>
      </c>
      <c r="K74" s="4">
        <v>32.0</v>
      </c>
      <c r="L74" s="4" t="s">
        <v>39</v>
      </c>
      <c r="M74" s="5">
        <f t="shared" si="4"/>
        <v>6.219959795</v>
      </c>
    </row>
    <row r="75">
      <c r="A75" s="7" t="s">
        <v>108</v>
      </c>
      <c r="B75" s="1">
        <v>52.0</v>
      </c>
      <c r="C75" s="8">
        <f t="shared" si="1"/>
        <v>8.360182656</v>
      </c>
      <c r="D75" s="1" t="s">
        <v>109</v>
      </c>
      <c r="E75" s="3" t="s">
        <v>19</v>
      </c>
      <c r="F75" s="4" t="s">
        <v>20</v>
      </c>
      <c r="G75" s="9">
        <v>41769.0</v>
      </c>
      <c r="H75" s="4">
        <v>12.49</v>
      </c>
      <c r="I75" s="5">
        <f t="shared" si="2"/>
        <v>0.2401923077</v>
      </c>
      <c r="J75" s="6">
        <f t="shared" si="3"/>
        <v>41769</v>
      </c>
      <c r="K75" s="4">
        <v>32.0</v>
      </c>
      <c r="L75" s="4" t="s">
        <v>16</v>
      </c>
      <c r="M75" s="5">
        <f t="shared" si="4"/>
        <v>6.219959795</v>
      </c>
    </row>
    <row r="76">
      <c r="A76" s="7" t="s">
        <v>110</v>
      </c>
      <c r="B76" s="1">
        <v>27.0</v>
      </c>
      <c r="C76" s="8">
        <f t="shared" si="1"/>
        <v>4.340864071</v>
      </c>
      <c r="D76" s="1" t="s">
        <v>109</v>
      </c>
      <c r="E76" s="3" t="s">
        <v>19</v>
      </c>
      <c r="F76" s="4" t="s">
        <v>20</v>
      </c>
      <c r="G76" s="9">
        <v>41769.0</v>
      </c>
      <c r="H76" s="4">
        <v>12.49</v>
      </c>
      <c r="I76" s="5">
        <f t="shared" si="2"/>
        <v>0.4625925926</v>
      </c>
      <c r="J76" s="6">
        <f t="shared" si="3"/>
        <v>41769</v>
      </c>
      <c r="K76" s="4">
        <v>32.0</v>
      </c>
      <c r="L76" s="4" t="s">
        <v>16</v>
      </c>
      <c r="M76" s="5">
        <f t="shared" si="4"/>
        <v>6.219959795</v>
      </c>
    </row>
    <row r="77">
      <c r="A77" s="7" t="s">
        <v>111</v>
      </c>
      <c r="B77" s="1">
        <v>13.0</v>
      </c>
      <c r="C77" s="8">
        <f t="shared" si="1"/>
        <v>2.090045664</v>
      </c>
      <c r="D77" s="1" t="s">
        <v>27</v>
      </c>
      <c r="E77" s="3" t="s">
        <v>19</v>
      </c>
      <c r="F77" s="4" t="s">
        <v>20</v>
      </c>
      <c r="G77" s="9">
        <v>41782.0</v>
      </c>
      <c r="H77" s="4">
        <v>6.79</v>
      </c>
      <c r="I77" s="5">
        <f t="shared" si="2"/>
        <v>0.5223076923</v>
      </c>
      <c r="J77" s="6">
        <f t="shared" si="3"/>
        <v>41782</v>
      </c>
      <c r="K77" s="4">
        <v>32.0</v>
      </c>
      <c r="L77" s="4" t="s">
        <v>16</v>
      </c>
      <c r="M77" s="5">
        <f t="shared" si="4"/>
        <v>6.219959795</v>
      </c>
    </row>
    <row r="78">
      <c r="A78" s="7" t="s">
        <v>112</v>
      </c>
      <c r="B78" s="1">
        <v>7.0</v>
      </c>
      <c r="C78" s="8">
        <f t="shared" si="1"/>
        <v>1.125409204</v>
      </c>
      <c r="D78" s="1" t="s">
        <v>81</v>
      </c>
      <c r="E78" s="3" t="s">
        <v>19</v>
      </c>
      <c r="F78" s="4" t="s">
        <v>20</v>
      </c>
      <c r="G78" s="9">
        <v>41784.0</v>
      </c>
      <c r="H78" s="17">
        <v>6.99</v>
      </c>
      <c r="I78" s="5">
        <f t="shared" si="2"/>
        <v>0.9985714286</v>
      </c>
      <c r="J78" s="6">
        <f t="shared" si="3"/>
        <v>41784</v>
      </c>
      <c r="K78" s="4">
        <v>32.0</v>
      </c>
      <c r="L78" s="4" t="s">
        <v>16</v>
      </c>
      <c r="M78" s="5">
        <f t="shared" si="4"/>
        <v>6.219959795</v>
      </c>
    </row>
    <row r="79">
      <c r="A79" s="7" t="s">
        <v>113</v>
      </c>
      <c r="B79" s="4">
        <v>37.0</v>
      </c>
      <c r="C79" s="8">
        <f>B78/M$2</f>
        <v>1.125409204</v>
      </c>
      <c r="D79" s="1" t="s">
        <v>27</v>
      </c>
      <c r="E79" s="3" t="s">
        <v>19</v>
      </c>
      <c r="F79" s="4" t="s">
        <v>20</v>
      </c>
      <c r="G79" s="9">
        <v>41810.0</v>
      </c>
      <c r="H79" s="4">
        <v>4.99</v>
      </c>
      <c r="I79" s="5">
        <f t="shared" si="2"/>
        <v>0.1348648649</v>
      </c>
      <c r="J79" s="6">
        <f t="shared" si="3"/>
        <v>41810</v>
      </c>
      <c r="K79" s="4">
        <v>32.0</v>
      </c>
      <c r="L79" s="4" t="s">
        <v>21</v>
      </c>
      <c r="M79" s="5">
        <f t="shared" si="4"/>
        <v>6.219959795</v>
      </c>
    </row>
    <row r="80">
      <c r="A80" s="7" t="s">
        <v>114</v>
      </c>
      <c r="B80" s="1">
        <v>55.5</v>
      </c>
      <c r="C80" s="8">
        <f t="shared" ref="C80:C342" si="5">B80/M$2</f>
        <v>8.922887258</v>
      </c>
      <c r="D80" s="1" t="s">
        <v>24</v>
      </c>
      <c r="E80" s="3" t="s">
        <v>19</v>
      </c>
      <c r="F80" s="4" t="s">
        <v>20</v>
      </c>
      <c r="G80" s="9">
        <v>41810.0</v>
      </c>
      <c r="H80" s="17">
        <v>2.99</v>
      </c>
      <c r="I80" s="5">
        <f t="shared" si="2"/>
        <v>0.05387387387</v>
      </c>
      <c r="J80" s="6">
        <f t="shared" si="3"/>
        <v>41810</v>
      </c>
      <c r="K80" s="4">
        <v>32.0</v>
      </c>
      <c r="L80" s="4" t="s">
        <v>16</v>
      </c>
      <c r="M80" s="5">
        <f t="shared" si="4"/>
        <v>6.219959795</v>
      </c>
    </row>
    <row r="81">
      <c r="A81" s="7" t="s">
        <v>115</v>
      </c>
      <c r="B81" s="1">
        <v>64.0</v>
      </c>
      <c r="C81" s="8">
        <f t="shared" si="5"/>
        <v>10.28945558</v>
      </c>
      <c r="D81" s="1" t="s">
        <v>24</v>
      </c>
      <c r="E81" s="3" t="s">
        <v>19</v>
      </c>
      <c r="F81" s="4" t="s">
        <v>20</v>
      </c>
      <c r="G81" s="9">
        <v>41810.0</v>
      </c>
      <c r="H81" s="17">
        <v>1.39</v>
      </c>
      <c r="I81" s="5">
        <f t="shared" si="2"/>
        <v>0.02171875</v>
      </c>
      <c r="J81" s="6">
        <f t="shared" si="3"/>
        <v>41810</v>
      </c>
      <c r="K81" s="4">
        <v>32.0</v>
      </c>
      <c r="L81" s="4" t="s">
        <v>16</v>
      </c>
      <c r="M81" s="5">
        <f t="shared" si="4"/>
        <v>6.219959795</v>
      </c>
    </row>
    <row r="82">
      <c r="A82" s="7" t="s">
        <v>116</v>
      </c>
      <c r="B82" s="1">
        <v>130.0</v>
      </c>
      <c r="C82" s="8">
        <f t="shared" si="5"/>
        <v>20.90045664</v>
      </c>
      <c r="D82" s="1" t="s">
        <v>34</v>
      </c>
      <c r="E82" s="3" t="str">
        <f>IFERROR(__xludf.DUMMYFUNCTION("IFERROR(INDEX(IMPORTRANGE(""docs.google.com/spreadsheets/d/1Dz5m9yCjvG51SgZ1o2KfJUBBR9Y0WOI97noTgdya4Zs/edit#gid=709845608"", ""Game!$A$2:$P""), MATCH(A82,IMPORTRANGE(""docs.google.com/spreadsheets/d/1Dz5m9yCjvG51SgZ1o2KfJUBBR9Y0WOI97noTgdya4Zs/edit#gid=7"&amp;"09845608"", ""Game!$A$2:$A""),0),16),""Not Started"")"),"Not Started")</f>
        <v>Not Started</v>
      </c>
      <c r="F82" s="4" t="s">
        <v>15</v>
      </c>
      <c r="G82" s="9">
        <v>41817.0</v>
      </c>
      <c r="H82" s="4">
        <v>9.04</v>
      </c>
      <c r="I82" s="5">
        <f t="shared" si="2"/>
        <v>0.06953846154</v>
      </c>
      <c r="J82" s="6">
        <f t="shared" si="3"/>
        <v>41817</v>
      </c>
      <c r="K82" s="4">
        <v>32.0</v>
      </c>
      <c r="L82" s="4" t="s">
        <v>16</v>
      </c>
      <c r="M82" s="5">
        <f t="shared" si="4"/>
        <v>6.219959795</v>
      </c>
    </row>
    <row r="83">
      <c r="A83" s="7" t="s">
        <v>117</v>
      </c>
      <c r="B83" s="1">
        <v>40.0</v>
      </c>
      <c r="C83" s="8">
        <f t="shared" si="5"/>
        <v>6.430909735</v>
      </c>
      <c r="D83" s="1" t="s">
        <v>14</v>
      </c>
      <c r="E83" s="3" t="str">
        <f>IFERROR(__xludf.DUMMYFUNCTION("IFERROR(INDEX(IMPORTRANGE(""docs.google.com/spreadsheets/d/1Dz5m9yCjvG51SgZ1o2KfJUBBR9Y0WOI97noTgdya4Zs/edit#gid=709845608"", ""Game!$A$2:$P""), MATCH(A83,IMPORTRANGE(""docs.google.com/spreadsheets/d/1Dz5m9yCjvG51SgZ1o2KfJUBBR9Y0WOI97noTgdya4Zs/edit#gid=7"&amp;"09845608"", ""Game!$A$2:$A""),0),16),""Not Started"")"),"Not Started")</f>
        <v>Not Started</v>
      </c>
      <c r="F83" s="4" t="s">
        <v>15</v>
      </c>
      <c r="G83" s="9">
        <v>41817.0</v>
      </c>
      <c r="H83" s="4">
        <v>11.54</v>
      </c>
      <c r="I83" s="5">
        <f t="shared" si="2"/>
        <v>0.2885</v>
      </c>
      <c r="J83" s="6">
        <f t="shared" si="3"/>
        <v>41817</v>
      </c>
      <c r="K83" s="4">
        <v>32.0</v>
      </c>
      <c r="L83" s="4" t="s">
        <v>16</v>
      </c>
      <c r="M83" s="5">
        <f t="shared" si="4"/>
        <v>6.219959795</v>
      </c>
    </row>
    <row r="84">
      <c r="A84" s="7" t="s">
        <v>118</v>
      </c>
      <c r="B84" s="1">
        <v>13.0</v>
      </c>
      <c r="C84" s="8">
        <f t="shared" si="5"/>
        <v>2.090045664</v>
      </c>
      <c r="D84" s="1" t="s">
        <v>24</v>
      </c>
      <c r="E84" s="3" t="s">
        <v>19</v>
      </c>
      <c r="F84" s="4" t="s">
        <v>20</v>
      </c>
      <c r="G84" s="9">
        <v>41820.0</v>
      </c>
      <c r="H84" s="4">
        <v>4.99</v>
      </c>
      <c r="I84" s="5">
        <f t="shared" si="2"/>
        <v>0.3838461538</v>
      </c>
      <c r="J84" s="6">
        <f t="shared" si="3"/>
        <v>41820</v>
      </c>
      <c r="K84" s="4">
        <v>32.0</v>
      </c>
      <c r="L84" s="4" t="s">
        <v>16</v>
      </c>
      <c r="M84" s="5">
        <f t="shared" si="4"/>
        <v>6.219959795</v>
      </c>
    </row>
    <row r="85">
      <c r="A85" s="7" t="s">
        <v>119</v>
      </c>
      <c r="B85" s="1">
        <v>9.0</v>
      </c>
      <c r="C85" s="8">
        <f t="shared" si="5"/>
        <v>1.44695469</v>
      </c>
      <c r="D85" s="1" t="s">
        <v>27</v>
      </c>
      <c r="E85" s="3" t="s">
        <v>19</v>
      </c>
      <c r="F85" s="4" t="s">
        <v>20</v>
      </c>
      <c r="G85" s="9">
        <v>41820.0</v>
      </c>
      <c r="H85" s="4">
        <v>4.99</v>
      </c>
      <c r="I85" s="5">
        <f t="shared" si="2"/>
        <v>0.5544444444</v>
      </c>
      <c r="J85" s="6">
        <f t="shared" si="3"/>
        <v>41820</v>
      </c>
      <c r="K85" s="4">
        <v>32.0</v>
      </c>
      <c r="L85" s="4" t="s">
        <v>21</v>
      </c>
      <c r="M85" s="5">
        <f t="shared" si="4"/>
        <v>6.219959795</v>
      </c>
    </row>
    <row r="86">
      <c r="A86" s="7" t="s">
        <v>120</v>
      </c>
      <c r="B86" s="1">
        <v>20.0</v>
      </c>
      <c r="C86" s="8">
        <f t="shared" si="5"/>
        <v>3.215454868</v>
      </c>
      <c r="D86" s="1" t="s">
        <v>24</v>
      </c>
      <c r="E86" s="3" t="s">
        <v>19</v>
      </c>
      <c r="F86" s="4" t="s">
        <v>20</v>
      </c>
      <c r="G86" s="9">
        <v>41882.0</v>
      </c>
      <c r="H86" s="4">
        <v>13.85</v>
      </c>
      <c r="I86" s="5">
        <f t="shared" si="2"/>
        <v>0.6925</v>
      </c>
      <c r="J86" s="6">
        <f t="shared" si="3"/>
        <v>41882</v>
      </c>
      <c r="K86" s="4">
        <v>32.0</v>
      </c>
      <c r="L86" s="4" t="s">
        <v>16</v>
      </c>
      <c r="M86" s="5">
        <f t="shared" si="4"/>
        <v>6.219959795</v>
      </c>
    </row>
    <row r="87">
      <c r="A87" s="20" t="s">
        <v>121</v>
      </c>
      <c r="B87" s="1">
        <v>26.0</v>
      </c>
      <c r="C87" s="8">
        <f t="shared" si="5"/>
        <v>4.180091328</v>
      </c>
      <c r="D87" s="1" t="s">
        <v>27</v>
      </c>
      <c r="E87" s="3" t="s">
        <v>19</v>
      </c>
      <c r="F87" s="4" t="s">
        <v>20</v>
      </c>
      <c r="G87" s="9">
        <v>41887.0</v>
      </c>
      <c r="H87" s="4">
        <v>19.99</v>
      </c>
      <c r="I87" s="5">
        <f t="shared" si="2"/>
        <v>0.7688461538</v>
      </c>
      <c r="J87" s="6">
        <f t="shared" si="3"/>
        <v>41887</v>
      </c>
      <c r="K87" s="4">
        <v>32.0</v>
      </c>
      <c r="L87" s="4" t="s">
        <v>16</v>
      </c>
      <c r="M87" s="5">
        <f t="shared" si="4"/>
        <v>6.219959795</v>
      </c>
    </row>
    <row r="88">
      <c r="A88" s="7" t="s">
        <v>122</v>
      </c>
      <c r="B88" s="1">
        <v>4.0</v>
      </c>
      <c r="C88" s="8">
        <f t="shared" si="5"/>
        <v>0.6430909735</v>
      </c>
      <c r="D88" s="1" t="s">
        <v>44</v>
      </c>
      <c r="E88" s="3" t="s">
        <v>19</v>
      </c>
      <c r="F88" s="4" t="s">
        <v>20</v>
      </c>
      <c r="G88" s="21">
        <v>41889.0</v>
      </c>
      <c r="H88" s="4">
        <v>4.33</v>
      </c>
      <c r="I88" s="5">
        <f t="shared" si="2"/>
        <v>1.0825</v>
      </c>
      <c r="J88" s="6">
        <f t="shared" si="3"/>
        <v>41889</v>
      </c>
      <c r="K88" s="4">
        <v>32.0</v>
      </c>
      <c r="L88" s="4" t="s">
        <v>16</v>
      </c>
      <c r="M88" s="5">
        <f t="shared" si="4"/>
        <v>6.219959795</v>
      </c>
    </row>
    <row r="89">
      <c r="A89" s="7" t="s">
        <v>123</v>
      </c>
      <c r="B89" s="1">
        <v>34.0</v>
      </c>
      <c r="C89" s="8">
        <f t="shared" si="5"/>
        <v>5.466273275</v>
      </c>
      <c r="D89" s="1" t="s">
        <v>49</v>
      </c>
      <c r="E89" s="3" t="str">
        <f>IFERROR(__xludf.DUMMYFUNCTION("IFERROR(INDEX(IMPORTRANGE(""docs.google.com/spreadsheets/d/1Dz5m9yCjvG51SgZ1o2KfJUBBR9Y0WOI97noTgdya4Zs/edit#gid=709845608"", ""Game!$A$2:$P""), MATCH(A89,IMPORTRANGE(""docs.google.com/spreadsheets/d/1Dz5m9yCjvG51SgZ1o2KfJUBBR9Y0WOI97noTgdya4Zs/edit#gid=7"&amp;"09845608"", ""Game!$A$2:$A""),0),16),""Not Started"")"),"Not Started")</f>
        <v>Not Started</v>
      </c>
      <c r="F89" s="4" t="s">
        <v>20</v>
      </c>
      <c r="G89" s="9">
        <v>41916.0</v>
      </c>
      <c r="H89" s="4">
        <v>10.58</v>
      </c>
      <c r="I89" s="5">
        <f t="shared" si="2"/>
        <v>0.3111764706</v>
      </c>
      <c r="J89" s="6">
        <f t="shared" si="3"/>
        <v>41916</v>
      </c>
      <c r="K89" s="4">
        <v>32.0</v>
      </c>
      <c r="L89" s="4" t="s">
        <v>16</v>
      </c>
      <c r="M89" s="5">
        <f t="shared" si="4"/>
        <v>6.219959795</v>
      </c>
    </row>
    <row r="90">
      <c r="A90" s="7" t="s">
        <v>124</v>
      </c>
      <c r="B90" s="1">
        <v>22.0</v>
      </c>
      <c r="C90" s="8">
        <f t="shared" si="5"/>
        <v>3.537000354</v>
      </c>
      <c r="D90" s="1" t="s">
        <v>27</v>
      </c>
      <c r="E90" s="3" t="s">
        <v>19</v>
      </c>
      <c r="F90" s="4" t="s">
        <v>20</v>
      </c>
      <c r="G90" s="9">
        <v>41916.0</v>
      </c>
      <c r="H90" s="4">
        <v>4.99</v>
      </c>
      <c r="I90" s="5">
        <f t="shared" si="2"/>
        <v>0.2268181818</v>
      </c>
      <c r="J90" s="6">
        <f t="shared" si="3"/>
        <v>41916</v>
      </c>
      <c r="K90" s="4">
        <v>32.0</v>
      </c>
      <c r="L90" s="4" t="s">
        <v>16</v>
      </c>
      <c r="M90" s="5">
        <f t="shared" si="4"/>
        <v>6.219959795</v>
      </c>
    </row>
    <row r="91">
      <c r="A91" s="7" t="s">
        <v>125</v>
      </c>
      <c r="B91" s="1">
        <v>57.0</v>
      </c>
      <c r="C91" s="8">
        <f t="shared" si="5"/>
        <v>9.164046373</v>
      </c>
      <c r="D91" s="1" t="s">
        <v>24</v>
      </c>
      <c r="E91" s="3" t="s">
        <v>19</v>
      </c>
      <c r="F91" s="4" t="s">
        <v>20</v>
      </c>
      <c r="G91" s="12">
        <v>41923.0</v>
      </c>
      <c r="H91" s="4">
        <v>54.98</v>
      </c>
      <c r="I91" s="5">
        <f t="shared" si="2"/>
        <v>0.9645614035</v>
      </c>
      <c r="J91" s="6">
        <f t="shared" si="3"/>
        <v>41923</v>
      </c>
      <c r="K91" s="4">
        <v>32.0</v>
      </c>
      <c r="L91" s="4" t="s">
        <v>16</v>
      </c>
      <c r="M91" s="5">
        <f t="shared" si="4"/>
        <v>6.219959795</v>
      </c>
    </row>
    <row r="92">
      <c r="A92" s="7" t="s">
        <v>126</v>
      </c>
      <c r="B92" s="1">
        <v>41.0</v>
      </c>
      <c r="C92" s="8">
        <f t="shared" si="5"/>
        <v>6.591682479</v>
      </c>
      <c r="D92" s="1" t="s">
        <v>44</v>
      </c>
      <c r="E92" s="3" t="str">
        <f>IFERROR(__xludf.DUMMYFUNCTION("IFERROR(INDEX(IMPORTRANGE(""docs.google.com/spreadsheets/d/1Dz5m9yCjvG51SgZ1o2KfJUBBR9Y0WOI97noTgdya4Zs/edit#gid=709845608"", ""Game!$A$2:$P""), MATCH(A92,IMPORTRANGE(""docs.google.com/spreadsheets/d/1Dz5m9yCjvG51SgZ1o2KfJUBBR9Y0WOI97noTgdya4Zs/edit#gid=7"&amp;"09845608"", ""Game!$A$2:$A""),0),16),""Not Started"")"),"Not Started")</f>
        <v>Not Started</v>
      </c>
      <c r="F92" s="4" t="s">
        <v>20</v>
      </c>
      <c r="G92" s="9">
        <v>42039.0</v>
      </c>
      <c r="H92" s="17">
        <v>9.99</v>
      </c>
      <c r="I92" s="5">
        <f t="shared" si="2"/>
        <v>0.2436585366</v>
      </c>
      <c r="J92" s="6">
        <f t="shared" si="3"/>
        <v>42039</v>
      </c>
      <c r="K92" s="4">
        <v>11.0</v>
      </c>
      <c r="L92" s="4" t="s">
        <v>16</v>
      </c>
      <c r="M92" s="5">
        <f t="shared" si="4"/>
        <v>6.219959795</v>
      </c>
    </row>
    <row r="93">
      <c r="A93" s="7" t="s">
        <v>127</v>
      </c>
      <c r="B93" s="1">
        <v>75.0</v>
      </c>
      <c r="C93" s="8">
        <f t="shared" si="5"/>
        <v>12.05795575</v>
      </c>
      <c r="D93" s="1" t="s">
        <v>109</v>
      </c>
      <c r="E93" s="3" t="s">
        <v>19</v>
      </c>
      <c r="F93" s="4" t="s">
        <v>20</v>
      </c>
      <c r="G93" s="9">
        <v>42119.0</v>
      </c>
      <c r="H93" s="17">
        <v>4.58</v>
      </c>
      <c r="I93" s="5">
        <f t="shared" si="2"/>
        <v>0.06106666667</v>
      </c>
      <c r="J93" s="6">
        <f t="shared" si="3"/>
        <v>42119</v>
      </c>
      <c r="K93" s="4">
        <v>11.0</v>
      </c>
      <c r="L93" s="4" t="s">
        <v>16</v>
      </c>
      <c r="M93" s="5">
        <f t="shared" si="4"/>
        <v>6.219959795</v>
      </c>
    </row>
    <row r="94">
      <c r="A94" s="7" t="s">
        <v>128</v>
      </c>
      <c r="B94" s="1">
        <v>150.0</v>
      </c>
      <c r="C94" s="8">
        <f t="shared" si="5"/>
        <v>24.11591151</v>
      </c>
      <c r="D94" s="1" t="s">
        <v>24</v>
      </c>
      <c r="E94" s="3" t="s">
        <v>19</v>
      </c>
      <c r="F94" s="4" t="s">
        <v>20</v>
      </c>
      <c r="G94" s="12">
        <v>42127.0</v>
      </c>
      <c r="H94" s="4">
        <v>4.99</v>
      </c>
      <c r="I94" s="5">
        <f t="shared" si="2"/>
        <v>0.03326666667</v>
      </c>
      <c r="J94" s="6">
        <f t="shared" si="3"/>
        <v>42127</v>
      </c>
      <c r="K94" s="4">
        <v>11.0</v>
      </c>
      <c r="L94" s="4" t="s">
        <v>16</v>
      </c>
      <c r="M94" s="5">
        <f t="shared" si="4"/>
        <v>6.219959795</v>
      </c>
    </row>
    <row r="95">
      <c r="A95" s="7" t="s">
        <v>129</v>
      </c>
      <c r="B95" s="1">
        <v>16.0</v>
      </c>
      <c r="C95" s="8">
        <f t="shared" si="5"/>
        <v>2.572363894</v>
      </c>
      <c r="D95" s="1" t="s">
        <v>18</v>
      </c>
      <c r="E95" s="3" t="str">
        <f>IFERROR(__xludf.DUMMYFUNCTION("IFERROR(INDEX(IMPORTRANGE(""docs.google.com/spreadsheets/d/1Dz5m9yCjvG51SgZ1o2KfJUBBR9Y0WOI97noTgdya4Zs/edit#gid=709845608"", ""Game!$A$2:$P""), MATCH(A95,IMPORTRANGE(""docs.google.com/spreadsheets/d/1Dz5m9yCjvG51SgZ1o2KfJUBBR9Y0WOI97noTgdya4Zs/edit#gid=7"&amp;"09845608"", ""Game!$A$2:$A""),0),16),""Not Started"")"),"Not Started")</f>
        <v>Not Started</v>
      </c>
      <c r="F95" s="4" t="s">
        <v>20</v>
      </c>
      <c r="G95" s="9">
        <v>42160.0</v>
      </c>
      <c r="H95" s="4">
        <v>4.38</v>
      </c>
      <c r="I95" s="5">
        <f t="shared" si="2"/>
        <v>0.27375</v>
      </c>
      <c r="J95" s="6">
        <f t="shared" si="3"/>
        <v>42160</v>
      </c>
      <c r="K95" s="4">
        <v>11.0</v>
      </c>
      <c r="L95" s="4" t="s">
        <v>21</v>
      </c>
      <c r="M95" s="5">
        <f t="shared" si="4"/>
        <v>6.219959795</v>
      </c>
    </row>
    <row r="96">
      <c r="A96" s="7" t="s">
        <v>130</v>
      </c>
      <c r="B96" s="1">
        <v>24.0</v>
      </c>
      <c r="C96" s="8">
        <f t="shared" si="5"/>
        <v>3.858545841</v>
      </c>
      <c r="D96" s="1" t="s">
        <v>42</v>
      </c>
      <c r="E96" s="3" t="s">
        <v>19</v>
      </c>
      <c r="F96" s="4" t="s">
        <v>20</v>
      </c>
      <c r="G96" s="9">
        <v>42160.0</v>
      </c>
      <c r="H96" s="4">
        <v>3.99</v>
      </c>
      <c r="I96" s="5">
        <f t="shared" si="2"/>
        <v>0.16625</v>
      </c>
      <c r="J96" s="6">
        <f t="shared" si="3"/>
        <v>42160</v>
      </c>
      <c r="K96" s="4">
        <v>11.0</v>
      </c>
      <c r="L96" s="4" t="s">
        <v>16</v>
      </c>
      <c r="M96" s="5">
        <f t="shared" si="4"/>
        <v>6.219959795</v>
      </c>
    </row>
    <row r="97">
      <c r="A97" s="7" t="s">
        <v>131</v>
      </c>
      <c r="B97" s="1">
        <v>103.0</v>
      </c>
      <c r="C97" s="8">
        <f t="shared" si="5"/>
        <v>16.55959257</v>
      </c>
      <c r="D97" s="1" t="s">
        <v>132</v>
      </c>
      <c r="E97" s="3" t="str">
        <f>IFERROR(__xludf.DUMMYFUNCTION("IFERROR(INDEX(IMPORTRANGE(""docs.google.com/spreadsheets/d/1Dz5m9yCjvG51SgZ1o2KfJUBBR9Y0WOI97noTgdya4Zs/edit#gid=709845608"", ""Game!$A$2:$P""), MATCH(A97,IMPORTRANGE(""docs.google.com/spreadsheets/d/1Dz5m9yCjvG51SgZ1o2KfJUBBR9Y0WOI97noTgdya4Zs/edit#gid=7"&amp;"09845608"", ""Game!$A$2:$A""),0),16),""Not Started"")"),"Not Started")</f>
        <v>Not Started</v>
      </c>
      <c r="F97" s="4" t="s">
        <v>15</v>
      </c>
      <c r="G97" s="9">
        <v>42160.0</v>
      </c>
      <c r="H97" s="4">
        <v>3.74</v>
      </c>
      <c r="I97" s="5">
        <f t="shared" si="2"/>
        <v>0.03631067961</v>
      </c>
      <c r="J97" s="6">
        <f t="shared" si="3"/>
        <v>42160</v>
      </c>
      <c r="K97" s="4">
        <v>11.0</v>
      </c>
      <c r="L97" s="4" t="s">
        <v>16</v>
      </c>
      <c r="M97" s="5">
        <f t="shared" si="4"/>
        <v>6.219959795</v>
      </c>
    </row>
    <row r="98">
      <c r="A98" s="7" t="s">
        <v>133</v>
      </c>
      <c r="B98" s="1">
        <v>103.0</v>
      </c>
      <c r="C98" s="8">
        <f t="shared" si="5"/>
        <v>16.55959257</v>
      </c>
      <c r="D98" s="1" t="s">
        <v>132</v>
      </c>
      <c r="E98" s="3" t="str">
        <f>IFERROR(__xludf.DUMMYFUNCTION("IFERROR(INDEX(IMPORTRANGE(""docs.google.com/spreadsheets/d/1Dz5m9yCjvG51SgZ1o2KfJUBBR9Y0WOI97noTgdya4Zs/edit#gid=709845608"", ""Game!$A$2:$P""), MATCH(A98,IMPORTRANGE(""docs.google.com/spreadsheets/d/1Dz5m9yCjvG51SgZ1o2KfJUBBR9Y0WOI97noTgdya4Zs/edit#gid=7"&amp;"09845608"", ""Game!$A$2:$A""),0),16),""Not Started"")"),"Not Started")</f>
        <v>Not Started</v>
      </c>
      <c r="F98" s="4" t="s">
        <v>15</v>
      </c>
      <c r="G98" s="9">
        <v>42160.0</v>
      </c>
      <c r="H98" s="4">
        <v>3.74</v>
      </c>
      <c r="I98" s="5">
        <f t="shared" si="2"/>
        <v>0.03631067961</v>
      </c>
      <c r="J98" s="6">
        <f t="shared" si="3"/>
        <v>42160</v>
      </c>
      <c r="K98" s="4">
        <v>11.0</v>
      </c>
      <c r="L98" s="4" t="s">
        <v>16</v>
      </c>
      <c r="M98" s="5">
        <f t="shared" si="4"/>
        <v>6.219959795</v>
      </c>
    </row>
    <row r="99">
      <c r="A99" s="7" t="s">
        <v>134</v>
      </c>
      <c r="B99" s="1">
        <v>23.0</v>
      </c>
      <c r="C99" s="8">
        <f t="shared" si="5"/>
        <v>3.697773098</v>
      </c>
      <c r="D99" s="1" t="s">
        <v>132</v>
      </c>
      <c r="E99" s="3" t="str">
        <f>IFERROR(__xludf.DUMMYFUNCTION("IFERROR(INDEX(IMPORTRANGE(""docs.google.com/spreadsheets/d/1Dz5m9yCjvG51SgZ1o2KfJUBBR9Y0WOI97noTgdya4Zs/edit#gid=709845608"", ""Game!$A$2:$P""), MATCH(A99,IMPORTRANGE(""docs.google.com/spreadsheets/d/1Dz5m9yCjvG51SgZ1o2KfJUBBR9Y0WOI97noTgdya4Zs/edit#gid=7"&amp;"09845608"", ""Game!$A$2:$A""),0),16),""Not Started"")"),"Not Started")</f>
        <v>Not Started</v>
      </c>
      <c r="F99" s="4" t="s">
        <v>15</v>
      </c>
      <c r="G99" s="9">
        <v>42160.0</v>
      </c>
      <c r="H99" s="4">
        <v>1.74</v>
      </c>
      <c r="I99" s="5">
        <f t="shared" si="2"/>
        <v>0.07565217391</v>
      </c>
      <c r="J99" s="6">
        <f t="shared" si="3"/>
        <v>42160</v>
      </c>
      <c r="K99" s="4">
        <v>11.0</v>
      </c>
      <c r="L99" s="4" t="s">
        <v>16</v>
      </c>
      <c r="M99" s="5">
        <f t="shared" si="4"/>
        <v>6.219959795</v>
      </c>
    </row>
    <row r="100">
      <c r="A100" s="7" t="s">
        <v>135</v>
      </c>
      <c r="B100" s="1">
        <v>44.0</v>
      </c>
      <c r="C100" s="8">
        <f t="shared" si="5"/>
        <v>7.074000709</v>
      </c>
      <c r="D100" s="1" t="s">
        <v>49</v>
      </c>
      <c r="E100" s="3" t="s">
        <v>19</v>
      </c>
      <c r="F100" s="4" t="s">
        <v>20</v>
      </c>
      <c r="G100" s="9">
        <v>42170.0</v>
      </c>
      <c r="H100" s="4">
        <v>34.85</v>
      </c>
      <c r="I100" s="5">
        <f t="shared" si="2"/>
        <v>0.7920454545</v>
      </c>
      <c r="J100" s="6">
        <f t="shared" si="3"/>
        <v>42170</v>
      </c>
      <c r="K100" s="4">
        <v>11.0</v>
      </c>
      <c r="L100" s="4" t="s">
        <v>16</v>
      </c>
      <c r="M100" s="5">
        <f t="shared" si="4"/>
        <v>6.219959795</v>
      </c>
    </row>
    <row r="101">
      <c r="A101" s="7" t="s">
        <v>136</v>
      </c>
      <c r="B101" s="1">
        <v>26.0</v>
      </c>
      <c r="C101" s="8">
        <f t="shared" si="5"/>
        <v>4.180091328</v>
      </c>
      <c r="D101" s="1" t="s">
        <v>27</v>
      </c>
      <c r="E101" s="3" t="s">
        <v>19</v>
      </c>
      <c r="F101" s="4" t="s">
        <v>20</v>
      </c>
      <c r="G101" s="9">
        <v>42278.0</v>
      </c>
      <c r="H101" s="17">
        <v>6.99</v>
      </c>
      <c r="I101" s="5">
        <f t="shared" si="2"/>
        <v>0.2688461538</v>
      </c>
      <c r="J101" s="6">
        <f t="shared" si="3"/>
        <v>42278</v>
      </c>
      <c r="K101" s="4">
        <v>11.0</v>
      </c>
      <c r="L101" s="4" t="s">
        <v>16</v>
      </c>
      <c r="M101" s="5">
        <f t="shared" si="4"/>
        <v>6.219959795</v>
      </c>
    </row>
    <row r="102">
      <c r="A102" s="7" t="s">
        <v>137</v>
      </c>
      <c r="B102" s="1">
        <v>37.0</v>
      </c>
      <c r="C102" s="8">
        <f t="shared" si="5"/>
        <v>5.948591505</v>
      </c>
      <c r="D102" s="1" t="s">
        <v>29</v>
      </c>
      <c r="E102" s="3" t="str">
        <f>IFERROR(__xludf.DUMMYFUNCTION("IFERROR(INDEX(IMPORTRANGE(""docs.google.com/spreadsheets/d/1Dz5m9yCjvG51SgZ1o2KfJUBBR9Y0WOI97noTgdya4Zs/edit#gid=709845608"", ""Game!$A$2:$P""), MATCH(A102,IMPORTRANGE(""docs.google.com/spreadsheets/d/1Dz5m9yCjvG51SgZ1o2KfJUBBR9Y0WOI97noTgdya4Zs/edit#gid="&amp;"709845608"", ""Game!$A$2:$A""),0),16),""Not Started"")"),"Not Started")</f>
        <v>Not Started</v>
      </c>
      <c r="F102" s="4" t="s">
        <v>15</v>
      </c>
      <c r="G102" s="12">
        <v>42287.0</v>
      </c>
      <c r="H102" s="4">
        <v>7.49</v>
      </c>
      <c r="I102" s="5">
        <f t="shared" si="2"/>
        <v>0.2024324324</v>
      </c>
      <c r="J102" s="6">
        <f t="shared" si="3"/>
        <v>42287</v>
      </c>
      <c r="K102" s="4">
        <v>11.0</v>
      </c>
      <c r="L102" s="4" t="s">
        <v>16</v>
      </c>
      <c r="M102" s="5">
        <f t="shared" si="4"/>
        <v>6.219959795</v>
      </c>
    </row>
    <row r="103">
      <c r="A103" s="7" t="s">
        <v>138</v>
      </c>
      <c r="B103" s="1">
        <v>30.0</v>
      </c>
      <c r="C103" s="8">
        <f t="shared" si="5"/>
        <v>4.823182301</v>
      </c>
      <c r="D103" s="1" t="s">
        <v>18</v>
      </c>
      <c r="E103" s="3" t="str">
        <f>IFERROR(__xludf.DUMMYFUNCTION("IFERROR(INDEX(IMPORTRANGE(""docs.google.com/spreadsheets/d/1Dz5m9yCjvG51SgZ1o2KfJUBBR9Y0WOI97noTgdya4Zs/edit#gid=709845608"", ""Game!$A$2:$P""), MATCH(A103,IMPORTRANGE(""docs.google.com/spreadsheets/d/1Dz5m9yCjvG51SgZ1o2KfJUBBR9Y0WOI97noTgdya4Zs/edit#gid="&amp;"709845608"", ""Game!$A$2:$A""),0),16),""Not Started"")"),"Not Started")</f>
        <v>Not Started</v>
      </c>
      <c r="F103" s="4" t="s">
        <v>20</v>
      </c>
      <c r="G103" s="9">
        <v>42372.0</v>
      </c>
      <c r="H103" s="4">
        <v>1.74</v>
      </c>
      <c r="I103" s="5">
        <f t="shared" si="2"/>
        <v>0.058</v>
      </c>
      <c r="J103" s="6">
        <f t="shared" si="3"/>
        <v>42372</v>
      </c>
      <c r="K103" s="4">
        <v>13.0</v>
      </c>
      <c r="L103" s="4" t="s">
        <v>16</v>
      </c>
      <c r="M103" s="5">
        <f t="shared" si="4"/>
        <v>6.219959795</v>
      </c>
    </row>
    <row r="104">
      <c r="A104" s="7" t="s">
        <v>139</v>
      </c>
      <c r="B104" s="1">
        <v>25.0</v>
      </c>
      <c r="C104" s="8">
        <f t="shared" si="5"/>
        <v>4.019318584</v>
      </c>
      <c r="D104" s="1" t="s">
        <v>27</v>
      </c>
      <c r="E104" s="3" t="s">
        <v>19</v>
      </c>
      <c r="F104" s="4" t="s">
        <v>20</v>
      </c>
      <c r="G104" s="9">
        <v>42372.0</v>
      </c>
      <c r="H104" s="17">
        <v>5.24</v>
      </c>
      <c r="I104" s="5">
        <f t="shared" si="2"/>
        <v>0.2096</v>
      </c>
      <c r="J104" s="6">
        <f t="shared" si="3"/>
        <v>42372</v>
      </c>
      <c r="K104" s="4">
        <v>13.0</v>
      </c>
      <c r="L104" s="4" t="s">
        <v>16</v>
      </c>
      <c r="M104" s="5">
        <f t="shared" si="4"/>
        <v>6.219959795</v>
      </c>
    </row>
    <row r="105">
      <c r="A105" s="7" t="s">
        <v>140</v>
      </c>
      <c r="B105" s="1">
        <v>250.0</v>
      </c>
      <c r="C105" s="8">
        <f t="shared" si="5"/>
        <v>40.19318584</v>
      </c>
      <c r="D105" s="1" t="s">
        <v>24</v>
      </c>
      <c r="E105" s="3" t="s">
        <v>19</v>
      </c>
      <c r="F105" s="4" t="s">
        <v>20</v>
      </c>
      <c r="G105" s="9">
        <v>42524.0</v>
      </c>
      <c r="H105" s="4">
        <v>35.48</v>
      </c>
      <c r="I105" s="5">
        <f t="shared" si="2"/>
        <v>0.14192</v>
      </c>
      <c r="J105" s="6">
        <f t="shared" si="3"/>
        <v>42524</v>
      </c>
      <c r="K105" s="4">
        <v>13.0</v>
      </c>
      <c r="L105" s="4" t="s">
        <v>16</v>
      </c>
      <c r="M105" s="5">
        <f t="shared" si="4"/>
        <v>6.219959795</v>
      </c>
    </row>
    <row r="106">
      <c r="A106" s="7" t="s">
        <v>141</v>
      </c>
      <c r="B106" s="1">
        <v>39.0</v>
      </c>
      <c r="C106" s="8">
        <f t="shared" si="5"/>
        <v>6.270136992</v>
      </c>
      <c r="D106" s="1" t="s">
        <v>34</v>
      </c>
      <c r="E106" s="3" t="str">
        <f>IFERROR(__xludf.DUMMYFUNCTION("IFERROR(INDEX(IMPORTRANGE(""docs.google.com/spreadsheets/d/1Dz5m9yCjvG51SgZ1o2KfJUBBR9Y0WOI97noTgdya4Zs/edit#gid=709845608"", ""Game!$A$2:$P""), MATCH(A106,IMPORTRANGE(""docs.google.com/spreadsheets/d/1Dz5m9yCjvG51SgZ1o2KfJUBBR9Y0WOI97noTgdya4Zs/edit#gid="&amp;"709845608"", ""Game!$A$2:$A""),0),16),""Not Started"")"),"Not Started")</f>
        <v>Not Started</v>
      </c>
      <c r="F106" s="4" t="s">
        <v>20</v>
      </c>
      <c r="G106" s="9">
        <v>42527.0</v>
      </c>
      <c r="H106" s="4">
        <v>20.44</v>
      </c>
      <c r="I106" s="5">
        <f t="shared" si="2"/>
        <v>0.5241025641</v>
      </c>
      <c r="J106" s="6">
        <f t="shared" si="3"/>
        <v>42527</v>
      </c>
      <c r="K106" s="4">
        <v>13.0</v>
      </c>
      <c r="L106" s="4" t="s">
        <v>16</v>
      </c>
      <c r="M106" s="5">
        <f t="shared" si="4"/>
        <v>6.219959795</v>
      </c>
    </row>
    <row r="107">
      <c r="A107" s="1" t="s">
        <v>142</v>
      </c>
      <c r="B107" s="1">
        <v>33.0</v>
      </c>
      <c r="C107" s="8">
        <f t="shared" si="5"/>
        <v>5.305500532</v>
      </c>
      <c r="D107" s="1" t="s">
        <v>44</v>
      </c>
      <c r="E107" s="3" t="s">
        <v>19</v>
      </c>
      <c r="F107" s="4" t="s">
        <v>20</v>
      </c>
      <c r="G107" s="9">
        <v>42530.0</v>
      </c>
      <c r="H107" s="4">
        <v>42.0</v>
      </c>
      <c r="I107" s="5">
        <f t="shared" si="2"/>
        <v>1.272727273</v>
      </c>
      <c r="J107" s="6">
        <f t="shared" si="3"/>
        <v>42530</v>
      </c>
      <c r="K107" s="4">
        <v>13.0</v>
      </c>
      <c r="L107" s="4" t="s">
        <v>16</v>
      </c>
      <c r="M107" s="5">
        <f t="shared" si="4"/>
        <v>6.219959795</v>
      </c>
    </row>
    <row r="108">
      <c r="A108" s="7" t="s">
        <v>143</v>
      </c>
      <c r="B108" s="1">
        <v>153.0</v>
      </c>
      <c r="C108" s="8">
        <f t="shared" si="5"/>
        <v>24.59822974</v>
      </c>
      <c r="D108" s="1" t="s">
        <v>24</v>
      </c>
      <c r="E108" s="3" t="s">
        <v>19</v>
      </c>
      <c r="F108" s="4" t="s">
        <v>20</v>
      </c>
      <c r="G108" s="9">
        <v>42543.0</v>
      </c>
      <c r="H108" s="4">
        <v>3.74</v>
      </c>
      <c r="I108" s="5">
        <f t="shared" si="2"/>
        <v>0.02444444444</v>
      </c>
      <c r="J108" s="6">
        <f t="shared" si="3"/>
        <v>42543</v>
      </c>
      <c r="K108" s="4">
        <v>13.0</v>
      </c>
      <c r="L108" s="4" t="s">
        <v>16</v>
      </c>
      <c r="M108" s="5">
        <f t="shared" si="4"/>
        <v>6.219959795</v>
      </c>
    </row>
    <row r="109">
      <c r="A109" s="7" t="s">
        <v>144</v>
      </c>
      <c r="B109" s="1">
        <v>32.0</v>
      </c>
      <c r="C109" s="8">
        <f t="shared" si="5"/>
        <v>5.144727788</v>
      </c>
      <c r="D109" s="1" t="s">
        <v>18</v>
      </c>
      <c r="E109" s="3" t="s">
        <v>19</v>
      </c>
      <c r="F109" s="4" t="s">
        <v>20</v>
      </c>
      <c r="G109" s="9">
        <v>42597.0</v>
      </c>
      <c r="H109" s="4">
        <v>3.84</v>
      </c>
      <c r="I109" s="5">
        <f t="shared" si="2"/>
        <v>0.12</v>
      </c>
      <c r="J109" s="6">
        <f t="shared" si="3"/>
        <v>42597</v>
      </c>
      <c r="K109" s="4">
        <v>13.0</v>
      </c>
      <c r="L109" s="4" t="s">
        <v>16</v>
      </c>
      <c r="M109" s="5">
        <f t="shared" si="4"/>
        <v>6.219959795</v>
      </c>
    </row>
    <row r="110">
      <c r="A110" s="19" t="s">
        <v>145</v>
      </c>
      <c r="B110" s="4">
        <v>150.0</v>
      </c>
      <c r="C110" s="8">
        <f t="shared" si="5"/>
        <v>24.11591151</v>
      </c>
      <c r="D110" s="1" t="s">
        <v>24</v>
      </c>
      <c r="E110" s="3" t="s">
        <v>19</v>
      </c>
      <c r="F110" s="4" t="s">
        <v>20</v>
      </c>
      <c r="G110" s="9">
        <v>42611.0</v>
      </c>
      <c r="H110" s="4">
        <f>14.99+8.74</f>
        <v>23.73</v>
      </c>
      <c r="I110" s="10">
        <f t="shared" si="2"/>
        <v>0.1582</v>
      </c>
      <c r="J110" s="11">
        <f t="shared" si="3"/>
        <v>42611</v>
      </c>
      <c r="K110" s="4">
        <v>13.0</v>
      </c>
      <c r="L110" s="4" t="s">
        <v>39</v>
      </c>
      <c r="M110" s="10">
        <f t="shared" si="4"/>
        <v>6.219959795</v>
      </c>
    </row>
    <row r="111">
      <c r="A111" s="4" t="s">
        <v>146</v>
      </c>
      <c r="B111" s="4">
        <v>54.0</v>
      </c>
      <c r="C111" s="8">
        <f t="shared" si="5"/>
        <v>8.681728142</v>
      </c>
      <c r="D111" s="1" t="s">
        <v>24</v>
      </c>
      <c r="E111" s="3" t="s">
        <v>19</v>
      </c>
      <c r="F111" s="4" t="s">
        <v>20</v>
      </c>
      <c r="G111" s="9">
        <v>42611.0</v>
      </c>
      <c r="H111" s="4">
        <f>14.99+7.49</f>
        <v>22.48</v>
      </c>
      <c r="I111" s="10">
        <f t="shared" si="2"/>
        <v>0.4162962963</v>
      </c>
      <c r="J111" s="11">
        <f t="shared" si="3"/>
        <v>42611</v>
      </c>
      <c r="K111" s="4">
        <v>13.0</v>
      </c>
      <c r="L111" s="4" t="s">
        <v>39</v>
      </c>
      <c r="M111" s="10">
        <f t="shared" si="4"/>
        <v>6.219959795</v>
      </c>
    </row>
    <row r="112">
      <c r="A112" s="7" t="s">
        <v>147</v>
      </c>
      <c r="B112" s="1">
        <v>24.0</v>
      </c>
      <c r="C112" s="8">
        <f t="shared" si="5"/>
        <v>3.858545841</v>
      </c>
      <c r="D112" s="1" t="s">
        <v>34</v>
      </c>
      <c r="E112" s="3" t="str">
        <f>IFERROR(__xludf.DUMMYFUNCTION("IFERROR(INDEX(IMPORTRANGE(""docs.google.com/spreadsheets/d/1Dz5m9yCjvG51SgZ1o2KfJUBBR9Y0WOI97noTgdya4Zs/edit#gid=709845608"", ""Game!$A$2:$P""), MATCH(A112,IMPORTRANGE(""docs.google.com/spreadsheets/d/1Dz5m9yCjvG51SgZ1o2KfJUBBR9Y0WOI97noTgdya4Zs/edit#gid="&amp;"709845608"", ""Game!$A$2:$A""),0),16),""Not Started"")"),"Not Started")</f>
        <v>Not Started</v>
      </c>
      <c r="F112" s="4" t="s">
        <v>20</v>
      </c>
      <c r="G112" s="12">
        <v>42702.0</v>
      </c>
      <c r="H112" s="4">
        <v>1.49</v>
      </c>
      <c r="I112" s="5">
        <f t="shared" si="2"/>
        <v>0.06208333333</v>
      </c>
      <c r="J112" s="6">
        <f t="shared" si="3"/>
        <v>42702</v>
      </c>
      <c r="K112" s="4">
        <v>13.0</v>
      </c>
      <c r="L112" s="4" t="s">
        <v>16</v>
      </c>
      <c r="M112" s="5">
        <f t="shared" si="4"/>
        <v>6.219959795</v>
      </c>
    </row>
    <row r="113">
      <c r="A113" s="7" t="s">
        <v>148</v>
      </c>
      <c r="B113" s="1">
        <v>158.0</v>
      </c>
      <c r="C113" s="8">
        <f t="shared" si="5"/>
        <v>25.40209345</v>
      </c>
      <c r="D113" s="1" t="s">
        <v>24</v>
      </c>
      <c r="E113" s="3" t="str">
        <f>IFERROR(__xludf.DUMMYFUNCTION("IFERROR(INDEX(IMPORTRANGE(""docs.google.com/spreadsheets/d/1Dz5m9yCjvG51SgZ1o2KfJUBBR9Y0WOI97noTgdya4Zs/edit#gid=709845608"", ""Game!$A$2:$P""), MATCH(A113,IMPORTRANGE(""docs.google.com/spreadsheets/d/1Dz5m9yCjvG51SgZ1o2KfJUBBR9Y0WOI97noTgdya4Zs/edit#gid="&amp;"709845608"", ""Game!$A$2:$A""),0),16),""Not Started"")"),"Not Started")</f>
        <v>Not Started</v>
      </c>
      <c r="F113" s="4" t="s">
        <v>20</v>
      </c>
      <c r="G113" s="12">
        <v>42702.0</v>
      </c>
      <c r="H113" s="4">
        <v>21.17</v>
      </c>
      <c r="I113" s="5">
        <f t="shared" si="2"/>
        <v>0.1339873418</v>
      </c>
      <c r="J113" s="6">
        <f t="shared" si="3"/>
        <v>42702</v>
      </c>
      <c r="K113" s="4">
        <v>13.0</v>
      </c>
      <c r="L113" s="4" t="s">
        <v>16</v>
      </c>
      <c r="M113" s="5">
        <f t="shared" si="4"/>
        <v>6.219959795</v>
      </c>
    </row>
    <row r="114">
      <c r="A114" s="19" t="s">
        <v>149</v>
      </c>
      <c r="B114" s="1">
        <v>39.0</v>
      </c>
      <c r="C114" s="8">
        <f t="shared" si="5"/>
        <v>6.270136992</v>
      </c>
      <c r="D114" s="1" t="s">
        <v>18</v>
      </c>
      <c r="E114" s="3" t="s">
        <v>19</v>
      </c>
      <c r="F114" s="4" t="s">
        <v>20</v>
      </c>
      <c r="G114" s="12">
        <v>42702.0</v>
      </c>
      <c r="H114" s="4">
        <v>19.99</v>
      </c>
      <c r="I114" s="5">
        <f t="shared" si="2"/>
        <v>0.5125641026</v>
      </c>
      <c r="J114" s="6">
        <f t="shared" si="3"/>
        <v>42702</v>
      </c>
      <c r="K114" s="4">
        <v>13.0</v>
      </c>
      <c r="L114" s="4" t="s">
        <v>16</v>
      </c>
      <c r="M114" s="5">
        <f t="shared" si="4"/>
        <v>6.219959795</v>
      </c>
    </row>
    <row r="115">
      <c r="A115" s="4" t="s">
        <v>150</v>
      </c>
      <c r="B115" s="4">
        <v>12.0</v>
      </c>
      <c r="C115" s="8">
        <f t="shared" si="5"/>
        <v>1.929272921</v>
      </c>
      <c r="D115" s="4" t="s">
        <v>27</v>
      </c>
      <c r="E115" s="3" t="s">
        <v>19</v>
      </c>
      <c r="F115" s="4" t="s">
        <v>20</v>
      </c>
      <c r="G115" s="12">
        <v>42727.0</v>
      </c>
      <c r="H115" s="4">
        <v>1.99</v>
      </c>
      <c r="I115" s="10">
        <f t="shared" si="2"/>
        <v>0.1658333333</v>
      </c>
      <c r="J115" s="11">
        <f t="shared" si="3"/>
        <v>42727</v>
      </c>
      <c r="K115" s="4">
        <v>13.0</v>
      </c>
      <c r="L115" s="4" t="s">
        <v>39</v>
      </c>
      <c r="M115" s="10">
        <f t="shared" si="4"/>
        <v>6.219959795</v>
      </c>
    </row>
    <row r="116">
      <c r="A116" s="19" t="s">
        <v>151</v>
      </c>
      <c r="B116" s="1">
        <v>94.0</v>
      </c>
      <c r="C116" s="8">
        <f t="shared" si="5"/>
        <v>15.11263788</v>
      </c>
      <c r="D116" s="1" t="s">
        <v>24</v>
      </c>
      <c r="E116" s="3" t="s">
        <v>19</v>
      </c>
      <c r="F116" s="4" t="s">
        <v>20</v>
      </c>
      <c r="G116" s="12">
        <v>42825.0</v>
      </c>
      <c r="H116" s="4">
        <v>39.99</v>
      </c>
      <c r="I116" s="5">
        <f t="shared" si="2"/>
        <v>0.4254255319</v>
      </c>
      <c r="J116" s="6">
        <f t="shared" si="3"/>
        <v>42825</v>
      </c>
      <c r="K116" s="4">
        <v>38.0</v>
      </c>
      <c r="L116" s="4" t="s">
        <v>39</v>
      </c>
      <c r="M116" s="5">
        <f t="shared" si="4"/>
        <v>6.219959795</v>
      </c>
    </row>
    <row r="117">
      <c r="A117" s="7" t="s">
        <v>152</v>
      </c>
      <c r="B117" s="1">
        <v>7.0</v>
      </c>
      <c r="C117" s="8">
        <f t="shared" si="5"/>
        <v>1.125409204</v>
      </c>
      <c r="D117" s="1" t="s">
        <v>153</v>
      </c>
      <c r="E117" s="3" t="str">
        <f>IFERROR(__xludf.DUMMYFUNCTION("IFERROR(INDEX(IMPORTRANGE(""docs.google.com/spreadsheets/d/1Dz5m9yCjvG51SgZ1o2KfJUBBR9Y0WOI97noTgdya4Zs/edit#gid=709845608"", ""Game!$A$2:$P""), MATCH(A117,IMPORTRANGE(""docs.google.com/spreadsheets/d/1Dz5m9yCjvG51SgZ1o2KfJUBBR9Y0WOI97noTgdya4Zs/edit#gid="&amp;"709845608"", ""Game!$A$2:$A""),0),16),""UnCompleat"")"),"UnCompleat")</f>
        <v>UnCompleat</v>
      </c>
      <c r="F117" s="4" t="s">
        <v>20</v>
      </c>
      <c r="G117" s="9">
        <v>42857.0</v>
      </c>
      <c r="H117" s="17">
        <v>4.31</v>
      </c>
      <c r="I117" s="5">
        <f t="shared" si="2"/>
        <v>0.6157142857</v>
      </c>
      <c r="J117" s="6">
        <f t="shared" si="3"/>
        <v>42857</v>
      </c>
      <c r="K117" s="4">
        <v>38.0</v>
      </c>
      <c r="L117" s="4" t="s">
        <v>16</v>
      </c>
      <c r="M117" s="5">
        <f t="shared" si="4"/>
        <v>6.219959795</v>
      </c>
    </row>
    <row r="118">
      <c r="A118" s="7" t="s">
        <v>154</v>
      </c>
      <c r="B118" s="1">
        <v>12.0</v>
      </c>
      <c r="C118" s="8">
        <f t="shared" si="5"/>
        <v>1.929272921</v>
      </c>
      <c r="D118" s="1" t="s">
        <v>27</v>
      </c>
      <c r="E118" s="3" t="str">
        <f>IFERROR(__xludf.DUMMYFUNCTION("IFERROR(INDEX(IMPORTRANGE(""docs.google.com/spreadsheets/d/1Dz5m9yCjvG51SgZ1o2KfJUBBR9Y0WOI97noTgdya4Zs/edit#gid=709845608"", ""Game!$A$2:$P""), MATCH(A118,IMPORTRANGE(""docs.google.com/spreadsheets/d/1Dz5m9yCjvG51SgZ1o2KfJUBBR9Y0WOI97noTgdya4Zs/edit#gid="&amp;"709845608"", ""Game!$A$2:$A""),0),16),""Not Started"")"),"Not Started")</f>
        <v>Not Started</v>
      </c>
      <c r="F118" s="4" t="s">
        <v>20</v>
      </c>
      <c r="G118" s="9">
        <v>42857.0</v>
      </c>
      <c r="H118" s="17">
        <v>1.67</v>
      </c>
      <c r="I118" s="5">
        <f t="shared" si="2"/>
        <v>0.1391666667</v>
      </c>
      <c r="J118" s="6">
        <f t="shared" si="3"/>
        <v>42857</v>
      </c>
      <c r="K118" s="4">
        <v>38.0</v>
      </c>
      <c r="L118" s="4" t="s">
        <v>16</v>
      </c>
      <c r="M118" s="5">
        <f t="shared" si="4"/>
        <v>6.219959795</v>
      </c>
    </row>
    <row r="119">
      <c r="A119" s="7" t="s">
        <v>155</v>
      </c>
      <c r="B119" s="1">
        <v>45.0</v>
      </c>
      <c r="C119" s="8">
        <f t="shared" si="5"/>
        <v>7.234773452</v>
      </c>
      <c r="D119" s="1" t="s">
        <v>24</v>
      </c>
      <c r="E119" s="3" t="s">
        <v>19</v>
      </c>
      <c r="F119" s="4" t="s">
        <v>20</v>
      </c>
      <c r="G119" s="9">
        <v>42859.0</v>
      </c>
      <c r="H119" s="4">
        <v>41.0</v>
      </c>
      <c r="I119" s="5">
        <f t="shared" si="2"/>
        <v>0.9111111111</v>
      </c>
      <c r="J119" s="6">
        <f t="shared" si="3"/>
        <v>42859</v>
      </c>
      <c r="K119" s="4">
        <v>38.0</v>
      </c>
      <c r="L119" s="4" t="s">
        <v>16</v>
      </c>
      <c r="M119" s="5">
        <f t="shared" si="4"/>
        <v>6.219959795</v>
      </c>
    </row>
    <row r="120">
      <c r="A120" s="7" t="s">
        <v>156</v>
      </c>
      <c r="B120" s="1">
        <v>56.0</v>
      </c>
      <c r="C120" s="8">
        <f t="shared" si="5"/>
        <v>9.003273629</v>
      </c>
      <c r="D120" s="1" t="s">
        <v>42</v>
      </c>
      <c r="E120" s="3" t="s">
        <v>19</v>
      </c>
      <c r="F120" s="4" t="s">
        <v>20</v>
      </c>
      <c r="G120" s="9">
        <v>42897.0</v>
      </c>
      <c r="H120" s="4">
        <v>7.55</v>
      </c>
      <c r="I120" s="5">
        <f t="shared" si="2"/>
        <v>0.1348214286</v>
      </c>
      <c r="J120" s="6">
        <f t="shared" si="3"/>
        <v>42897</v>
      </c>
      <c r="K120" s="4">
        <v>38.0</v>
      </c>
      <c r="L120" s="4" t="s">
        <v>16</v>
      </c>
      <c r="M120" s="5">
        <f t="shared" si="4"/>
        <v>6.219959795</v>
      </c>
    </row>
    <row r="121">
      <c r="A121" s="7" t="s">
        <v>157</v>
      </c>
      <c r="B121" s="1">
        <v>112.0</v>
      </c>
      <c r="C121" s="8">
        <f t="shared" si="5"/>
        <v>18.00654726</v>
      </c>
      <c r="D121" s="1" t="s">
        <v>158</v>
      </c>
      <c r="E121" s="3" t="str">
        <f>IFERROR(__xludf.DUMMYFUNCTION("IFERROR(INDEX(IMPORTRANGE(""docs.google.com/spreadsheets/d/1Dz5m9yCjvG51SgZ1o2KfJUBBR9Y0WOI97noTgdya4Zs/edit#gid=709845608"", ""Game!$A$2:$P""), MATCH(A121,IMPORTRANGE(""docs.google.com/spreadsheets/d/1Dz5m9yCjvG51SgZ1o2KfJUBBR9Y0WOI97noTgdya4Zs/edit#gid="&amp;"709845608"", ""Game!$A$2:$A""),0),16),""Not Started"")"),"Not Started")</f>
        <v>Not Started</v>
      </c>
      <c r="F121" s="4" t="s">
        <v>15</v>
      </c>
      <c r="G121" s="9">
        <v>43009.0</v>
      </c>
      <c r="H121" s="4">
        <v>9.98</v>
      </c>
      <c r="I121" s="5">
        <f t="shared" si="2"/>
        <v>0.08910714286</v>
      </c>
      <c r="J121" s="6">
        <f t="shared" si="3"/>
        <v>43009</v>
      </c>
      <c r="K121" s="4">
        <v>38.0</v>
      </c>
      <c r="L121" s="4" t="s">
        <v>16</v>
      </c>
      <c r="M121" s="5">
        <f t="shared" si="4"/>
        <v>6.219959795</v>
      </c>
    </row>
    <row r="122">
      <c r="A122" s="7" t="s">
        <v>159</v>
      </c>
      <c r="B122" s="1">
        <v>45.0</v>
      </c>
      <c r="C122" s="8">
        <f t="shared" si="5"/>
        <v>7.234773452</v>
      </c>
      <c r="D122" s="1" t="s">
        <v>49</v>
      </c>
      <c r="E122" s="3" t="str">
        <f>IFERROR(__xludf.DUMMYFUNCTION("IFERROR(INDEX(IMPORTRANGE(""docs.google.com/spreadsheets/d/1Dz5m9yCjvG51SgZ1o2KfJUBBR9Y0WOI97noTgdya4Zs/edit#gid=709845608"", ""Game!$A$2:$P""), MATCH(A122,IMPORTRANGE(""docs.google.com/spreadsheets/d/1Dz5m9yCjvG51SgZ1o2KfJUBBR9Y0WOI97noTgdya4Zs/edit#gid="&amp;"709845608"", ""Game!$A$2:$A""),0),16),""Not Started"")"),"Not Started")</f>
        <v>Not Started</v>
      </c>
      <c r="F122" s="4" t="s">
        <v>20</v>
      </c>
      <c r="G122" s="9">
        <v>43009.0</v>
      </c>
      <c r="H122" s="4">
        <v>8.22</v>
      </c>
      <c r="I122" s="5">
        <f t="shared" si="2"/>
        <v>0.1826666667</v>
      </c>
      <c r="J122" s="6">
        <f t="shared" si="3"/>
        <v>43009</v>
      </c>
      <c r="K122" s="4">
        <v>38.0</v>
      </c>
      <c r="L122" s="4" t="s">
        <v>16</v>
      </c>
      <c r="M122" s="5">
        <f t="shared" si="4"/>
        <v>6.219959795</v>
      </c>
    </row>
    <row r="123">
      <c r="A123" s="7" t="s">
        <v>160</v>
      </c>
      <c r="B123" s="1">
        <v>35.0</v>
      </c>
      <c r="C123" s="8">
        <f t="shared" si="5"/>
        <v>5.627046018</v>
      </c>
      <c r="D123" s="1" t="s">
        <v>49</v>
      </c>
      <c r="E123" s="3" t="str">
        <f>IFERROR(__xludf.DUMMYFUNCTION("IFERROR(INDEX(IMPORTRANGE(""docs.google.com/spreadsheets/d/1Dz5m9yCjvG51SgZ1o2KfJUBBR9Y0WOI97noTgdya4Zs/edit#gid=709845608"", ""Game!$A$2:$P""), MATCH(A123,IMPORTRANGE(""docs.google.com/spreadsheets/d/1Dz5m9yCjvG51SgZ1o2KfJUBBR9Y0WOI97noTgdya4Zs/edit#gid="&amp;"709845608"", ""Game!$A$2:$A""),0),16),""Not Started"")"),"Not Started")</f>
        <v>Not Started</v>
      </c>
      <c r="F123" s="4" t="s">
        <v>20</v>
      </c>
      <c r="G123" s="9">
        <v>43009.0</v>
      </c>
      <c r="H123" s="17">
        <v>0.69</v>
      </c>
      <c r="I123" s="5">
        <f t="shared" si="2"/>
        <v>0.01971428571</v>
      </c>
      <c r="J123" s="6">
        <f t="shared" si="3"/>
        <v>43009</v>
      </c>
      <c r="K123" s="4">
        <v>38.0</v>
      </c>
      <c r="L123" s="4" t="s">
        <v>16</v>
      </c>
      <c r="M123" s="5">
        <f t="shared" si="4"/>
        <v>6.219959795</v>
      </c>
    </row>
    <row r="124">
      <c r="A124" s="18" t="s">
        <v>161</v>
      </c>
      <c r="B124" s="14">
        <v>28.0</v>
      </c>
      <c r="C124" s="8">
        <f t="shared" si="5"/>
        <v>4.501636815</v>
      </c>
      <c r="D124" s="1" t="s">
        <v>49</v>
      </c>
      <c r="E124" s="3" t="str">
        <f>IFERROR(__xludf.DUMMYFUNCTION("IFERROR(INDEX(IMPORTRANGE(""docs.google.com/spreadsheets/d/1Dz5m9yCjvG51SgZ1o2KfJUBBR9Y0WOI97noTgdya4Zs/edit#gid=709845608"", ""Game!$A$2:$P""), MATCH(A124,IMPORTRANGE(""docs.google.com/spreadsheets/d/1Dz5m9yCjvG51SgZ1o2KfJUBBR9Y0WOI97noTgdya4Zs/edit#gid="&amp;"709845608"", ""Game!$A$2:$A""),0),16),""Not Started"")"),"Not Started")</f>
        <v>Not Started</v>
      </c>
      <c r="F124" s="15" t="s">
        <v>20</v>
      </c>
      <c r="G124" s="9">
        <v>43009.0</v>
      </c>
      <c r="H124" s="17">
        <v>0.97</v>
      </c>
      <c r="I124" s="5">
        <f t="shared" si="2"/>
        <v>0.03464285714</v>
      </c>
      <c r="J124" s="6">
        <f t="shared" si="3"/>
        <v>43009</v>
      </c>
      <c r="K124" s="4">
        <v>38.0</v>
      </c>
      <c r="L124" s="4" t="s">
        <v>16</v>
      </c>
      <c r="M124" s="5">
        <f t="shared" si="4"/>
        <v>6.219959795</v>
      </c>
    </row>
    <row r="125">
      <c r="A125" s="7" t="s">
        <v>162</v>
      </c>
      <c r="B125" s="1">
        <v>36.0</v>
      </c>
      <c r="C125" s="8">
        <f t="shared" si="5"/>
        <v>5.787818762</v>
      </c>
      <c r="D125" s="1" t="s">
        <v>49</v>
      </c>
      <c r="E125" s="3" t="str">
        <f>IFERROR(__xludf.DUMMYFUNCTION("IFERROR(INDEX(IMPORTRANGE(""docs.google.com/spreadsheets/d/1Dz5m9yCjvG51SgZ1o2KfJUBBR9Y0WOI97noTgdya4Zs/edit#gid=709845608"", ""Game!$A$2:$P""), MATCH(A125,IMPORTRANGE(""docs.google.com/spreadsheets/d/1Dz5m9yCjvG51SgZ1o2KfJUBBR9Y0WOI97noTgdya4Zs/edit#gid="&amp;"709845608"", ""Game!$A$2:$A""),0),16),""Not Started"")"),"Not Started")</f>
        <v>Not Started</v>
      </c>
      <c r="F125" s="4" t="s">
        <v>20</v>
      </c>
      <c r="G125" s="9">
        <v>43009.0</v>
      </c>
      <c r="H125" s="17">
        <v>0.69</v>
      </c>
      <c r="I125" s="5">
        <f t="shared" si="2"/>
        <v>0.01916666667</v>
      </c>
      <c r="J125" s="6">
        <f t="shared" si="3"/>
        <v>43009</v>
      </c>
      <c r="K125" s="4">
        <v>38.0</v>
      </c>
      <c r="L125" s="4" t="s">
        <v>16</v>
      </c>
      <c r="M125" s="5">
        <f t="shared" si="4"/>
        <v>6.219959795</v>
      </c>
    </row>
    <row r="126">
      <c r="A126" s="7" t="s">
        <v>163</v>
      </c>
      <c r="B126" s="1">
        <v>78.0</v>
      </c>
      <c r="C126" s="8">
        <f t="shared" si="5"/>
        <v>12.54027398</v>
      </c>
      <c r="D126" s="1" t="s">
        <v>38</v>
      </c>
      <c r="E126" s="3" t="str">
        <f>IFERROR(__xludf.DUMMYFUNCTION("IFERROR(INDEX(IMPORTRANGE(""docs.google.com/spreadsheets/d/1Dz5m9yCjvG51SgZ1o2KfJUBBR9Y0WOI97noTgdya4Zs/edit#gid=709845608"", ""Game!$A$2:$P""), MATCH(A126,IMPORTRANGE(""docs.google.com/spreadsheets/d/1Dz5m9yCjvG51SgZ1o2KfJUBBR9Y0WOI97noTgdya4Zs/edit#gid="&amp;"709845608"", ""Game!$A$2:$A""),0),16),""Not Started"")"),"Not Started")</f>
        <v>Not Started</v>
      </c>
      <c r="F126" s="4" t="s">
        <v>20</v>
      </c>
      <c r="G126" s="9">
        <v>43014.0</v>
      </c>
      <c r="H126" s="4">
        <v>15.99</v>
      </c>
      <c r="I126" s="5">
        <f t="shared" si="2"/>
        <v>0.205</v>
      </c>
      <c r="J126" s="6">
        <f t="shared" si="3"/>
        <v>43014</v>
      </c>
      <c r="K126" s="4">
        <v>38.0</v>
      </c>
      <c r="L126" s="4" t="s">
        <v>16</v>
      </c>
      <c r="M126" s="5">
        <f t="shared" si="4"/>
        <v>6.219959795</v>
      </c>
    </row>
    <row r="127">
      <c r="A127" s="7" t="s">
        <v>164</v>
      </c>
      <c r="B127" s="1">
        <v>42.0</v>
      </c>
      <c r="C127" s="8">
        <f t="shared" si="5"/>
        <v>6.752455222</v>
      </c>
      <c r="D127" s="1" t="s">
        <v>109</v>
      </c>
      <c r="E127" s="3" t="s">
        <v>19</v>
      </c>
      <c r="F127" s="4" t="s">
        <v>20</v>
      </c>
      <c r="G127" s="12">
        <v>43039.0</v>
      </c>
      <c r="H127" s="4">
        <v>10.04</v>
      </c>
      <c r="I127" s="5">
        <f t="shared" si="2"/>
        <v>0.239047619</v>
      </c>
      <c r="J127" s="6">
        <f t="shared" si="3"/>
        <v>43039</v>
      </c>
      <c r="K127" s="4">
        <v>38.0</v>
      </c>
      <c r="L127" s="4" t="s">
        <v>16</v>
      </c>
      <c r="M127" s="5">
        <f t="shared" si="4"/>
        <v>6.219959795</v>
      </c>
    </row>
    <row r="128">
      <c r="A128" s="7" t="s">
        <v>165</v>
      </c>
      <c r="B128" s="1">
        <v>45.0</v>
      </c>
      <c r="C128" s="8">
        <f t="shared" si="5"/>
        <v>7.234773452</v>
      </c>
      <c r="D128" s="1" t="s">
        <v>27</v>
      </c>
      <c r="E128" s="3" t="str">
        <f>IFERROR(__xludf.DUMMYFUNCTION("IFERROR(INDEX(IMPORTRANGE(""docs.google.com/spreadsheets/d/1Dz5m9yCjvG51SgZ1o2KfJUBBR9Y0WOI97noTgdya4Zs/edit#gid=709845608"", ""Game!$A$2:$P""), MATCH(A128,IMPORTRANGE(""docs.google.com/spreadsheets/d/1Dz5m9yCjvG51SgZ1o2KfJUBBR9Y0WOI97noTgdya4Zs/edit#gid="&amp;"709845608"", ""Game!$A$2:$A""),0),16),""Not Started"")"),"Not Started")</f>
        <v>Not Started</v>
      </c>
      <c r="F128" s="4" t="s">
        <v>20</v>
      </c>
      <c r="G128" s="12">
        <v>43039.0</v>
      </c>
      <c r="H128" s="17">
        <v>1.39</v>
      </c>
      <c r="I128" s="5">
        <f t="shared" si="2"/>
        <v>0.03088888889</v>
      </c>
      <c r="J128" s="6">
        <f t="shared" si="3"/>
        <v>43039</v>
      </c>
      <c r="K128" s="4">
        <v>38.0</v>
      </c>
      <c r="L128" s="4" t="s">
        <v>16</v>
      </c>
      <c r="M128" s="5">
        <f t="shared" si="4"/>
        <v>6.219959795</v>
      </c>
    </row>
    <row r="129">
      <c r="A129" s="7" t="s">
        <v>166</v>
      </c>
      <c r="B129" s="1">
        <v>161.0</v>
      </c>
      <c r="C129" s="8">
        <f t="shared" si="5"/>
        <v>25.88441168</v>
      </c>
      <c r="D129" s="1" t="s">
        <v>24</v>
      </c>
      <c r="E129" s="3" t="str">
        <f>IFERROR(__xludf.DUMMYFUNCTION("IFERROR(INDEX(IMPORTRANGE(""docs.google.com/spreadsheets/d/1Dz5m9yCjvG51SgZ1o2KfJUBBR9Y0WOI97noTgdya4Zs/edit#gid=709845608"", ""Game!$A$2:$P""), MATCH(A129,IMPORTRANGE(""docs.google.com/spreadsheets/d/1Dz5m9yCjvG51SgZ1o2KfJUBBR9Y0WOI97noTgdya4Zs/edit#gid="&amp;"709845608"", ""Game!$A$2:$A""),0),16),""Not Started"")"),"Not Started")</f>
        <v>Not Started</v>
      </c>
      <c r="F129" s="4" t="s">
        <v>20</v>
      </c>
      <c r="G129" s="12">
        <v>43039.0</v>
      </c>
      <c r="H129" s="4">
        <v>30.97</v>
      </c>
      <c r="I129" s="5">
        <f t="shared" si="2"/>
        <v>0.1923602484</v>
      </c>
      <c r="J129" s="6">
        <f t="shared" si="3"/>
        <v>43039</v>
      </c>
      <c r="K129" s="4">
        <v>38.0</v>
      </c>
      <c r="L129" s="4" t="s">
        <v>16</v>
      </c>
      <c r="M129" s="5">
        <f t="shared" si="4"/>
        <v>6.219959795</v>
      </c>
    </row>
    <row r="130">
      <c r="A130" s="7" t="s">
        <v>167</v>
      </c>
      <c r="B130" s="1">
        <v>46.0</v>
      </c>
      <c r="C130" s="8">
        <f t="shared" si="5"/>
        <v>7.395546195</v>
      </c>
      <c r="D130" s="1" t="s">
        <v>109</v>
      </c>
      <c r="E130" s="3" t="str">
        <f>IFERROR(__xludf.DUMMYFUNCTION("IFERROR(INDEX(IMPORTRANGE(""docs.google.com/spreadsheets/d/1Dz5m9yCjvG51SgZ1o2KfJUBBR9Y0WOI97noTgdya4Zs/edit#gid=709845608"", ""Game!$A$2:$P""), MATCH(A130,IMPORTRANGE(""docs.google.com/spreadsheets/d/1Dz5m9yCjvG51SgZ1o2KfJUBBR9Y0WOI97noTgdya4Zs/edit#gid="&amp;"709845608"", ""Game!$A$2:$A""),0),16),""Not Started"")"),"Not Started")</f>
        <v>Not Started</v>
      </c>
      <c r="F130" s="4" t="s">
        <v>20</v>
      </c>
      <c r="G130" s="9">
        <v>43039.0</v>
      </c>
      <c r="H130" s="17">
        <v>2.19</v>
      </c>
      <c r="I130" s="5">
        <f t="shared" si="2"/>
        <v>0.04760869565</v>
      </c>
      <c r="J130" s="6">
        <f t="shared" si="3"/>
        <v>43039</v>
      </c>
      <c r="K130" s="4">
        <v>38.0</v>
      </c>
      <c r="L130" s="4" t="s">
        <v>16</v>
      </c>
      <c r="M130" s="5">
        <f t="shared" si="4"/>
        <v>6.219959795</v>
      </c>
    </row>
    <row r="131">
      <c r="A131" s="19" t="s">
        <v>168</v>
      </c>
      <c r="B131" s="1">
        <v>121.0</v>
      </c>
      <c r="C131" s="8">
        <f t="shared" si="5"/>
        <v>19.45350195</v>
      </c>
      <c r="D131" s="1" t="s">
        <v>14</v>
      </c>
      <c r="E131" s="3" t="str">
        <f>IFERROR(__xludf.DUMMYFUNCTION("IFERROR(INDEX(IMPORTRANGE(""docs.google.com/spreadsheets/d/1Dz5m9yCjvG51SgZ1o2KfJUBBR9Y0WOI97noTgdya4Zs/edit#gid=709845608"", ""Game!$A$2:$P""), MATCH(A131,IMPORTRANGE(""docs.google.com/spreadsheets/d/1Dz5m9yCjvG51SgZ1o2KfJUBBR9Y0WOI97noTgdya4Zs/edit#gid="&amp;"709845608"", ""Game!$A$2:$A""),0),16),""Not Started"")"),"Not Started")</f>
        <v>Not Started</v>
      </c>
      <c r="F131" s="4" t="s">
        <v>15</v>
      </c>
      <c r="G131" s="12">
        <v>43059.0</v>
      </c>
      <c r="H131" s="4">
        <v>12.23</v>
      </c>
      <c r="I131" s="5">
        <f t="shared" si="2"/>
        <v>0.1010743802</v>
      </c>
      <c r="J131" s="6">
        <f t="shared" si="3"/>
        <v>43059</v>
      </c>
      <c r="K131" s="4">
        <v>38.0</v>
      </c>
      <c r="L131" s="4" t="s">
        <v>16</v>
      </c>
      <c r="M131" s="5">
        <f t="shared" si="4"/>
        <v>6.219959795</v>
      </c>
    </row>
    <row r="132">
      <c r="A132" s="7" t="s">
        <v>169</v>
      </c>
      <c r="B132" s="1">
        <v>73.0</v>
      </c>
      <c r="C132" s="8">
        <f t="shared" si="5"/>
        <v>11.73641027</v>
      </c>
      <c r="D132" s="1" t="s">
        <v>14</v>
      </c>
      <c r="E132" s="3" t="str">
        <f>IFERROR(__xludf.DUMMYFUNCTION("IFERROR(INDEX(IMPORTRANGE(""docs.google.com/spreadsheets/d/1Dz5m9yCjvG51SgZ1o2KfJUBBR9Y0WOI97noTgdya4Zs/edit#gid=709845608"", ""Game!$A$2:$P""), MATCH(A132,IMPORTRANGE(""docs.google.com/spreadsheets/d/1Dz5m9yCjvG51SgZ1o2KfJUBBR9Y0WOI97noTgdya4Zs/edit#gid="&amp;"709845608"", ""Game!$A$2:$A""),0),16),""Not Started"")"),"Not Started")</f>
        <v>Not Started</v>
      </c>
      <c r="F132" s="4" t="s">
        <v>15</v>
      </c>
      <c r="G132" s="12">
        <v>43061.0</v>
      </c>
      <c r="H132" s="4">
        <v>11.54</v>
      </c>
      <c r="I132" s="5">
        <f t="shared" si="2"/>
        <v>0.1580821918</v>
      </c>
      <c r="J132" s="6">
        <f t="shared" si="3"/>
        <v>43061</v>
      </c>
      <c r="K132" s="4">
        <v>38.0</v>
      </c>
      <c r="L132" s="4" t="s">
        <v>16</v>
      </c>
      <c r="M132" s="5">
        <f t="shared" si="4"/>
        <v>6.219959795</v>
      </c>
    </row>
    <row r="133">
      <c r="A133" s="20" t="s">
        <v>170</v>
      </c>
      <c r="B133" s="1">
        <v>15.0</v>
      </c>
      <c r="C133" s="8">
        <f t="shared" si="5"/>
        <v>2.411591151</v>
      </c>
      <c r="D133" s="1" t="s">
        <v>27</v>
      </c>
      <c r="E133" s="3" t="str">
        <f>IFERROR(__xludf.DUMMYFUNCTION("IFERROR(INDEX(IMPORTRANGE(""docs.google.com/spreadsheets/d/1Dz5m9yCjvG51SgZ1o2KfJUBBR9Y0WOI97noTgdya4Zs/edit#gid=709845608"", ""Game!$A$2:$P""), MATCH(A133,IMPORTRANGE(""docs.google.com/spreadsheets/d/1Dz5m9yCjvG51SgZ1o2KfJUBBR9Y0WOI97noTgdya4Zs/edit#gid="&amp;"709845608"", ""Game!$A$2:$A""),0),16),""Not Started"")"),"Not Started")</f>
        <v>Not Started</v>
      </c>
      <c r="F133" s="4" t="s">
        <v>20</v>
      </c>
      <c r="G133" s="12">
        <v>43067.0</v>
      </c>
      <c r="H133" s="17">
        <v>0.69</v>
      </c>
      <c r="I133" s="5">
        <f t="shared" si="2"/>
        <v>0.046</v>
      </c>
      <c r="J133" s="6">
        <f t="shared" si="3"/>
        <v>43067</v>
      </c>
      <c r="K133" s="4">
        <v>38.0</v>
      </c>
      <c r="L133" s="4" t="s">
        <v>16</v>
      </c>
      <c r="M133" s="5">
        <f t="shared" si="4"/>
        <v>6.219959795</v>
      </c>
    </row>
    <row r="134">
      <c r="A134" s="7" t="s">
        <v>171</v>
      </c>
      <c r="B134" s="1">
        <v>15.0</v>
      </c>
      <c r="C134" s="8">
        <f t="shared" si="5"/>
        <v>2.411591151</v>
      </c>
      <c r="D134" s="1" t="s">
        <v>27</v>
      </c>
      <c r="E134" s="3" t="str">
        <f>IFERROR(__xludf.DUMMYFUNCTION("IFERROR(INDEX(IMPORTRANGE(""docs.google.com/spreadsheets/d/1Dz5m9yCjvG51SgZ1o2KfJUBBR9Y0WOI97noTgdya4Zs/edit#gid=709845608"", ""Game!$A$2:$P""), MATCH(A134,IMPORTRANGE(""docs.google.com/spreadsheets/d/1Dz5m9yCjvG51SgZ1o2KfJUBBR9Y0WOI97noTgdya4Zs/edit#gid="&amp;"709845608"", ""Game!$A$2:$A""),0),16),""Not Started"")"),"Not Started")</f>
        <v>Not Started</v>
      </c>
      <c r="F134" s="4" t="s">
        <v>20</v>
      </c>
      <c r="G134" s="12">
        <v>43067.0</v>
      </c>
      <c r="H134" s="17">
        <v>0.69</v>
      </c>
      <c r="I134" s="5">
        <f t="shared" si="2"/>
        <v>0.046</v>
      </c>
      <c r="J134" s="6">
        <f t="shared" si="3"/>
        <v>43067</v>
      </c>
      <c r="K134" s="4">
        <v>38.0</v>
      </c>
      <c r="L134" s="4" t="s">
        <v>16</v>
      </c>
      <c r="M134" s="5">
        <f t="shared" si="4"/>
        <v>6.219959795</v>
      </c>
    </row>
    <row r="135">
      <c r="A135" s="7" t="s">
        <v>172</v>
      </c>
      <c r="B135" s="1">
        <v>197.0</v>
      </c>
      <c r="C135" s="8">
        <f t="shared" si="5"/>
        <v>31.67223045</v>
      </c>
      <c r="D135" s="1" t="s">
        <v>14</v>
      </c>
      <c r="E135" s="3" t="str">
        <f>IFERROR(__xludf.DUMMYFUNCTION("IFERROR(INDEX(IMPORTRANGE(""docs.google.com/spreadsheets/d/1Dz5m9yCjvG51SgZ1o2KfJUBBR9Y0WOI97noTgdya4Zs/edit#gid=709845608"", ""Game!$A$2:$P""), MATCH(A135,IMPORTRANGE(""docs.google.com/spreadsheets/d/1Dz5m9yCjvG51SgZ1o2KfJUBBR9Y0WOI97noTgdya4Zs/edit#gid="&amp;"709845608"", ""Game!$A$2:$A""),0),16),""Not Started"")"),"Not Started")</f>
        <v>Not Started</v>
      </c>
      <c r="F135" s="4" t="s">
        <v>15</v>
      </c>
      <c r="G135" s="12">
        <v>43067.0</v>
      </c>
      <c r="H135" s="4">
        <v>33.41</v>
      </c>
      <c r="I135" s="5">
        <f t="shared" si="2"/>
        <v>0.1695939086</v>
      </c>
      <c r="J135" s="6">
        <f t="shared" si="3"/>
        <v>43067</v>
      </c>
      <c r="K135" s="4">
        <v>38.0</v>
      </c>
      <c r="L135" s="4" t="s">
        <v>16</v>
      </c>
      <c r="M135" s="5">
        <f t="shared" si="4"/>
        <v>6.219959795</v>
      </c>
    </row>
    <row r="136">
      <c r="A136" s="7" t="s">
        <v>173</v>
      </c>
      <c r="B136" s="1">
        <v>143.0</v>
      </c>
      <c r="C136" s="8">
        <f t="shared" si="5"/>
        <v>22.9905023</v>
      </c>
      <c r="D136" s="1" t="s">
        <v>14</v>
      </c>
      <c r="E136" s="3" t="str">
        <f>IFERROR(__xludf.DUMMYFUNCTION("IFERROR(INDEX(IMPORTRANGE(""docs.google.com/spreadsheets/d/1Dz5m9yCjvG51SgZ1o2KfJUBBR9Y0WOI97noTgdya4Zs/edit#gid=709845608"", ""Game!$A$2:$P""), MATCH(A136,IMPORTRANGE(""docs.google.com/spreadsheets/d/1Dz5m9yCjvG51SgZ1o2KfJUBBR9Y0WOI97noTgdya4Zs/edit#gid="&amp;"709845608"", ""Game!$A$2:$A""),0),16),""Not Started"")"),"Not Started")</f>
        <v>Not Started</v>
      </c>
      <c r="F136" s="4" t="s">
        <v>15</v>
      </c>
      <c r="G136" s="12">
        <v>43067.0</v>
      </c>
      <c r="H136" s="17">
        <v>4.74</v>
      </c>
      <c r="I136" s="5">
        <f t="shared" si="2"/>
        <v>0.03314685315</v>
      </c>
      <c r="J136" s="6">
        <f t="shared" si="3"/>
        <v>43067</v>
      </c>
      <c r="K136" s="4">
        <v>38.0</v>
      </c>
      <c r="L136" s="4" t="s">
        <v>16</v>
      </c>
      <c r="M136" s="5">
        <f t="shared" si="4"/>
        <v>6.219959795</v>
      </c>
    </row>
    <row r="137">
      <c r="A137" s="20" t="s">
        <v>174</v>
      </c>
      <c r="B137" s="1">
        <v>205.0</v>
      </c>
      <c r="C137" s="8">
        <f t="shared" si="5"/>
        <v>32.95841239</v>
      </c>
      <c r="D137" s="1" t="s">
        <v>14</v>
      </c>
      <c r="E137" s="3" t="str">
        <f>IFERROR(__xludf.DUMMYFUNCTION("IFERROR(INDEX(IMPORTRANGE(""docs.google.com/spreadsheets/d/1Dz5m9yCjvG51SgZ1o2KfJUBBR9Y0WOI97noTgdya4Zs/edit#gid=709845608"", ""Game!$A$2:$P""), MATCH(A137,IMPORTRANGE(""docs.google.com/spreadsheets/d/1Dz5m9yCjvG51SgZ1o2KfJUBBR9Y0WOI97noTgdya4Zs/edit#gid="&amp;"709845608"", ""Game!$A$2:$A""),0),16),""UnCompleat"")"),"UnCompleat")</f>
        <v>UnCompleat</v>
      </c>
      <c r="F137" s="4" t="s">
        <v>15</v>
      </c>
      <c r="G137" s="12">
        <v>43067.0</v>
      </c>
      <c r="H137" s="4">
        <v>10.79</v>
      </c>
      <c r="I137" s="5">
        <f t="shared" si="2"/>
        <v>0.05263414634</v>
      </c>
      <c r="J137" s="6">
        <f t="shared" si="3"/>
        <v>43067</v>
      </c>
      <c r="K137" s="4">
        <v>38.0</v>
      </c>
      <c r="L137" s="4" t="s">
        <v>16</v>
      </c>
      <c r="M137" s="5">
        <f t="shared" si="4"/>
        <v>6.219959795</v>
      </c>
    </row>
    <row r="138">
      <c r="A138" s="7" t="s">
        <v>175</v>
      </c>
      <c r="B138" s="1">
        <v>18.0</v>
      </c>
      <c r="C138" s="8">
        <f t="shared" si="5"/>
        <v>2.893909381</v>
      </c>
      <c r="D138" s="1" t="s">
        <v>27</v>
      </c>
      <c r="E138" s="3" t="s">
        <v>19</v>
      </c>
      <c r="F138" s="4" t="s">
        <v>20</v>
      </c>
      <c r="G138" s="12">
        <v>43083.0</v>
      </c>
      <c r="H138" s="4">
        <v>1.78</v>
      </c>
      <c r="I138" s="5">
        <f t="shared" si="2"/>
        <v>0.09888888889</v>
      </c>
      <c r="J138" s="6">
        <f t="shared" si="3"/>
        <v>43083</v>
      </c>
      <c r="K138" s="4">
        <v>38.0</v>
      </c>
      <c r="L138" s="4" t="s">
        <v>16</v>
      </c>
      <c r="M138" s="5">
        <f t="shared" si="4"/>
        <v>6.219959795</v>
      </c>
    </row>
    <row r="139">
      <c r="A139" s="7" t="s">
        <v>176</v>
      </c>
      <c r="B139" s="1">
        <v>18.0</v>
      </c>
      <c r="C139" s="8">
        <f t="shared" si="5"/>
        <v>2.893909381</v>
      </c>
      <c r="D139" s="1" t="s">
        <v>27</v>
      </c>
      <c r="E139" s="3" t="s">
        <v>19</v>
      </c>
      <c r="F139" s="4" t="s">
        <v>20</v>
      </c>
      <c r="G139" s="12">
        <v>43083.0</v>
      </c>
      <c r="H139" s="17">
        <v>1.21</v>
      </c>
      <c r="I139" s="5">
        <f t="shared" si="2"/>
        <v>0.06722222222</v>
      </c>
      <c r="J139" s="6">
        <f t="shared" si="3"/>
        <v>43083</v>
      </c>
      <c r="K139" s="4">
        <v>38.0</v>
      </c>
      <c r="L139" s="4" t="s">
        <v>16</v>
      </c>
      <c r="M139" s="5">
        <f t="shared" si="4"/>
        <v>6.219959795</v>
      </c>
    </row>
    <row r="140">
      <c r="A140" s="7" t="s">
        <v>177</v>
      </c>
      <c r="B140" s="1">
        <v>14.0</v>
      </c>
      <c r="C140" s="8">
        <f t="shared" si="5"/>
        <v>2.250818407</v>
      </c>
      <c r="D140" s="1" t="s">
        <v>109</v>
      </c>
      <c r="E140" s="3" t="s">
        <v>19</v>
      </c>
      <c r="F140" s="4" t="s">
        <v>20</v>
      </c>
      <c r="G140" s="12">
        <v>43083.0</v>
      </c>
      <c r="H140" s="17">
        <v>1.78</v>
      </c>
      <c r="I140" s="5">
        <f t="shared" si="2"/>
        <v>0.1271428571</v>
      </c>
      <c r="J140" s="6">
        <f t="shared" si="3"/>
        <v>43083</v>
      </c>
      <c r="K140" s="4">
        <v>38.0</v>
      </c>
      <c r="L140" s="4" t="s">
        <v>16</v>
      </c>
      <c r="M140" s="5">
        <f t="shared" si="4"/>
        <v>6.219959795</v>
      </c>
    </row>
    <row r="141">
      <c r="A141" s="7" t="s">
        <v>178</v>
      </c>
      <c r="B141" s="1">
        <v>10.0</v>
      </c>
      <c r="C141" s="8">
        <f t="shared" si="5"/>
        <v>1.607727434</v>
      </c>
      <c r="D141" s="1" t="s">
        <v>27</v>
      </c>
      <c r="E141" s="3" t="s">
        <v>19</v>
      </c>
      <c r="F141" s="4" t="s">
        <v>20</v>
      </c>
      <c r="G141" s="12">
        <v>43083.0</v>
      </c>
      <c r="H141" s="17">
        <v>0.5</v>
      </c>
      <c r="I141" s="5">
        <f t="shared" si="2"/>
        <v>0.05</v>
      </c>
      <c r="J141" s="6">
        <f t="shared" si="3"/>
        <v>43083</v>
      </c>
      <c r="K141" s="4">
        <v>38.0</v>
      </c>
      <c r="L141" s="4" t="s">
        <v>16</v>
      </c>
      <c r="M141" s="5">
        <f t="shared" si="4"/>
        <v>6.219959795</v>
      </c>
    </row>
    <row r="142">
      <c r="A142" s="7" t="s">
        <v>179</v>
      </c>
      <c r="B142" s="1">
        <v>53.0</v>
      </c>
      <c r="C142" s="8">
        <f t="shared" si="5"/>
        <v>8.520955399</v>
      </c>
      <c r="D142" s="1" t="s">
        <v>24</v>
      </c>
      <c r="E142" s="3" t="s">
        <v>19</v>
      </c>
      <c r="F142" s="4" t="s">
        <v>20</v>
      </c>
      <c r="G142" s="12">
        <v>43083.0</v>
      </c>
      <c r="H142" s="17">
        <v>2.37</v>
      </c>
      <c r="I142" s="5">
        <f t="shared" si="2"/>
        <v>0.04471698113</v>
      </c>
      <c r="J142" s="6">
        <f t="shared" si="3"/>
        <v>43083</v>
      </c>
      <c r="K142" s="4">
        <v>38.0</v>
      </c>
      <c r="L142" s="4" t="s">
        <v>16</v>
      </c>
      <c r="M142" s="5">
        <f t="shared" si="4"/>
        <v>6.219959795</v>
      </c>
    </row>
    <row r="143">
      <c r="A143" s="7" t="s">
        <v>180</v>
      </c>
      <c r="B143" s="1">
        <v>15.5</v>
      </c>
      <c r="C143" s="8">
        <f t="shared" si="5"/>
        <v>2.491977522</v>
      </c>
      <c r="D143" s="1" t="s">
        <v>27</v>
      </c>
      <c r="E143" s="3" t="str">
        <f>IFERROR(__xludf.DUMMYFUNCTION("IFERROR(INDEX(IMPORTRANGE(""docs.google.com/spreadsheets/d/1Dz5m9yCjvG51SgZ1o2KfJUBBR9Y0WOI97noTgdya4Zs/edit#gid=709845608"", ""Game!$A$2:$P""), MATCH(A143,IMPORTRANGE(""docs.google.com/spreadsheets/d/1Dz5m9yCjvG51SgZ1o2KfJUBBR9Y0WOI97noTgdya4Zs/edit#gid="&amp;"709845608"", ""Game!$A$2:$A""),0),16),""UnCompleat"")"),"UnCompleat")</f>
        <v>UnCompleat</v>
      </c>
      <c r="F143" s="4" t="s">
        <v>20</v>
      </c>
      <c r="G143" s="12">
        <v>43083.0</v>
      </c>
      <c r="H143" s="17">
        <v>1.21</v>
      </c>
      <c r="I143" s="5">
        <f t="shared" si="2"/>
        <v>0.07806451613</v>
      </c>
      <c r="J143" s="6">
        <f t="shared" si="3"/>
        <v>43083</v>
      </c>
      <c r="K143" s="4">
        <v>38.0</v>
      </c>
      <c r="L143" s="4" t="s">
        <v>16</v>
      </c>
      <c r="M143" s="5">
        <f t="shared" si="4"/>
        <v>6.219959795</v>
      </c>
    </row>
    <row r="144">
      <c r="A144" s="7" t="s">
        <v>181</v>
      </c>
      <c r="B144" s="1">
        <v>11.0</v>
      </c>
      <c r="C144" s="8">
        <f t="shared" si="5"/>
        <v>1.768500177</v>
      </c>
      <c r="D144" s="1" t="s">
        <v>158</v>
      </c>
      <c r="E144" s="3" t="str">
        <f>IFERROR(__xludf.DUMMYFUNCTION("IFERROR(INDEX(IMPORTRANGE(""docs.google.com/spreadsheets/d/1Dz5m9yCjvG51SgZ1o2KfJUBBR9Y0WOI97noTgdya4Zs/edit#gid=709845608"", ""Game!$A$2:$P""), MATCH(A144,IMPORTRANGE(""docs.google.com/spreadsheets/d/1Dz5m9yCjvG51SgZ1o2KfJUBBR9Y0WOI97noTgdya4Zs/edit#gid="&amp;"709845608"", ""Game!$A$2:$A""),0),16),""UnCompleat"")"),"UnCompleat")</f>
        <v>UnCompleat</v>
      </c>
      <c r="F144" s="4" t="s">
        <v>20</v>
      </c>
      <c r="G144" s="12">
        <v>43083.0</v>
      </c>
      <c r="H144" s="17">
        <v>2.79</v>
      </c>
      <c r="I144" s="5">
        <f t="shared" si="2"/>
        <v>0.2536363636</v>
      </c>
      <c r="J144" s="6">
        <f t="shared" si="3"/>
        <v>43083</v>
      </c>
      <c r="K144" s="4">
        <v>38.0</v>
      </c>
      <c r="L144" s="4" t="s">
        <v>16</v>
      </c>
      <c r="M144" s="5">
        <f t="shared" si="4"/>
        <v>6.219959795</v>
      </c>
    </row>
    <row r="145">
      <c r="A145" s="7" t="s">
        <v>182</v>
      </c>
      <c r="B145" s="1">
        <v>64.0</v>
      </c>
      <c r="C145" s="8">
        <f t="shared" si="5"/>
        <v>10.28945558</v>
      </c>
      <c r="D145" s="1" t="s">
        <v>14</v>
      </c>
      <c r="E145" s="3" t="str">
        <f>IFERROR(__xludf.DUMMYFUNCTION("IFERROR(INDEX(IMPORTRANGE(""docs.google.com/spreadsheets/d/1Dz5m9yCjvG51SgZ1o2KfJUBBR9Y0WOI97noTgdya4Zs/edit#gid=709845608"", ""Game!$A$2:$P""), MATCH(A145,IMPORTRANGE(""docs.google.com/spreadsheets/d/1Dz5m9yCjvG51SgZ1o2KfJUBBR9Y0WOI97noTgdya4Zs/edit#gid="&amp;"709845608"", ""Game!$A$2:$A""),0),16),""Not Started"")"),"Not Started")</f>
        <v>Not Started</v>
      </c>
      <c r="F145" s="4" t="s">
        <v>15</v>
      </c>
      <c r="G145" s="12">
        <v>43089.0</v>
      </c>
      <c r="H145" s="17">
        <v>5.09</v>
      </c>
      <c r="I145" s="5">
        <f t="shared" si="2"/>
        <v>0.07953125</v>
      </c>
      <c r="J145" s="6">
        <f t="shared" si="3"/>
        <v>43089</v>
      </c>
      <c r="K145" s="4">
        <v>38.0</v>
      </c>
      <c r="L145" s="4" t="s">
        <v>16</v>
      </c>
      <c r="M145" s="5">
        <f t="shared" si="4"/>
        <v>6.219959795</v>
      </c>
    </row>
    <row r="146">
      <c r="A146" s="22" t="s">
        <v>183</v>
      </c>
      <c r="B146" s="14">
        <v>43.0</v>
      </c>
      <c r="C146" s="8">
        <f t="shared" si="5"/>
        <v>6.913227965</v>
      </c>
      <c r="D146" s="14" t="s">
        <v>14</v>
      </c>
      <c r="E146" s="3" t="str">
        <f>IFERROR(__xludf.DUMMYFUNCTION("IFERROR(INDEX(IMPORTRANGE(""docs.google.com/spreadsheets/d/1Dz5m9yCjvG51SgZ1o2KfJUBBR9Y0WOI97noTgdya4Zs/edit#gid=709845608"", ""Game!$A$2:$P""), MATCH(A146,IMPORTRANGE(""docs.google.com/spreadsheets/d/1Dz5m9yCjvG51SgZ1o2KfJUBBR9Y0WOI97noTgdya4Zs/edit#gid="&amp;"709845608"", ""Game!$A$2:$A""),0),16),""Not Started"")"),"Not Started")</f>
        <v>Not Started</v>
      </c>
      <c r="F146" s="15" t="s">
        <v>15</v>
      </c>
      <c r="G146" s="12">
        <v>43089.0</v>
      </c>
      <c r="H146" s="17">
        <v>1.62</v>
      </c>
      <c r="I146" s="5">
        <f t="shared" si="2"/>
        <v>0.0376744186</v>
      </c>
      <c r="J146" s="6">
        <f t="shared" si="3"/>
        <v>43089</v>
      </c>
      <c r="K146" s="4">
        <v>38.0</v>
      </c>
      <c r="L146" s="4" t="s">
        <v>16</v>
      </c>
      <c r="M146" s="5">
        <f t="shared" si="4"/>
        <v>6.219959795</v>
      </c>
    </row>
    <row r="147">
      <c r="A147" s="7" t="s">
        <v>184</v>
      </c>
      <c r="B147" s="1">
        <v>7.0</v>
      </c>
      <c r="C147" s="8">
        <f t="shared" si="5"/>
        <v>1.125409204</v>
      </c>
      <c r="D147" s="1" t="s">
        <v>158</v>
      </c>
      <c r="E147" s="3" t="s">
        <v>19</v>
      </c>
      <c r="F147" s="4" t="s">
        <v>20</v>
      </c>
      <c r="G147" s="12">
        <v>43089.0</v>
      </c>
      <c r="H147" s="17">
        <v>1.91</v>
      </c>
      <c r="I147" s="5">
        <f t="shared" si="2"/>
        <v>0.2728571429</v>
      </c>
      <c r="J147" s="6">
        <f t="shared" si="3"/>
        <v>43089</v>
      </c>
      <c r="K147" s="4">
        <v>38.0</v>
      </c>
      <c r="L147" s="4" t="s">
        <v>16</v>
      </c>
      <c r="M147" s="5">
        <f t="shared" si="4"/>
        <v>6.219959795</v>
      </c>
    </row>
    <row r="148">
      <c r="A148" s="7" t="s">
        <v>185</v>
      </c>
      <c r="B148" s="1">
        <v>26.0</v>
      </c>
      <c r="C148" s="8">
        <f t="shared" si="5"/>
        <v>4.180091328</v>
      </c>
      <c r="D148" s="1" t="s">
        <v>158</v>
      </c>
      <c r="E148" s="3" t="str">
        <f>IFERROR(__xludf.DUMMYFUNCTION("IFERROR(INDEX(IMPORTRANGE(""docs.google.com/spreadsheets/d/1Dz5m9yCjvG51SgZ1o2KfJUBBR9Y0WOI97noTgdya4Zs/edit#gid=709845608"", ""Game!$A$2:$P""), MATCH(A148,IMPORTRANGE(""docs.google.com/spreadsheets/d/1Dz5m9yCjvG51SgZ1o2KfJUBBR9Y0WOI97noTgdya4Zs/edit#gid="&amp;"709845608"", ""Game!$A$2:$A""),0),16),""Not Started"")"),"Not Started")</f>
        <v>Not Started</v>
      </c>
      <c r="F148" s="4" t="s">
        <v>20</v>
      </c>
      <c r="G148" s="12">
        <v>43089.0</v>
      </c>
      <c r="H148" s="17">
        <v>9.19</v>
      </c>
      <c r="I148" s="5">
        <f t="shared" si="2"/>
        <v>0.3534615385</v>
      </c>
      <c r="J148" s="6">
        <f t="shared" si="3"/>
        <v>43089</v>
      </c>
      <c r="K148" s="4">
        <v>38.0</v>
      </c>
      <c r="L148" s="4" t="s">
        <v>16</v>
      </c>
      <c r="M148" s="5">
        <f t="shared" si="4"/>
        <v>6.219959795</v>
      </c>
    </row>
    <row r="149">
      <c r="A149" s="7" t="s">
        <v>186</v>
      </c>
      <c r="B149" s="1">
        <v>16.0</v>
      </c>
      <c r="C149" s="8">
        <f t="shared" si="5"/>
        <v>2.572363894</v>
      </c>
      <c r="D149" s="1" t="s">
        <v>109</v>
      </c>
      <c r="E149" s="3" t="s">
        <v>19</v>
      </c>
      <c r="F149" s="4" t="s">
        <v>20</v>
      </c>
      <c r="G149" s="12">
        <v>43089.0</v>
      </c>
      <c r="H149" s="17">
        <v>5.09</v>
      </c>
      <c r="I149" s="5">
        <f t="shared" si="2"/>
        <v>0.318125</v>
      </c>
      <c r="J149" s="6">
        <f t="shared" si="3"/>
        <v>43089</v>
      </c>
      <c r="K149" s="4">
        <v>38.0</v>
      </c>
      <c r="L149" s="4" t="s">
        <v>16</v>
      </c>
      <c r="M149" s="5">
        <f t="shared" si="4"/>
        <v>6.219959795</v>
      </c>
    </row>
    <row r="150">
      <c r="A150" s="7" t="s">
        <v>187</v>
      </c>
      <c r="B150" s="1">
        <v>12.0</v>
      </c>
      <c r="C150" s="8">
        <f t="shared" si="5"/>
        <v>1.929272921</v>
      </c>
      <c r="D150" s="1" t="s">
        <v>109</v>
      </c>
      <c r="E150" s="3" t="s">
        <v>19</v>
      </c>
      <c r="F150" s="4" t="s">
        <v>20</v>
      </c>
      <c r="G150" s="12">
        <v>43089.0</v>
      </c>
      <c r="H150" s="17">
        <v>5.09</v>
      </c>
      <c r="I150" s="5">
        <f t="shared" si="2"/>
        <v>0.4241666667</v>
      </c>
      <c r="J150" s="6">
        <f t="shared" si="3"/>
        <v>43089</v>
      </c>
      <c r="K150" s="4">
        <v>38.0</v>
      </c>
      <c r="L150" s="4" t="s">
        <v>16</v>
      </c>
      <c r="M150" s="5">
        <f t="shared" si="4"/>
        <v>6.219959795</v>
      </c>
    </row>
    <row r="151">
      <c r="A151" s="7" t="s">
        <v>188</v>
      </c>
      <c r="B151" s="1">
        <v>57.0</v>
      </c>
      <c r="C151" s="8">
        <f t="shared" si="5"/>
        <v>9.164046373</v>
      </c>
      <c r="D151" s="1" t="s">
        <v>158</v>
      </c>
      <c r="E151" s="3" t="str">
        <f>IFERROR(__xludf.DUMMYFUNCTION("IFERROR(INDEX(IMPORTRANGE(""docs.google.com/spreadsheets/d/1Dz5m9yCjvG51SgZ1o2KfJUBBR9Y0WOI97noTgdya4Zs/edit#gid=709845608"", ""Game!$A$2:$P""), MATCH(A151,IMPORTRANGE(""docs.google.com/spreadsheets/d/1Dz5m9yCjvG51SgZ1o2KfJUBBR9Y0WOI97noTgdya4Zs/edit#gid="&amp;"709845608"", ""Game!$A$2:$A""),0),16),""Not Started"")"),"Not Started")</f>
        <v>Not Started</v>
      </c>
      <c r="F151" s="4" t="s">
        <v>20</v>
      </c>
      <c r="G151" s="12">
        <v>43089.0</v>
      </c>
      <c r="H151" s="17">
        <v>9.19</v>
      </c>
      <c r="I151" s="5">
        <f t="shared" si="2"/>
        <v>0.1612280702</v>
      </c>
      <c r="J151" s="6">
        <f t="shared" si="3"/>
        <v>43089</v>
      </c>
      <c r="K151" s="4">
        <v>38.0</v>
      </c>
      <c r="L151" s="4" t="s">
        <v>16</v>
      </c>
      <c r="M151" s="5">
        <f t="shared" si="4"/>
        <v>6.219959795</v>
      </c>
    </row>
    <row r="152">
      <c r="A152" s="7" t="s">
        <v>189</v>
      </c>
      <c r="B152" s="1">
        <v>22.0</v>
      </c>
      <c r="C152" s="8">
        <f t="shared" si="5"/>
        <v>3.537000354</v>
      </c>
      <c r="D152" s="1" t="s">
        <v>158</v>
      </c>
      <c r="E152" s="3" t="str">
        <f>IFERROR(__xludf.DUMMYFUNCTION("IFERROR(INDEX(IMPORTRANGE(""docs.google.com/spreadsheets/d/1Dz5m9yCjvG51SgZ1o2KfJUBBR9Y0WOI97noTgdya4Zs/edit#gid=709845608"", ""Game!$A$2:$P""), MATCH(A152,IMPORTRANGE(""docs.google.com/spreadsheets/d/1Dz5m9yCjvG51SgZ1o2KfJUBBR9Y0WOI97noTgdya4Zs/edit#gid="&amp;"709845608"", ""Game!$A$2:$A""),0),16),""Not Started"")"),"Not Started")</f>
        <v>Not Started</v>
      </c>
      <c r="F152" s="4" t="s">
        <v>20</v>
      </c>
      <c r="G152" s="12">
        <v>43089.0</v>
      </c>
      <c r="H152" s="17">
        <v>9.19</v>
      </c>
      <c r="I152" s="5">
        <f t="shared" si="2"/>
        <v>0.4177272727</v>
      </c>
      <c r="J152" s="6">
        <f t="shared" si="3"/>
        <v>43089</v>
      </c>
      <c r="K152" s="4">
        <v>38.0</v>
      </c>
      <c r="L152" s="4" t="s">
        <v>16</v>
      </c>
      <c r="M152" s="5">
        <f t="shared" si="4"/>
        <v>6.219959795</v>
      </c>
    </row>
    <row r="153">
      <c r="A153" s="7" t="s">
        <v>190</v>
      </c>
      <c r="B153" s="1">
        <v>46.0</v>
      </c>
      <c r="C153" s="8">
        <f t="shared" si="5"/>
        <v>7.395546195</v>
      </c>
      <c r="D153" s="1" t="s">
        <v>158</v>
      </c>
      <c r="E153" s="3" t="str">
        <f>IFERROR(__xludf.DUMMYFUNCTION("IFERROR(INDEX(IMPORTRANGE(""docs.google.com/spreadsheets/d/1Dz5m9yCjvG51SgZ1o2KfJUBBR9Y0WOI97noTgdya4Zs/edit#gid=709845608"", ""Game!$A$2:$P""), MATCH(A153,IMPORTRANGE(""docs.google.com/spreadsheets/d/1Dz5m9yCjvG51SgZ1o2KfJUBBR9Y0WOI97noTgdya4Zs/edit#gid="&amp;"709845608"", ""Game!$A$2:$A""),0),16),""Not Started"")"),"Not Started")</f>
        <v>Not Started</v>
      </c>
      <c r="F153" s="4" t="s">
        <v>20</v>
      </c>
      <c r="G153" s="12">
        <v>43089.0</v>
      </c>
      <c r="H153" s="17">
        <v>9.19</v>
      </c>
      <c r="I153" s="5">
        <f t="shared" si="2"/>
        <v>0.1997826087</v>
      </c>
      <c r="J153" s="6">
        <f t="shared" si="3"/>
        <v>43089</v>
      </c>
      <c r="K153" s="4">
        <v>38.0</v>
      </c>
      <c r="L153" s="4" t="s">
        <v>16</v>
      </c>
      <c r="M153" s="5">
        <f t="shared" si="4"/>
        <v>6.219959795</v>
      </c>
    </row>
    <row r="154">
      <c r="A154" s="7" t="s">
        <v>191</v>
      </c>
      <c r="B154" s="1">
        <v>22.0</v>
      </c>
      <c r="C154" s="8">
        <f t="shared" si="5"/>
        <v>3.537000354</v>
      </c>
      <c r="D154" s="1" t="s">
        <v>27</v>
      </c>
      <c r="E154" s="3" t="str">
        <f>IFERROR(__xludf.DUMMYFUNCTION("IFERROR(INDEX(IMPORTRANGE(""docs.google.com/spreadsheets/d/1Dz5m9yCjvG51SgZ1o2KfJUBBR9Y0WOI97noTgdya4Zs/edit#gid=709845608"", ""Game!$A$2:$P""), MATCH(A154,IMPORTRANGE(""docs.google.com/spreadsheets/d/1Dz5m9yCjvG51SgZ1o2KfJUBBR9Y0WOI97noTgdya4Zs/edit#gid="&amp;"709845608"", ""Game!$A$2:$A""),0),16),""Not Started"")"),"Not Started")</f>
        <v>Not Started</v>
      </c>
      <c r="F154" s="4" t="s">
        <v>20</v>
      </c>
      <c r="G154" s="9">
        <v>43103.0</v>
      </c>
      <c r="H154" s="4">
        <v>3.74</v>
      </c>
      <c r="I154" s="5">
        <f t="shared" si="2"/>
        <v>0.17</v>
      </c>
      <c r="J154" s="6">
        <f t="shared" si="3"/>
        <v>43103</v>
      </c>
      <c r="K154" s="4">
        <v>84.0</v>
      </c>
      <c r="L154" s="4" t="s">
        <v>16</v>
      </c>
      <c r="M154" s="5">
        <f t="shared" si="4"/>
        <v>6.219959795</v>
      </c>
    </row>
    <row r="155">
      <c r="A155" s="7" t="s">
        <v>192</v>
      </c>
      <c r="B155" s="1">
        <v>17.5</v>
      </c>
      <c r="C155" s="8">
        <f t="shared" si="5"/>
        <v>2.813523009</v>
      </c>
      <c r="D155" s="1" t="s">
        <v>49</v>
      </c>
      <c r="E155" s="3" t="s">
        <v>19</v>
      </c>
      <c r="F155" s="4" t="s">
        <v>20</v>
      </c>
      <c r="G155" s="9">
        <v>43103.0</v>
      </c>
      <c r="H155" s="4">
        <v>9.99</v>
      </c>
      <c r="I155" s="5">
        <f t="shared" si="2"/>
        <v>0.5708571429</v>
      </c>
      <c r="J155" s="6">
        <f t="shared" si="3"/>
        <v>43103</v>
      </c>
      <c r="K155" s="4">
        <v>84.0</v>
      </c>
      <c r="L155" s="4" t="s">
        <v>16</v>
      </c>
      <c r="M155" s="5">
        <f t="shared" si="4"/>
        <v>6.219959795</v>
      </c>
    </row>
    <row r="156">
      <c r="A156" s="7" t="s">
        <v>193</v>
      </c>
      <c r="B156" s="1">
        <v>62.0</v>
      </c>
      <c r="C156" s="8">
        <f t="shared" si="5"/>
        <v>9.967910089</v>
      </c>
      <c r="D156" s="1" t="s">
        <v>194</v>
      </c>
      <c r="E156" s="3" t="s">
        <v>19</v>
      </c>
      <c r="F156" s="4" t="s">
        <v>20</v>
      </c>
      <c r="G156" s="9">
        <v>43103.0</v>
      </c>
      <c r="H156" s="4">
        <v>6.49</v>
      </c>
      <c r="I156" s="5">
        <f t="shared" si="2"/>
        <v>0.1046774194</v>
      </c>
      <c r="J156" s="6">
        <f t="shared" si="3"/>
        <v>43103</v>
      </c>
      <c r="K156" s="4">
        <v>84.0</v>
      </c>
      <c r="L156" s="4" t="s">
        <v>16</v>
      </c>
      <c r="M156" s="5">
        <f t="shared" si="4"/>
        <v>6.219959795</v>
      </c>
    </row>
    <row r="157">
      <c r="A157" s="7" t="s">
        <v>195</v>
      </c>
      <c r="B157" s="1">
        <v>32.0</v>
      </c>
      <c r="C157" s="8">
        <f t="shared" si="5"/>
        <v>5.144727788</v>
      </c>
      <c r="D157" s="1" t="s">
        <v>27</v>
      </c>
      <c r="E157" s="3" t="s">
        <v>19</v>
      </c>
      <c r="F157" s="4" t="s">
        <v>20</v>
      </c>
      <c r="G157" s="9">
        <v>43103.0</v>
      </c>
      <c r="H157" s="17">
        <v>2.71</v>
      </c>
      <c r="I157" s="5">
        <f t="shared" si="2"/>
        <v>0.0846875</v>
      </c>
      <c r="J157" s="6">
        <f t="shared" si="3"/>
        <v>43103</v>
      </c>
      <c r="K157" s="4">
        <v>84.0</v>
      </c>
      <c r="L157" s="4" t="s">
        <v>16</v>
      </c>
      <c r="M157" s="5">
        <f t="shared" si="4"/>
        <v>6.219959795</v>
      </c>
    </row>
    <row r="158">
      <c r="A158" s="7" t="s">
        <v>196</v>
      </c>
      <c r="B158" s="1">
        <v>52.0</v>
      </c>
      <c r="C158" s="8">
        <f t="shared" si="5"/>
        <v>8.360182656</v>
      </c>
      <c r="D158" s="1" t="s">
        <v>34</v>
      </c>
      <c r="E158" s="3" t="str">
        <f>IFERROR(__xludf.DUMMYFUNCTION("IFERROR(INDEX(IMPORTRANGE(""docs.google.com/spreadsheets/d/1Dz5m9yCjvG51SgZ1o2KfJUBBR9Y0WOI97noTgdya4Zs/edit#gid=709845608"", ""Game!$A$2:$P""), MATCH(A158,IMPORTRANGE(""docs.google.com/spreadsheets/d/1Dz5m9yCjvG51SgZ1o2KfJUBBR9Y0WOI97noTgdya4Zs/edit#gid="&amp;"709845608"", ""Game!$A$2:$A""),0),16),""Not Started"")"),"Not Started")</f>
        <v>Not Started</v>
      </c>
      <c r="F158" s="4" t="s">
        <v>20</v>
      </c>
      <c r="G158" s="9">
        <v>43103.0</v>
      </c>
      <c r="H158" s="4">
        <v>2.54</v>
      </c>
      <c r="I158" s="5">
        <f t="shared" si="2"/>
        <v>0.04884615385</v>
      </c>
      <c r="J158" s="6">
        <f t="shared" si="3"/>
        <v>43103</v>
      </c>
      <c r="K158" s="4">
        <v>84.0</v>
      </c>
      <c r="L158" s="4" t="s">
        <v>16</v>
      </c>
      <c r="M158" s="5">
        <f t="shared" si="4"/>
        <v>6.219959795</v>
      </c>
    </row>
    <row r="159">
      <c r="A159" s="7" t="s">
        <v>197</v>
      </c>
      <c r="B159" s="1">
        <v>17.0</v>
      </c>
      <c r="C159" s="8">
        <f t="shared" si="5"/>
        <v>2.733136637</v>
      </c>
      <c r="D159" s="1" t="s">
        <v>34</v>
      </c>
      <c r="E159" s="3" t="s">
        <v>19</v>
      </c>
      <c r="F159" s="4" t="s">
        <v>20</v>
      </c>
      <c r="G159" s="9">
        <v>43103.0</v>
      </c>
      <c r="H159" s="4">
        <v>2.54</v>
      </c>
      <c r="I159" s="5">
        <f t="shared" si="2"/>
        <v>0.1494117647</v>
      </c>
      <c r="J159" s="6">
        <f t="shared" si="3"/>
        <v>43103</v>
      </c>
      <c r="K159" s="4">
        <v>84.0</v>
      </c>
      <c r="L159" s="4" t="s">
        <v>16</v>
      </c>
      <c r="M159" s="5">
        <f t="shared" si="4"/>
        <v>6.219959795</v>
      </c>
    </row>
    <row r="160">
      <c r="A160" s="7" t="s">
        <v>198</v>
      </c>
      <c r="B160" s="1">
        <v>47.0</v>
      </c>
      <c r="C160" s="8">
        <f t="shared" si="5"/>
        <v>7.556318939</v>
      </c>
      <c r="D160" s="1" t="s">
        <v>34</v>
      </c>
      <c r="E160" s="3" t="str">
        <f>IFERROR(__xludf.DUMMYFUNCTION("IFERROR(INDEX(IMPORTRANGE(""docs.google.com/spreadsheets/d/1Dz5m9yCjvG51SgZ1o2KfJUBBR9Y0WOI97noTgdya4Zs/edit#gid=709845608"", ""Game!$A$2:$P""), MATCH(A160,IMPORTRANGE(""docs.google.com/spreadsheets/d/1Dz5m9yCjvG51SgZ1o2KfJUBBR9Y0WOI97noTgdya4Zs/edit#gid="&amp;"709845608"", ""Game!$A$2:$A""),0),16),""Not Started"")"),"Not Started")</f>
        <v>Not Started</v>
      </c>
      <c r="F160" s="4" t="s">
        <v>15</v>
      </c>
      <c r="G160" s="9">
        <v>43103.0</v>
      </c>
      <c r="H160" s="4">
        <v>2.54</v>
      </c>
      <c r="I160" s="5">
        <f t="shared" si="2"/>
        <v>0.05404255319</v>
      </c>
      <c r="J160" s="6">
        <f t="shared" si="3"/>
        <v>43103</v>
      </c>
      <c r="K160" s="4">
        <v>84.0</v>
      </c>
      <c r="L160" s="4" t="s">
        <v>16</v>
      </c>
      <c r="M160" s="5">
        <f t="shared" si="4"/>
        <v>6.219959795</v>
      </c>
    </row>
    <row r="161">
      <c r="A161" s="7" t="s">
        <v>199</v>
      </c>
      <c r="B161" s="1">
        <v>19.0</v>
      </c>
      <c r="C161" s="8">
        <f t="shared" si="5"/>
        <v>3.054682124</v>
      </c>
      <c r="D161" s="1" t="s">
        <v>34</v>
      </c>
      <c r="E161" s="3" t="s">
        <v>19</v>
      </c>
      <c r="F161" s="4" t="s">
        <v>15</v>
      </c>
      <c r="G161" s="9">
        <v>43103.0</v>
      </c>
      <c r="H161" s="4">
        <v>2.54</v>
      </c>
      <c r="I161" s="5">
        <f t="shared" si="2"/>
        <v>0.1336842105</v>
      </c>
      <c r="J161" s="6">
        <f t="shared" si="3"/>
        <v>43103</v>
      </c>
      <c r="K161" s="4">
        <v>84.0</v>
      </c>
      <c r="L161" s="4" t="s">
        <v>16</v>
      </c>
      <c r="M161" s="5">
        <f t="shared" si="4"/>
        <v>6.219959795</v>
      </c>
    </row>
    <row r="162">
      <c r="A162" s="7" t="s">
        <v>200</v>
      </c>
      <c r="B162" s="1">
        <v>56.0</v>
      </c>
      <c r="C162" s="8">
        <f t="shared" si="5"/>
        <v>9.003273629</v>
      </c>
      <c r="D162" s="1" t="s">
        <v>201</v>
      </c>
      <c r="E162" s="3" t="str">
        <f>IFERROR(__xludf.DUMMYFUNCTION("IFERROR(INDEX(IMPORTRANGE(""docs.google.com/spreadsheets/d/1Dz5m9yCjvG51SgZ1o2KfJUBBR9Y0WOI97noTgdya4Zs/edit#gid=709845608"", ""Game!$A$2:$P""), MATCH(A162,IMPORTRANGE(""docs.google.com/spreadsheets/d/1Dz5m9yCjvG51SgZ1o2KfJUBBR9Y0WOI97noTgdya4Zs/edit#gid="&amp;"709845608"", ""Game!$A$2:$A""),0),16),""Not Started"")"),"Not Started")</f>
        <v>Not Started</v>
      </c>
      <c r="F162" s="4" t="s">
        <v>20</v>
      </c>
      <c r="G162" s="9">
        <v>43150.0</v>
      </c>
      <c r="H162" s="4">
        <v>0.47</v>
      </c>
      <c r="I162" s="5">
        <f t="shared" si="2"/>
        <v>0.008392857143</v>
      </c>
      <c r="J162" s="6">
        <f t="shared" si="3"/>
        <v>43150</v>
      </c>
      <c r="K162" s="4">
        <v>84.0</v>
      </c>
      <c r="L162" s="4" t="s">
        <v>16</v>
      </c>
      <c r="M162" s="5">
        <f t="shared" si="4"/>
        <v>6.219959795</v>
      </c>
    </row>
    <row r="163">
      <c r="A163" s="7" t="s">
        <v>202</v>
      </c>
      <c r="B163" s="1">
        <v>13.0</v>
      </c>
      <c r="C163" s="8">
        <f t="shared" si="5"/>
        <v>2.090045664</v>
      </c>
      <c r="D163" s="1" t="s">
        <v>18</v>
      </c>
      <c r="E163" s="3" t="str">
        <f>IFERROR(__xludf.DUMMYFUNCTION("IFERROR(INDEX(IMPORTRANGE(""docs.google.com/spreadsheets/d/1Dz5m9yCjvG51SgZ1o2KfJUBBR9Y0WOI97noTgdya4Zs/edit#gid=709845608"", ""Game!$A$2:$P""), MATCH(A163,IMPORTRANGE(""docs.google.com/spreadsheets/d/1Dz5m9yCjvG51SgZ1o2KfJUBBR9Y0WOI97noTgdya4Zs/edit#gid="&amp;"709845608"", ""Game!$A$2:$A""),0),16),""Not Started"")"),"Not Started")</f>
        <v>Not Started</v>
      </c>
      <c r="F163" s="4" t="s">
        <v>20</v>
      </c>
      <c r="G163" s="9">
        <v>43150.0</v>
      </c>
      <c r="H163" s="4">
        <v>1.39</v>
      </c>
      <c r="I163" s="5">
        <f t="shared" si="2"/>
        <v>0.1069230769</v>
      </c>
      <c r="J163" s="6">
        <f t="shared" si="3"/>
        <v>43150</v>
      </c>
      <c r="K163" s="4">
        <v>84.0</v>
      </c>
      <c r="L163" s="4" t="s">
        <v>16</v>
      </c>
      <c r="M163" s="5">
        <f t="shared" si="4"/>
        <v>6.219959795</v>
      </c>
    </row>
    <row r="164">
      <c r="A164" s="7" t="s">
        <v>203</v>
      </c>
      <c r="B164" s="1">
        <v>14.0</v>
      </c>
      <c r="C164" s="8">
        <f t="shared" si="5"/>
        <v>2.250818407</v>
      </c>
      <c r="D164" s="1" t="s">
        <v>27</v>
      </c>
      <c r="E164" s="3" t="str">
        <f>IFERROR(__xludf.DUMMYFUNCTION("IFERROR(INDEX(IMPORTRANGE(""docs.google.com/spreadsheets/d/1Dz5m9yCjvG51SgZ1o2KfJUBBR9Y0WOI97noTgdya4Zs/edit#gid=709845608"", ""Game!$A$2:$P""), MATCH(A164,IMPORTRANGE(""docs.google.com/spreadsheets/d/1Dz5m9yCjvG51SgZ1o2KfJUBBR9Y0WOI97noTgdya4Zs/edit#gid="&amp;"709845608"", ""Game!$A$2:$A""),0),16),""Not Started"")"),"Not Started")</f>
        <v>Not Started</v>
      </c>
      <c r="F164" s="4" t="s">
        <v>20</v>
      </c>
      <c r="G164" s="9">
        <v>43150.0</v>
      </c>
      <c r="H164" s="23">
        <v>1.18</v>
      </c>
      <c r="I164" s="5">
        <f t="shared" si="2"/>
        <v>0.08428571429</v>
      </c>
      <c r="J164" s="6">
        <f t="shared" si="3"/>
        <v>43150</v>
      </c>
      <c r="K164" s="4">
        <v>84.0</v>
      </c>
      <c r="L164" s="4" t="s">
        <v>16</v>
      </c>
      <c r="M164" s="5">
        <f t="shared" si="4"/>
        <v>6.219959795</v>
      </c>
    </row>
    <row r="165">
      <c r="A165" s="7" t="s">
        <v>204</v>
      </c>
      <c r="B165" s="1">
        <v>11.0</v>
      </c>
      <c r="C165" s="8">
        <f t="shared" si="5"/>
        <v>1.768500177</v>
      </c>
      <c r="D165" s="1" t="s">
        <v>27</v>
      </c>
      <c r="E165" s="3" t="s">
        <v>19</v>
      </c>
      <c r="F165" s="4" t="s">
        <v>20</v>
      </c>
      <c r="G165" s="9">
        <v>43150.0</v>
      </c>
      <c r="H165" s="4">
        <v>2.49</v>
      </c>
      <c r="I165" s="5">
        <f t="shared" si="2"/>
        <v>0.2263636364</v>
      </c>
      <c r="J165" s="6">
        <f t="shared" si="3"/>
        <v>43150</v>
      </c>
      <c r="K165" s="4">
        <v>84.0</v>
      </c>
      <c r="L165" s="4" t="s">
        <v>16</v>
      </c>
      <c r="M165" s="5">
        <f t="shared" si="4"/>
        <v>6.219959795</v>
      </c>
    </row>
    <row r="166">
      <c r="A166" s="7" t="s">
        <v>205</v>
      </c>
      <c r="B166" s="1">
        <v>23.0</v>
      </c>
      <c r="C166" s="8">
        <f t="shared" si="5"/>
        <v>3.697773098</v>
      </c>
      <c r="D166" s="1" t="s">
        <v>27</v>
      </c>
      <c r="E166" s="3" t="s">
        <v>19</v>
      </c>
      <c r="F166" s="4" t="s">
        <v>20</v>
      </c>
      <c r="G166" s="9">
        <v>43150.0</v>
      </c>
      <c r="H166" s="4">
        <v>2.99</v>
      </c>
      <c r="I166" s="5">
        <f t="shared" si="2"/>
        <v>0.13</v>
      </c>
      <c r="J166" s="6">
        <f t="shared" si="3"/>
        <v>43150</v>
      </c>
      <c r="K166" s="4">
        <v>84.0</v>
      </c>
      <c r="L166" s="4" t="s">
        <v>16</v>
      </c>
      <c r="M166" s="5">
        <f t="shared" si="4"/>
        <v>6.219959795</v>
      </c>
    </row>
    <row r="167">
      <c r="A167" s="7" t="s">
        <v>206</v>
      </c>
      <c r="B167" s="1">
        <v>27.0</v>
      </c>
      <c r="C167" s="8">
        <f t="shared" si="5"/>
        <v>4.340864071</v>
      </c>
      <c r="D167" s="1" t="s">
        <v>27</v>
      </c>
      <c r="E167" s="3" t="s">
        <v>19</v>
      </c>
      <c r="F167" s="4" t="s">
        <v>20</v>
      </c>
      <c r="G167" s="9">
        <v>43150.0</v>
      </c>
      <c r="H167" s="4">
        <v>2.99</v>
      </c>
      <c r="I167" s="5">
        <f t="shared" si="2"/>
        <v>0.1107407407</v>
      </c>
      <c r="J167" s="6">
        <f t="shared" si="3"/>
        <v>43150</v>
      </c>
      <c r="K167" s="4">
        <v>84.0</v>
      </c>
      <c r="L167" s="4" t="s">
        <v>16</v>
      </c>
      <c r="M167" s="5">
        <f t="shared" si="4"/>
        <v>6.219959795</v>
      </c>
    </row>
    <row r="168">
      <c r="A168" s="7" t="s">
        <v>207</v>
      </c>
      <c r="B168" s="1">
        <v>102.0</v>
      </c>
      <c r="C168" s="8">
        <f t="shared" si="5"/>
        <v>16.39881982</v>
      </c>
      <c r="D168" s="1" t="s">
        <v>208</v>
      </c>
      <c r="E168" s="3" t="str">
        <f>IFERROR(__xludf.DUMMYFUNCTION("IFERROR(INDEX(IMPORTRANGE(""docs.google.com/spreadsheets/d/1Dz5m9yCjvG51SgZ1o2KfJUBBR9Y0WOI97noTgdya4Zs/edit#gid=709845608"", ""Game!$A$2:$P""), MATCH(A168,IMPORTRANGE(""docs.google.com/spreadsheets/d/1Dz5m9yCjvG51SgZ1o2KfJUBBR9Y0WOI97noTgdya4Zs/edit#gid="&amp;"709845608"", ""Game!$A$2:$A""),0),16),""Not Started"")"),"Not Started")</f>
        <v>Not Started</v>
      </c>
      <c r="F168" s="4" t="s">
        <v>15</v>
      </c>
      <c r="G168" s="9">
        <v>43150.0</v>
      </c>
      <c r="H168" s="4">
        <v>2.71</v>
      </c>
      <c r="I168" s="5">
        <f t="shared" si="2"/>
        <v>0.02656862745</v>
      </c>
      <c r="J168" s="6">
        <f t="shared" si="3"/>
        <v>43150</v>
      </c>
      <c r="K168" s="4">
        <v>84.0</v>
      </c>
      <c r="L168" s="4" t="s">
        <v>16</v>
      </c>
      <c r="M168" s="5">
        <f t="shared" si="4"/>
        <v>6.219959795</v>
      </c>
    </row>
    <row r="169">
      <c r="A169" s="7" t="s">
        <v>209</v>
      </c>
      <c r="B169" s="1">
        <v>119.0</v>
      </c>
      <c r="C169" s="8">
        <f t="shared" si="5"/>
        <v>19.13195646</v>
      </c>
      <c r="D169" s="1" t="s">
        <v>208</v>
      </c>
      <c r="E169" s="3" t="str">
        <f>IFERROR(__xludf.DUMMYFUNCTION("IFERROR(INDEX(IMPORTRANGE(""docs.google.com/spreadsheets/d/1Dz5m9yCjvG51SgZ1o2KfJUBBR9Y0WOI97noTgdya4Zs/edit#gid=709845608"", ""Game!$A$2:$P""), MATCH(A169,IMPORTRANGE(""docs.google.com/spreadsheets/d/1Dz5m9yCjvG51SgZ1o2KfJUBBR9Y0WOI97noTgdya4Zs/edit#gid="&amp;"709845608"", ""Game!$A$2:$A""),0),16),""Not Started"")"),"Not Started")</f>
        <v>Not Started</v>
      </c>
      <c r="F169" s="4" t="s">
        <v>15</v>
      </c>
      <c r="G169" s="9">
        <v>43150.0</v>
      </c>
      <c r="H169" s="4">
        <v>8.48</v>
      </c>
      <c r="I169" s="5">
        <f t="shared" si="2"/>
        <v>0.0712605042</v>
      </c>
      <c r="J169" s="6">
        <f t="shared" si="3"/>
        <v>43150</v>
      </c>
      <c r="K169" s="4">
        <v>84.0</v>
      </c>
      <c r="L169" s="4" t="s">
        <v>16</v>
      </c>
      <c r="M169" s="5">
        <f t="shared" si="4"/>
        <v>6.219959795</v>
      </c>
    </row>
    <row r="170">
      <c r="A170" s="7" t="s">
        <v>210</v>
      </c>
      <c r="B170" s="1">
        <v>69.0</v>
      </c>
      <c r="C170" s="8">
        <f t="shared" si="5"/>
        <v>11.09331929</v>
      </c>
      <c r="D170" s="1" t="s">
        <v>208</v>
      </c>
      <c r="E170" s="3" t="str">
        <f>IFERROR(__xludf.DUMMYFUNCTION("IFERROR(INDEX(IMPORTRANGE(""docs.google.com/spreadsheets/d/1Dz5m9yCjvG51SgZ1o2KfJUBBR9Y0WOI97noTgdya4Zs/edit#gid=709845608"", ""Game!$A$2:$P""), MATCH(A170,IMPORTRANGE(""docs.google.com/spreadsheets/d/1Dz5m9yCjvG51SgZ1o2KfJUBBR9Y0WOI97noTgdya4Zs/edit#gid="&amp;"709845608"", ""Game!$A$2:$A""),0),16),""Not Started"")"),"Not Started")</f>
        <v>Not Started</v>
      </c>
      <c r="F170" s="4" t="s">
        <v>15</v>
      </c>
      <c r="G170" s="9">
        <v>43150.0</v>
      </c>
      <c r="H170" s="4">
        <v>2.71</v>
      </c>
      <c r="I170" s="5">
        <f t="shared" si="2"/>
        <v>0.03927536232</v>
      </c>
      <c r="J170" s="6">
        <f t="shared" si="3"/>
        <v>43150</v>
      </c>
      <c r="K170" s="4">
        <v>84.0</v>
      </c>
      <c r="L170" s="4" t="s">
        <v>16</v>
      </c>
      <c r="M170" s="5">
        <f t="shared" si="4"/>
        <v>6.219959795</v>
      </c>
    </row>
    <row r="171">
      <c r="A171" s="7" t="s">
        <v>211</v>
      </c>
      <c r="B171" s="1">
        <v>22.0</v>
      </c>
      <c r="C171" s="8">
        <f t="shared" si="5"/>
        <v>3.537000354</v>
      </c>
      <c r="D171" s="1" t="s">
        <v>38</v>
      </c>
      <c r="E171" s="3" t="str">
        <f>IFERROR(__xludf.DUMMYFUNCTION("IFERROR(INDEX(IMPORTRANGE(""docs.google.com/spreadsheets/d/1Dz5m9yCjvG51SgZ1o2KfJUBBR9Y0WOI97noTgdya4Zs/edit#gid=709845608"", ""Game!$A$2:$P""), MATCH(A171,IMPORTRANGE(""docs.google.com/spreadsheets/d/1Dz5m9yCjvG51SgZ1o2KfJUBBR9Y0WOI97noTgdya4Zs/edit#gid="&amp;"709845608"", ""Game!$A$2:$A""),0),16),""Not Started"")"),"Not Started")</f>
        <v>Not Started</v>
      </c>
      <c r="F171" s="4" t="s">
        <v>20</v>
      </c>
      <c r="G171" s="9">
        <v>43150.0</v>
      </c>
      <c r="H171" s="4">
        <v>1.74</v>
      </c>
      <c r="I171" s="5">
        <f t="shared" si="2"/>
        <v>0.07909090909</v>
      </c>
      <c r="J171" s="6">
        <f t="shared" si="3"/>
        <v>43150</v>
      </c>
      <c r="K171" s="4">
        <v>84.0</v>
      </c>
      <c r="L171" s="4" t="s">
        <v>16</v>
      </c>
      <c r="M171" s="5">
        <f t="shared" si="4"/>
        <v>6.219959795</v>
      </c>
    </row>
    <row r="172">
      <c r="A172" s="7" t="s">
        <v>212</v>
      </c>
      <c r="B172" s="1">
        <v>14.0</v>
      </c>
      <c r="C172" s="8">
        <f t="shared" si="5"/>
        <v>2.250818407</v>
      </c>
      <c r="D172" s="1" t="s">
        <v>27</v>
      </c>
      <c r="E172" s="3" t="str">
        <f>IFERROR(__xludf.DUMMYFUNCTION("IFERROR(INDEX(IMPORTRANGE(""docs.google.com/spreadsheets/d/1Dz5m9yCjvG51SgZ1o2KfJUBBR9Y0WOI97noTgdya4Zs/edit#gid=709845608"", ""Game!$A$2:$P""), MATCH(A172,IMPORTRANGE(""docs.google.com/spreadsheets/d/1Dz5m9yCjvG51SgZ1o2KfJUBBR9Y0WOI97noTgdya4Zs/edit#gid="&amp;"709845608"", ""Game!$A$2:$A""),0),16),""Not Started"")"),"Not Started")</f>
        <v>Not Started</v>
      </c>
      <c r="F172" s="4" t="s">
        <v>20</v>
      </c>
      <c r="G172" s="9">
        <v>43151.0</v>
      </c>
      <c r="H172" s="23">
        <v>2.71</v>
      </c>
      <c r="I172" s="5">
        <f t="shared" si="2"/>
        <v>0.1935714286</v>
      </c>
      <c r="J172" s="6">
        <f t="shared" si="3"/>
        <v>43151</v>
      </c>
      <c r="K172" s="4">
        <v>84.0</v>
      </c>
      <c r="L172" s="4" t="s">
        <v>16</v>
      </c>
      <c r="M172" s="5">
        <f t="shared" si="4"/>
        <v>6.219959795</v>
      </c>
    </row>
    <row r="173">
      <c r="A173" s="7" t="s">
        <v>213</v>
      </c>
      <c r="B173" s="1">
        <v>12.0</v>
      </c>
      <c r="C173" s="8">
        <f t="shared" si="5"/>
        <v>1.929272921</v>
      </c>
      <c r="D173" s="1" t="s">
        <v>27</v>
      </c>
      <c r="E173" s="3" t="str">
        <f>IFERROR(__xludf.DUMMYFUNCTION("IFERROR(INDEX(IMPORTRANGE(""docs.google.com/spreadsheets/d/1Dz5m9yCjvG51SgZ1o2KfJUBBR9Y0WOI97noTgdya4Zs/edit#gid=709845608"", ""Game!$A$2:$P""), MATCH(A173,IMPORTRANGE(""docs.google.com/spreadsheets/d/1Dz5m9yCjvG51SgZ1o2KfJUBBR9Y0WOI97noTgdya4Zs/edit#gid="&amp;"709845608"", ""Game!$A$2:$A""),0),16),""Not Started"")"),"Not Started")</f>
        <v>Not Started</v>
      </c>
      <c r="F173" s="4" t="s">
        <v>20</v>
      </c>
      <c r="G173" s="9">
        <v>43152.0</v>
      </c>
      <c r="H173" s="23">
        <v>1.18</v>
      </c>
      <c r="I173" s="5">
        <f t="shared" si="2"/>
        <v>0.09833333333</v>
      </c>
      <c r="J173" s="6">
        <f t="shared" si="3"/>
        <v>43152</v>
      </c>
      <c r="K173" s="4">
        <v>84.0</v>
      </c>
      <c r="L173" s="4" t="s">
        <v>16</v>
      </c>
      <c r="M173" s="5">
        <f t="shared" si="4"/>
        <v>6.219959795</v>
      </c>
    </row>
    <row r="174">
      <c r="A174" s="18" t="s">
        <v>214</v>
      </c>
      <c r="B174" s="14">
        <v>51.0</v>
      </c>
      <c r="C174" s="8">
        <f t="shared" si="5"/>
        <v>8.199409912</v>
      </c>
      <c r="D174" s="1" t="s">
        <v>24</v>
      </c>
      <c r="E174" s="3" t="s">
        <v>19</v>
      </c>
      <c r="F174" s="15" t="s">
        <v>20</v>
      </c>
      <c r="G174" s="16">
        <v>43161.0</v>
      </c>
      <c r="H174" s="15">
        <f>3.99+3.89</f>
        <v>7.88</v>
      </c>
      <c r="I174" s="5">
        <f t="shared" si="2"/>
        <v>0.1545098039</v>
      </c>
      <c r="J174" s="6">
        <f t="shared" si="3"/>
        <v>43161</v>
      </c>
      <c r="K174" s="4">
        <v>84.0</v>
      </c>
      <c r="L174" s="4" t="s">
        <v>16</v>
      </c>
      <c r="M174" s="5">
        <f t="shared" si="4"/>
        <v>6.219959795</v>
      </c>
    </row>
    <row r="175">
      <c r="A175" s="7" t="s">
        <v>215</v>
      </c>
      <c r="B175" s="1">
        <v>61.0</v>
      </c>
      <c r="C175" s="8">
        <f t="shared" si="5"/>
        <v>9.807137346</v>
      </c>
      <c r="D175" s="1" t="s">
        <v>194</v>
      </c>
      <c r="E175" s="3" t="s">
        <v>19</v>
      </c>
      <c r="F175" s="4" t="s">
        <v>20</v>
      </c>
      <c r="G175" s="9">
        <v>43161.0</v>
      </c>
      <c r="H175" s="4">
        <v>19.99</v>
      </c>
      <c r="I175" s="5">
        <f t="shared" si="2"/>
        <v>0.327704918</v>
      </c>
      <c r="J175" s="6">
        <f t="shared" si="3"/>
        <v>43161</v>
      </c>
      <c r="K175" s="4">
        <v>84.0</v>
      </c>
      <c r="L175" s="4" t="s">
        <v>16</v>
      </c>
      <c r="M175" s="5">
        <f t="shared" si="4"/>
        <v>6.219959795</v>
      </c>
    </row>
    <row r="176">
      <c r="A176" s="7" t="s">
        <v>216</v>
      </c>
      <c r="B176" s="1">
        <v>6.0</v>
      </c>
      <c r="C176" s="8">
        <f t="shared" si="5"/>
        <v>0.9646364603</v>
      </c>
      <c r="D176" s="1" t="s">
        <v>53</v>
      </c>
      <c r="E176" s="3" t="s">
        <v>19</v>
      </c>
      <c r="F176" s="4" t="s">
        <v>20</v>
      </c>
      <c r="G176" s="9">
        <v>43164.0</v>
      </c>
      <c r="H176" s="4">
        <v>6.73</v>
      </c>
      <c r="I176" s="5">
        <f t="shared" si="2"/>
        <v>1.121666667</v>
      </c>
      <c r="J176" s="6">
        <f t="shared" si="3"/>
        <v>43164</v>
      </c>
      <c r="K176" s="4">
        <v>84.0</v>
      </c>
      <c r="L176" s="4" t="s">
        <v>16</v>
      </c>
      <c r="M176" s="5">
        <f t="shared" si="4"/>
        <v>6.219959795</v>
      </c>
    </row>
    <row r="177">
      <c r="A177" s="7" t="s">
        <v>217</v>
      </c>
      <c r="B177" s="1">
        <v>13.0</v>
      </c>
      <c r="C177" s="8">
        <f t="shared" si="5"/>
        <v>2.090045664</v>
      </c>
      <c r="D177" s="1" t="s">
        <v>67</v>
      </c>
      <c r="E177" s="3" t="s">
        <v>19</v>
      </c>
      <c r="F177" s="4" t="s">
        <v>20</v>
      </c>
      <c r="G177" s="9">
        <v>43213.0</v>
      </c>
      <c r="H177" s="4">
        <v>4.53</v>
      </c>
      <c r="I177" s="5">
        <f t="shared" si="2"/>
        <v>0.3484615385</v>
      </c>
      <c r="J177" s="6">
        <f t="shared" si="3"/>
        <v>43213</v>
      </c>
      <c r="K177" s="4">
        <v>84.0</v>
      </c>
      <c r="L177" s="4" t="s">
        <v>16</v>
      </c>
      <c r="M177" s="5">
        <f t="shared" si="4"/>
        <v>6.219959795</v>
      </c>
    </row>
    <row r="178">
      <c r="A178" s="7" t="s">
        <v>218</v>
      </c>
      <c r="B178" s="1">
        <v>29.0</v>
      </c>
      <c r="C178" s="8">
        <f t="shared" si="5"/>
        <v>4.662409558</v>
      </c>
      <c r="D178" s="1" t="s">
        <v>53</v>
      </c>
      <c r="E178" s="3" t="str">
        <f>IFERROR(__xludf.DUMMYFUNCTION("IFERROR(INDEX(IMPORTRANGE(""docs.google.com/spreadsheets/d/1Dz5m9yCjvG51SgZ1o2KfJUBBR9Y0WOI97noTgdya4Zs/edit#gid=709845608"", ""Game!$A$2:$P""), MATCH(A178,IMPORTRANGE(""docs.google.com/spreadsheets/d/1Dz5m9yCjvG51SgZ1o2KfJUBBR9Y0WOI97noTgdya4Zs/edit#gid="&amp;"709845608"", ""Game!$A$2:$A""),0),16),""UnCompleat"")"),"UnCompleat")</f>
        <v>UnCompleat</v>
      </c>
      <c r="F178" s="4" t="s">
        <v>20</v>
      </c>
      <c r="G178" s="9">
        <v>43213.0</v>
      </c>
      <c r="H178" s="4">
        <v>8.4</v>
      </c>
      <c r="I178" s="5">
        <f t="shared" si="2"/>
        <v>0.2896551724</v>
      </c>
      <c r="J178" s="6">
        <f t="shared" si="3"/>
        <v>43213</v>
      </c>
      <c r="K178" s="4">
        <v>84.0</v>
      </c>
      <c r="L178" s="4" t="s">
        <v>16</v>
      </c>
      <c r="M178" s="5">
        <f t="shared" si="4"/>
        <v>6.219959795</v>
      </c>
    </row>
    <row r="179">
      <c r="A179" s="19" t="s">
        <v>219</v>
      </c>
      <c r="B179" s="1">
        <v>17.0</v>
      </c>
      <c r="C179" s="8">
        <f t="shared" si="5"/>
        <v>2.733136637</v>
      </c>
      <c r="D179" s="1" t="s">
        <v>81</v>
      </c>
      <c r="E179" s="3" t="s">
        <v>19</v>
      </c>
      <c r="F179" s="4" t="s">
        <v>20</v>
      </c>
      <c r="G179" s="9">
        <v>43216.0</v>
      </c>
      <c r="H179" s="4">
        <v>14.99</v>
      </c>
      <c r="I179" s="5">
        <f t="shared" si="2"/>
        <v>0.8817647059</v>
      </c>
      <c r="J179" s="6">
        <f t="shared" si="3"/>
        <v>43216</v>
      </c>
      <c r="K179" s="4">
        <v>84.0</v>
      </c>
      <c r="L179" s="4" t="s">
        <v>16</v>
      </c>
      <c r="M179" s="5">
        <f t="shared" si="4"/>
        <v>6.219959795</v>
      </c>
    </row>
    <row r="180">
      <c r="A180" s="7" t="s">
        <v>220</v>
      </c>
      <c r="B180" s="1">
        <v>20.0</v>
      </c>
      <c r="C180" s="8">
        <f t="shared" si="5"/>
        <v>3.215454868</v>
      </c>
      <c r="D180" s="1" t="s">
        <v>27</v>
      </c>
      <c r="E180" s="3" t="str">
        <f>IFERROR(__xludf.DUMMYFUNCTION("IFERROR(INDEX(IMPORTRANGE(""docs.google.com/spreadsheets/d/1Dz5m9yCjvG51SgZ1o2KfJUBBR9Y0WOI97noTgdya4Zs/edit#gid=709845608"", ""Game!$A$2:$P""), MATCH(A180,IMPORTRANGE(""docs.google.com/spreadsheets/d/1Dz5m9yCjvG51SgZ1o2KfJUBBR9Y0WOI97noTgdya4Zs/edit#gid="&amp;"709845608"", ""Game!$A$2:$A""),0),16),""Not Started"")"),"Not Started")</f>
        <v>Not Started</v>
      </c>
      <c r="F180" s="4" t="s">
        <v>20</v>
      </c>
      <c r="G180" s="9">
        <v>43222.0</v>
      </c>
      <c r="H180" s="4">
        <v>6.11</v>
      </c>
      <c r="I180" s="5">
        <f t="shared" si="2"/>
        <v>0.3055</v>
      </c>
      <c r="J180" s="6">
        <f t="shared" si="3"/>
        <v>43222</v>
      </c>
      <c r="K180" s="4">
        <v>84.0</v>
      </c>
      <c r="L180" s="4" t="s">
        <v>16</v>
      </c>
      <c r="M180" s="5">
        <f t="shared" si="4"/>
        <v>6.219959795</v>
      </c>
    </row>
    <row r="181">
      <c r="A181" s="7" t="s">
        <v>221</v>
      </c>
      <c r="B181" s="1">
        <v>15.0</v>
      </c>
      <c r="C181" s="8">
        <f t="shared" si="5"/>
        <v>2.411591151</v>
      </c>
      <c r="D181" s="1" t="s">
        <v>44</v>
      </c>
      <c r="E181" s="3" t="str">
        <f>IFERROR(__xludf.DUMMYFUNCTION("IFERROR(INDEX(IMPORTRANGE(""docs.google.com/spreadsheets/d/1Dz5m9yCjvG51SgZ1o2KfJUBBR9Y0WOI97noTgdya4Zs/edit#gid=709845608"", ""Game!$A$2:$P""), MATCH(A181,IMPORTRANGE(""docs.google.com/spreadsheets/d/1Dz5m9yCjvG51SgZ1o2KfJUBBR9Y0WOI97noTgdya4Zs/edit#gid="&amp;"709845608"", ""Game!$A$2:$A""),0),16),""UnCompleat"")"),"UnCompleat")</f>
        <v>UnCompleat</v>
      </c>
      <c r="F181" s="4" t="s">
        <v>20</v>
      </c>
      <c r="G181" s="9">
        <v>43248.0</v>
      </c>
      <c r="H181" s="4">
        <v>1.99</v>
      </c>
      <c r="I181" s="5">
        <f t="shared" si="2"/>
        <v>0.1326666667</v>
      </c>
      <c r="J181" s="6">
        <f t="shared" ref="J181:J182" si="6">G182</f>
        <v>43231</v>
      </c>
      <c r="K181" s="4">
        <v>84.0</v>
      </c>
      <c r="L181" s="4" t="s">
        <v>16</v>
      </c>
      <c r="M181" s="5">
        <f t="shared" si="4"/>
        <v>6.219959795</v>
      </c>
    </row>
    <row r="182">
      <c r="A182" s="7" t="s">
        <v>222</v>
      </c>
      <c r="B182" s="1">
        <v>14.0</v>
      </c>
      <c r="C182" s="8">
        <f t="shared" si="5"/>
        <v>2.250818407</v>
      </c>
      <c r="D182" s="1" t="s">
        <v>44</v>
      </c>
      <c r="E182" s="3" t="str">
        <f>IFERROR(__xludf.DUMMYFUNCTION("IFERROR(INDEX(IMPORTRANGE(""docs.google.com/spreadsheets/d/1Dz5m9yCjvG51SgZ1o2KfJUBBR9Y0WOI97noTgdya4Zs/edit#gid=709845608"", ""Game!$A$2:$P""), MATCH(A182,IMPORTRANGE(""docs.google.com/spreadsheets/d/1Dz5m9yCjvG51SgZ1o2KfJUBBR9Y0WOI97noTgdya4Zs/edit#gid="&amp;"709845608"", ""Game!$A$2:$A""),0),16),""Not Started"")"),"Not Started")</f>
        <v>Not Started</v>
      </c>
      <c r="F182" s="4" t="s">
        <v>20</v>
      </c>
      <c r="G182" s="9">
        <v>43231.0</v>
      </c>
      <c r="H182" s="4">
        <v>4.59</v>
      </c>
      <c r="I182" s="5">
        <f t="shared" si="2"/>
        <v>0.3278571429</v>
      </c>
      <c r="J182" s="6">
        <f t="shared" si="6"/>
        <v>43231</v>
      </c>
      <c r="K182" s="4">
        <v>84.0</v>
      </c>
      <c r="L182" s="4" t="s">
        <v>16</v>
      </c>
      <c r="M182" s="5">
        <f t="shared" si="4"/>
        <v>6.219959795</v>
      </c>
    </row>
    <row r="183">
      <c r="A183" s="7" t="s">
        <v>223</v>
      </c>
      <c r="B183" s="1">
        <v>10.0</v>
      </c>
      <c r="C183" s="8">
        <f t="shared" si="5"/>
        <v>1.607727434</v>
      </c>
      <c r="D183" s="1" t="s">
        <v>44</v>
      </c>
      <c r="E183" s="3" t="str">
        <f>IFERROR(__xludf.DUMMYFUNCTION("IFERROR(INDEX(IMPORTRANGE(""docs.google.com/spreadsheets/d/1Dz5m9yCjvG51SgZ1o2KfJUBBR9Y0WOI97noTgdya4Zs/edit#gid=709845608"", ""Game!$A$2:$P""), MATCH(A183,IMPORTRANGE(""docs.google.com/spreadsheets/d/1Dz5m9yCjvG51SgZ1o2KfJUBBR9Y0WOI97noTgdya4Zs/edit#gid="&amp;"709845608"", ""Game!$A$2:$A""),0),16),""Not Started"")"),"Not Started")</f>
        <v>Not Started</v>
      </c>
      <c r="F183" s="4" t="s">
        <v>20</v>
      </c>
      <c r="G183" s="9">
        <v>43231.0</v>
      </c>
      <c r="H183" s="4">
        <v>4.59</v>
      </c>
      <c r="I183" s="5">
        <f t="shared" si="2"/>
        <v>0.459</v>
      </c>
      <c r="J183" s="6">
        <f t="shared" ref="J183:J342" si="7">G183</f>
        <v>43231</v>
      </c>
      <c r="K183" s="4">
        <v>84.0</v>
      </c>
      <c r="L183" s="4" t="s">
        <v>16</v>
      </c>
      <c r="M183" s="5">
        <f t="shared" si="4"/>
        <v>6.219959795</v>
      </c>
    </row>
    <row r="184">
      <c r="A184" s="7" t="s">
        <v>224</v>
      </c>
      <c r="B184" s="1">
        <v>45.0</v>
      </c>
      <c r="C184" s="8">
        <f t="shared" si="5"/>
        <v>7.234773452</v>
      </c>
      <c r="D184" s="1" t="s">
        <v>44</v>
      </c>
      <c r="E184" s="3" t="str">
        <f>IFERROR(__xludf.DUMMYFUNCTION("IFERROR(INDEX(IMPORTRANGE(""docs.google.com/spreadsheets/d/1Dz5m9yCjvG51SgZ1o2KfJUBBR9Y0WOI97noTgdya4Zs/edit#gid=709845608"", ""Game!$A$2:$P""), MATCH(A184,IMPORTRANGE(""docs.google.com/spreadsheets/d/1Dz5m9yCjvG51SgZ1o2KfJUBBR9Y0WOI97noTgdya4Zs/edit#gid="&amp;"709845608"", ""Game!$A$2:$A""),0),16),""Not Started"")"),"Not Started")</f>
        <v>Not Started</v>
      </c>
      <c r="F184" s="4" t="s">
        <v>20</v>
      </c>
      <c r="G184" s="9">
        <v>43231.0</v>
      </c>
      <c r="H184" s="4">
        <v>7.29</v>
      </c>
      <c r="I184" s="5">
        <f t="shared" si="2"/>
        <v>0.162</v>
      </c>
      <c r="J184" s="6">
        <f t="shared" si="7"/>
        <v>43231</v>
      </c>
      <c r="K184" s="4">
        <v>84.0</v>
      </c>
      <c r="L184" s="4" t="s">
        <v>16</v>
      </c>
      <c r="M184" s="5">
        <f t="shared" si="4"/>
        <v>6.219959795</v>
      </c>
    </row>
    <row r="185">
      <c r="A185" s="7" t="s">
        <v>225</v>
      </c>
      <c r="B185" s="1">
        <v>24.0</v>
      </c>
      <c r="C185" s="8">
        <f t="shared" si="5"/>
        <v>3.858545841</v>
      </c>
      <c r="D185" s="1" t="s">
        <v>27</v>
      </c>
      <c r="E185" s="3" t="str">
        <f>IFERROR(__xludf.DUMMYFUNCTION("IFERROR(INDEX(IMPORTRANGE(""docs.google.com/spreadsheets/d/1Dz5m9yCjvG51SgZ1o2KfJUBBR9Y0WOI97noTgdya4Zs/edit#gid=709845608"", ""Game!$A$2:$P""), MATCH(A185,IMPORTRANGE(""docs.google.com/spreadsheets/d/1Dz5m9yCjvG51SgZ1o2KfJUBBR9Y0WOI97noTgdya4Zs/edit#gid="&amp;"709845608"", ""Game!$A$2:$A""),0),16),""Not Started"")"),"Not Started")</f>
        <v>Not Started</v>
      </c>
      <c r="F185" s="4" t="s">
        <v>20</v>
      </c>
      <c r="G185" s="9">
        <v>43231.0</v>
      </c>
      <c r="H185" s="4">
        <v>17.08</v>
      </c>
      <c r="I185" s="5">
        <f t="shared" si="2"/>
        <v>0.7116666667</v>
      </c>
      <c r="J185" s="6">
        <f t="shared" si="7"/>
        <v>43231</v>
      </c>
      <c r="K185" s="4">
        <v>84.0</v>
      </c>
      <c r="L185" s="4" t="s">
        <v>16</v>
      </c>
      <c r="M185" s="5">
        <f t="shared" si="4"/>
        <v>6.219959795</v>
      </c>
    </row>
    <row r="186">
      <c r="A186" s="7" t="s">
        <v>226</v>
      </c>
      <c r="B186" s="1">
        <v>16.0</v>
      </c>
      <c r="C186" s="8">
        <f t="shared" si="5"/>
        <v>2.572363894</v>
      </c>
      <c r="D186" s="1" t="s">
        <v>14</v>
      </c>
      <c r="E186" s="3" t="str">
        <f>IFERROR(__xludf.DUMMYFUNCTION("IFERROR(INDEX(IMPORTRANGE(""docs.google.com/spreadsheets/d/1Dz5m9yCjvG51SgZ1o2KfJUBBR9Y0WOI97noTgdya4Zs/edit#gid=709845608"", ""Game!$A$2:$P""), MATCH(A186,IMPORTRANGE(""docs.google.com/spreadsheets/d/1Dz5m9yCjvG51SgZ1o2KfJUBBR9Y0WOI97noTgdya4Zs/edit#gid="&amp;"709845608"", ""Game!$A$2:$A""),0),16),""Not Started"")"),"Not Started")</f>
        <v>Not Started</v>
      </c>
      <c r="F186" s="4" t="s">
        <v>15</v>
      </c>
      <c r="G186" s="9">
        <v>43231.0</v>
      </c>
      <c r="H186" s="4">
        <v>6.0</v>
      </c>
      <c r="I186" s="5">
        <f t="shared" si="2"/>
        <v>0.375</v>
      </c>
      <c r="J186" s="6">
        <f t="shared" si="7"/>
        <v>43231</v>
      </c>
      <c r="K186" s="4">
        <v>84.0</v>
      </c>
      <c r="L186" s="4" t="s">
        <v>16</v>
      </c>
      <c r="M186" s="5">
        <f t="shared" si="4"/>
        <v>6.219959795</v>
      </c>
    </row>
    <row r="187">
      <c r="A187" s="7" t="s">
        <v>227</v>
      </c>
      <c r="B187" s="1">
        <v>35.0</v>
      </c>
      <c r="C187" s="8">
        <f t="shared" si="5"/>
        <v>5.627046018</v>
      </c>
      <c r="D187" s="1" t="s">
        <v>27</v>
      </c>
      <c r="E187" s="3" t="str">
        <f>IFERROR(__xludf.DUMMYFUNCTION("IFERROR(INDEX(IMPORTRANGE(""docs.google.com/spreadsheets/d/1Dz5m9yCjvG51SgZ1o2KfJUBBR9Y0WOI97noTgdya4Zs/edit#gid=709845608"", ""Game!$A$2:$P""), MATCH(A187,IMPORTRANGE(""docs.google.com/spreadsheets/d/1Dz5m9yCjvG51SgZ1o2KfJUBBR9Y0WOI97noTgdya4Zs/edit#gid="&amp;"709845608"", ""Game!$A$2:$A""),0),16),""UnCompleat"")"),"UnCompleat")</f>
        <v>UnCompleat</v>
      </c>
      <c r="F187" s="4" t="s">
        <v>20</v>
      </c>
      <c r="G187" s="9">
        <v>43234.0</v>
      </c>
      <c r="H187" s="4">
        <v>9.99</v>
      </c>
      <c r="I187" s="5">
        <f t="shared" si="2"/>
        <v>0.2854285714</v>
      </c>
      <c r="J187" s="6">
        <f t="shared" si="7"/>
        <v>43234</v>
      </c>
      <c r="K187" s="4">
        <v>84.0</v>
      </c>
      <c r="L187" s="4" t="s">
        <v>16</v>
      </c>
      <c r="M187" s="5">
        <f t="shared" si="4"/>
        <v>6.219959795</v>
      </c>
    </row>
    <row r="188">
      <c r="A188" s="7" t="s">
        <v>228</v>
      </c>
      <c r="B188" s="1">
        <v>1.0</v>
      </c>
      <c r="C188" s="8">
        <f t="shared" si="5"/>
        <v>0.1607727434</v>
      </c>
      <c r="D188" s="1" t="s">
        <v>229</v>
      </c>
      <c r="E188" s="3" t="str">
        <f>IFERROR(__xludf.DUMMYFUNCTION("IFERROR(INDEX(IMPORTRANGE(""docs.google.com/spreadsheets/d/1Dz5m9yCjvG51SgZ1o2KfJUBBR9Y0WOI97noTgdya4Zs/edit#gid=709845608"", ""Game!$A$2:$P""), MATCH(A188,IMPORTRANGE(""docs.google.com/spreadsheets/d/1Dz5m9yCjvG51SgZ1o2KfJUBBR9Y0WOI97noTgdya4Zs/edit#gid="&amp;"709845608"", ""Game!$A$2:$A""),0),16),""Not Started"")"),"Not Started")</f>
        <v>Not Started</v>
      </c>
      <c r="F188" s="4" t="s">
        <v>15</v>
      </c>
      <c r="G188" s="9">
        <v>43234.0</v>
      </c>
      <c r="H188" s="4">
        <v>0.01</v>
      </c>
      <c r="I188" s="5">
        <f t="shared" si="2"/>
        <v>0.01</v>
      </c>
      <c r="J188" s="6">
        <f t="shared" si="7"/>
        <v>43234</v>
      </c>
      <c r="K188" s="4">
        <v>84.0</v>
      </c>
      <c r="L188" s="4" t="s">
        <v>16</v>
      </c>
      <c r="M188" s="5">
        <f t="shared" si="4"/>
        <v>6.219959795</v>
      </c>
    </row>
    <row r="189">
      <c r="A189" s="7" t="s">
        <v>230</v>
      </c>
      <c r="B189" s="1">
        <v>16.0</v>
      </c>
      <c r="C189" s="8">
        <f t="shared" si="5"/>
        <v>2.572363894</v>
      </c>
      <c r="D189" s="1" t="s">
        <v>81</v>
      </c>
      <c r="E189" s="3" t="s">
        <v>19</v>
      </c>
      <c r="F189" s="4" t="s">
        <v>20</v>
      </c>
      <c r="G189" s="9">
        <v>43238.0</v>
      </c>
      <c r="H189" s="4">
        <v>19.99</v>
      </c>
      <c r="I189" s="5">
        <f t="shared" si="2"/>
        <v>1.249375</v>
      </c>
      <c r="J189" s="6">
        <f t="shared" si="7"/>
        <v>43238</v>
      </c>
      <c r="K189" s="4">
        <v>84.0</v>
      </c>
      <c r="L189" s="4" t="s">
        <v>16</v>
      </c>
      <c r="M189" s="5">
        <f t="shared" si="4"/>
        <v>6.219959795</v>
      </c>
    </row>
    <row r="190">
      <c r="A190" s="7" t="s">
        <v>231</v>
      </c>
      <c r="B190" s="1">
        <v>12.0</v>
      </c>
      <c r="C190" s="8">
        <f t="shared" si="5"/>
        <v>1.929272921</v>
      </c>
      <c r="D190" s="1" t="s">
        <v>232</v>
      </c>
      <c r="E190" s="3" t="s">
        <v>19</v>
      </c>
      <c r="F190" s="4" t="s">
        <v>20</v>
      </c>
      <c r="G190" s="9">
        <v>43248.0</v>
      </c>
      <c r="H190" s="4">
        <v>2.99</v>
      </c>
      <c r="I190" s="5">
        <f t="shared" si="2"/>
        <v>0.2491666667</v>
      </c>
      <c r="J190" s="6">
        <f t="shared" si="7"/>
        <v>43248</v>
      </c>
      <c r="K190" s="4">
        <v>84.0</v>
      </c>
      <c r="L190" s="4" t="s">
        <v>16</v>
      </c>
      <c r="M190" s="5">
        <f t="shared" si="4"/>
        <v>6.219959795</v>
      </c>
    </row>
    <row r="191">
      <c r="A191" s="7" t="s">
        <v>233</v>
      </c>
      <c r="B191" s="1">
        <v>32.5</v>
      </c>
      <c r="C191" s="8">
        <f t="shared" si="5"/>
        <v>5.22511416</v>
      </c>
      <c r="D191" s="1" t="s">
        <v>24</v>
      </c>
      <c r="E191" s="3" t="str">
        <f>IFERROR(__xludf.DUMMYFUNCTION("IFERROR(INDEX(IMPORTRANGE(""docs.google.com/spreadsheets/d/1Dz5m9yCjvG51SgZ1o2KfJUBBR9Y0WOI97noTgdya4Zs/edit#gid=709845608"", ""Game!$A$2:$P""), MATCH(A191,IMPORTRANGE(""docs.google.com/spreadsheets/d/1Dz5m9yCjvG51SgZ1o2KfJUBBR9Y0WOI97noTgdya4Zs/edit#gid="&amp;"709845608"", ""Game!$A$2:$A""),0),16),""UnCompleat"")"),"UnCompleat")</f>
        <v>UnCompleat</v>
      </c>
      <c r="F191" s="4" t="s">
        <v>20</v>
      </c>
      <c r="G191" s="9">
        <v>43256.0</v>
      </c>
      <c r="H191" s="4">
        <v>4.2</v>
      </c>
      <c r="I191" s="5">
        <f t="shared" si="2"/>
        <v>0.1292307692</v>
      </c>
      <c r="J191" s="6">
        <f t="shared" si="7"/>
        <v>43256</v>
      </c>
      <c r="K191" s="4">
        <v>84.0</v>
      </c>
      <c r="L191" s="4" t="s">
        <v>16</v>
      </c>
      <c r="M191" s="5">
        <f t="shared" si="4"/>
        <v>6.219959795</v>
      </c>
    </row>
    <row r="192">
      <c r="A192" s="7" t="s">
        <v>234</v>
      </c>
      <c r="B192" s="1">
        <v>84.0</v>
      </c>
      <c r="C192" s="8">
        <f t="shared" si="5"/>
        <v>13.50491044</v>
      </c>
      <c r="D192" s="1" t="s">
        <v>24</v>
      </c>
      <c r="E192" s="3" t="str">
        <f>IFERROR(__xludf.DUMMYFUNCTION("IFERROR(INDEX(IMPORTRANGE(""docs.google.com/spreadsheets/d/1Dz5m9yCjvG51SgZ1o2KfJUBBR9Y0WOI97noTgdya4Zs/edit#gid=709845608"", ""Game!$A$2:$P""), MATCH(A192,IMPORTRANGE(""docs.google.com/spreadsheets/d/1Dz5m9yCjvG51SgZ1o2KfJUBBR9Y0WOI97noTgdya4Zs/edit#gid="&amp;"709845608"", ""Game!$A$2:$A""),0),16),""Not Started"")"),"Not Started")</f>
        <v>Not Started</v>
      </c>
      <c r="F192" s="4" t="s">
        <v>20</v>
      </c>
      <c r="G192" s="9">
        <v>43256.0</v>
      </c>
      <c r="H192" s="4">
        <v>4.2</v>
      </c>
      <c r="I192" s="5">
        <f t="shared" si="2"/>
        <v>0.05</v>
      </c>
      <c r="J192" s="6">
        <f t="shared" si="7"/>
        <v>43256</v>
      </c>
      <c r="K192" s="4">
        <v>84.0</v>
      </c>
      <c r="L192" s="4" t="s">
        <v>16</v>
      </c>
      <c r="M192" s="5">
        <f t="shared" si="4"/>
        <v>6.219959795</v>
      </c>
    </row>
    <row r="193">
      <c r="A193" s="7" t="s">
        <v>235</v>
      </c>
      <c r="B193" s="1">
        <v>48.0</v>
      </c>
      <c r="C193" s="8">
        <f t="shared" si="5"/>
        <v>7.717091682</v>
      </c>
      <c r="D193" s="1" t="s">
        <v>24</v>
      </c>
      <c r="E193" s="3" t="str">
        <f>IFERROR(__xludf.DUMMYFUNCTION("IFERROR(INDEX(IMPORTRANGE(""docs.google.com/spreadsheets/d/1Dz5m9yCjvG51SgZ1o2KfJUBBR9Y0WOI97noTgdya4Zs/edit#gid=709845608"", ""Game!$A$2:$P""), MATCH(A193,IMPORTRANGE(""docs.google.com/spreadsheets/d/1Dz5m9yCjvG51SgZ1o2KfJUBBR9Y0WOI97noTgdya4Zs/edit#gid="&amp;"709845608"", ""Game!$A$2:$A""),0),16),""Not Started"")"),"Not Started")</f>
        <v>Not Started</v>
      </c>
      <c r="F193" s="4" t="s">
        <v>20</v>
      </c>
      <c r="G193" s="9">
        <v>43256.0</v>
      </c>
      <c r="H193" s="4">
        <v>4.2</v>
      </c>
      <c r="I193" s="5">
        <f t="shared" si="2"/>
        <v>0.0875</v>
      </c>
      <c r="J193" s="6">
        <f t="shared" si="7"/>
        <v>43256</v>
      </c>
      <c r="K193" s="4">
        <v>84.0</v>
      </c>
      <c r="L193" s="4" t="s">
        <v>16</v>
      </c>
      <c r="M193" s="5">
        <f t="shared" si="4"/>
        <v>6.219959795</v>
      </c>
    </row>
    <row r="194">
      <c r="A194" s="7" t="s">
        <v>236</v>
      </c>
      <c r="B194" s="1">
        <v>62.0</v>
      </c>
      <c r="C194" s="8">
        <f t="shared" si="5"/>
        <v>9.967910089</v>
      </c>
      <c r="D194" s="1" t="s">
        <v>44</v>
      </c>
      <c r="E194" s="3" t="str">
        <f>IFERROR(__xludf.DUMMYFUNCTION("IFERROR(INDEX(IMPORTRANGE(""docs.google.com/spreadsheets/d/1Dz5m9yCjvG51SgZ1o2KfJUBBR9Y0WOI97noTgdya4Zs/edit#gid=709845608"", ""Game!$A$2:$P""), MATCH(A194,IMPORTRANGE(""docs.google.com/spreadsheets/d/1Dz5m9yCjvG51SgZ1o2KfJUBBR9Y0WOI97noTgdya4Zs/edit#gid="&amp;"709845608"", ""Game!$A$2:$A""),0),16),""Not Started"")"),"Not Started")</f>
        <v>Not Started</v>
      </c>
      <c r="F194" s="4" t="s">
        <v>20</v>
      </c>
      <c r="G194" s="9">
        <v>43256.0</v>
      </c>
      <c r="H194" s="4">
        <v>14.02</v>
      </c>
      <c r="I194" s="5">
        <f t="shared" si="2"/>
        <v>0.2261290323</v>
      </c>
      <c r="J194" s="6">
        <f t="shared" si="7"/>
        <v>43256</v>
      </c>
      <c r="K194" s="4">
        <v>84.0</v>
      </c>
      <c r="L194" s="4" t="s">
        <v>16</v>
      </c>
      <c r="M194" s="5">
        <f t="shared" si="4"/>
        <v>6.219959795</v>
      </c>
    </row>
    <row r="195">
      <c r="A195" s="7" t="s">
        <v>237</v>
      </c>
      <c r="B195" s="1">
        <v>109.0</v>
      </c>
      <c r="C195" s="8">
        <f t="shared" si="5"/>
        <v>17.52422903</v>
      </c>
      <c r="D195" s="1" t="s">
        <v>201</v>
      </c>
      <c r="E195" s="3" t="s">
        <v>19</v>
      </c>
      <c r="F195" s="4" t="s">
        <v>20</v>
      </c>
      <c r="G195" s="9">
        <v>43256.0</v>
      </c>
      <c r="H195" s="4">
        <v>26.24</v>
      </c>
      <c r="I195" s="5">
        <f t="shared" si="2"/>
        <v>0.240733945</v>
      </c>
      <c r="J195" s="6">
        <f t="shared" si="7"/>
        <v>43256</v>
      </c>
      <c r="K195" s="4">
        <v>84.0</v>
      </c>
      <c r="L195" s="4" t="s">
        <v>16</v>
      </c>
      <c r="M195" s="5">
        <f t="shared" si="4"/>
        <v>6.219959795</v>
      </c>
    </row>
    <row r="196">
      <c r="A196" s="7" t="s">
        <v>238</v>
      </c>
      <c r="B196" s="1">
        <v>51.0</v>
      </c>
      <c r="C196" s="8">
        <f t="shared" si="5"/>
        <v>8.199409912</v>
      </c>
      <c r="D196" s="1" t="s">
        <v>18</v>
      </c>
      <c r="E196" s="3" t="str">
        <f>IFERROR(__xludf.DUMMYFUNCTION("IFERROR(INDEX(IMPORTRANGE(""docs.google.com/spreadsheets/d/1Dz5m9yCjvG51SgZ1o2KfJUBBR9Y0WOI97noTgdya4Zs/edit#gid=709845608"", ""Game!$A$2:$P""), MATCH(A196,IMPORTRANGE(""docs.google.com/spreadsheets/d/1Dz5m9yCjvG51SgZ1o2KfJUBBR9Y0WOI97noTgdya4Zs/edit#gid="&amp;"709845608"", ""Game!$A$2:$A""),0),16),""UnCompleat"")"),"UnCompleat")</f>
        <v>UnCompleat</v>
      </c>
      <c r="F196" s="4" t="s">
        <v>20</v>
      </c>
      <c r="G196" s="9">
        <v>43274.0</v>
      </c>
      <c r="H196" s="17">
        <v>2.49</v>
      </c>
      <c r="I196" s="5">
        <f t="shared" si="2"/>
        <v>0.04882352941</v>
      </c>
      <c r="J196" s="6">
        <f t="shared" si="7"/>
        <v>43274</v>
      </c>
      <c r="K196" s="4">
        <v>84.0</v>
      </c>
      <c r="L196" s="4" t="s">
        <v>16</v>
      </c>
      <c r="M196" s="5">
        <f t="shared" si="4"/>
        <v>6.219959795</v>
      </c>
    </row>
    <row r="197">
      <c r="A197" s="7" t="s">
        <v>239</v>
      </c>
      <c r="B197" s="1">
        <v>36.0</v>
      </c>
      <c r="C197" s="8">
        <f t="shared" si="5"/>
        <v>5.787818762</v>
      </c>
      <c r="D197" s="1" t="s">
        <v>18</v>
      </c>
      <c r="E197" s="3" t="s">
        <v>19</v>
      </c>
      <c r="F197" s="4" t="s">
        <v>20</v>
      </c>
      <c r="G197" s="9">
        <v>43274.0</v>
      </c>
      <c r="H197" s="17">
        <v>3.74</v>
      </c>
      <c r="I197" s="5">
        <f t="shared" si="2"/>
        <v>0.1038888889</v>
      </c>
      <c r="J197" s="6">
        <f t="shared" si="7"/>
        <v>43274</v>
      </c>
      <c r="K197" s="4">
        <v>84.0</v>
      </c>
      <c r="L197" s="4" t="s">
        <v>16</v>
      </c>
      <c r="M197" s="5">
        <f t="shared" si="4"/>
        <v>6.219959795</v>
      </c>
    </row>
    <row r="198">
      <c r="A198" s="7" t="s">
        <v>240</v>
      </c>
      <c r="B198" s="1">
        <v>20.0</v>
      </c>
      <c r="C198" s="8">
        <f t="shared" si="5"/>
        <v>3.215454868</v>
      </c>
      <c r="D198" s="1" t="s">
        <v>18</v>
      </c>
      <c r="E198" s="3" t="str">
        <f>IFERROR(__xludf.DUMMYFUNCTION("IFERROR(INDEX(IMPORTRANGE(""docs.google.com/spreadsheets/d/1Dz5m9yCjvG51SgZ1o2KfJUBBR9Y0WOI97noTgdya4Zs/edit#gid=709845608"", ""Game!$A$2:$P""), MATCH(A198,IMPORTRANGE(""docs.google.com/spreadsheets/d/1Dz5m9yCjvG51SgZ1o2KfJUBBR9Y0WOI97noTgdya4Zs/edit#gid="&amp;"709845608"", ""Game!$A$2:$A""),0),16),""Not Started"")"),"Not Started")</f>
        <v>Not Started</v>
      </c>
      <c r="F198" s="4" t="s">
        <v>20</v>
      </c>
      <c r="G198" s="9">
        <v>43274.0</v>
      </c>
      <c r="H198" s="17">
        <v>2.74</v>
      </c>
      <c r="I198" s="5">
        <f t="shared" si="2"/>
        <v>0.137</v>
      </c>
      <c r="J198" s="6">
        <f t="shared" si="7"/>
        <v>43274</v>
      </c>
      <c r="K198" s="4">
        <v>84.0</v>
      </c>
      <c r="L198" s="4" t="s">
        <v>16</v>
      </c>
      <c r="M198" s="5">
        <f t="shared" si="4"/>
        <v>6.219959795</v>
      </c>
    </row>
    <row r="199">
      <c r="A199" s="7" t="s">
        <v>241</v>
      </c>
      <c r="B199" s="1">
        <v>44.0</v>
      </c>
      <c r="C199" s="8">
        <f t="shared" si="5"/>
        <v>7.074000709</v>
      </c>
      <c r="D199" s="1" t="s">
        <v>18</v>
      </c>
      <c r="E199" s="3" t="s">
        <v>19</v>
      </c>
      <c r="F199" s="4" t="s">
        <v>20</v>
      </c>
      <c r="G199" s="9">
        <v>43274.0</v>
      </c>
      <c r="H199" s="4">
        <v>3.48</v>
      </c>
      <c r="I199" s="5">
        <f t="shared" si="2"/>
        <v>0.07909090909</v>
      </c>
      <c r="J199" s="6">
        <f t="shared" si="7"/>
        <v>43274</v>
      </c>
      <c r="K199" s="4">
        <v>84.0</v>
      </c>
      <c r="L199" s="4" t="s">
        <v>16</v>
      </c>
      <c r="M199" s="5">
        <f t="shared" si="4"/>
        <v>6.219959795</v>
      </c>
    </row>
    <row r="200">
      <c r="A200" s="7" t="s">
        <v>242</v>
      </c>
      <c r="B200" s="1">
        <v>82.0</v>
      </c>
      <c r="C200" s="8">
        <f t="shared" si="5"/>
        <v>13.18336496</v>
      </c>
      <c r="D200" s="1" t="s">
        <v>194</v>
      </c>
      <c r="E200" s="3" t="str">
        <f>IFERROR(__xludf.DUMMYFUNCTION("IFERROR(INDEX(IMPORTRANGE(""docs.google.com/spreadsheets/d/1Dz5m9yCjvG51SgZ1o2KfJUBBR9Y0WOI97noTgdya4Zs/edit#gid=709845608"", ""Game!$A$2:$P""), MATCH(A200,IMPORTRANGE(""docs.google.com/spreadsheets/d/1Dz5m9yCjvG51SgZ1o2KfJUBBR9Y0WOI97noTgdya4Zs/edit#gid="&amp;"709845608"", ""Game!$A$2:$A""),0),16),""UnCompleat"")"),"UnCompleat")</f>
        <v>UnCompleat</v>
      </c>
      <c r="F200" s="4" t="s">
        <v>20</v>
      </c>
      <c r="G200" s="9">
        <v>43286.0</v>
      </c>
      <c r="H200" s="4">
        <v>8.49</v>
      </c>
      <c r="I200" s="5">
        <f t="shared" si="2"/>
        <v>0.1035365854</v>
      </c>
      <c r="J200" s="6">
        <f t="shared" si="7"/>
        <v>43286</v>
      </c>
      <c r="K200" s="4">
        <v>84.0</v>
      </c>
      <c r="L200" s="4" t="s">
        <v>16</v>
      </c>
      <c r="M200" s="5">
        <f t="shared" si="4"/>
        <v>6.219959795</v>
      </c>
    </row>
    <row r="201">
      <c r="A201" s="7" t="s">
        <v>243</v>
      </c>
      <c r="B201" s="1">
        <v>31.5</v>
      </c>
      <c r="C201" s="8">
        <f t="shared" si="5"/>
        <v>5.064341416</v>
      </c>
      <c r="D201" s="1" t="s">
        <v>194</v>
      </c>
      <c r="E201" s="3" t="str">
        <f>IFERROR(__xludf.DUMMYFUNCTION("IFERROR(INDEX(IMPORTRANGE(""docs.google.com/spreadsheets/d/1Dz5m9yCjvG51SgZ1o2KfJUBBR9Y0WOI97noTgdya4Zs/edit#gid=709845608"", ""Game!$A$2:$P""), MATCH(A201,IMPORTRANGE(""docs.google.com/spreadsheets/d/1Dz5m9yCjvG51SgZ1o2KfJUBBR9Y0WOI97noTgdya4Zs/edit#gid="&amp;"709845608"", ""Game!$A$2:$A""),0),16),""Not Started"")"),"Not Started")</f>
        <v>Not Started</v>
      </c>
      <c r="F201" s="4" t="s">
        <v>20</v>
      </c>
      <c r="G201" s="9">
        <v>43286.0</v>
      </c>
      <c r="H201" s="4">
        <v>8.49</v>
      </c>
      <c r="I201" s="5">
        <f t="shared" si="2"/>
        <v>0.2695238095</v>
      </c>
      <c r="J201" s="6">
        <f t="shared" si="7"/>
        <v>43286</v>
      </c>
      <c r="K201" s="4">
        <v>84.0</v>
      </c>
      <c r="L201" s="4" t="s">
        <v>16</v>
      </c>
      <c r="M201" s="5">
        <f t="shared" si="4"/>
        <v>6.219959795</v>
      </c>
    </row>
    <row r="202">
      <c r="A202" s="7" t="s">
        <v>244</v>
      </c>
      <c r="B202" s="1">
        <v>93.0</v>
      </c>
      <c r="C202" s="8">
        <f t="shared" si="5"/>
        <v>14.95186513</v>
      </c>
      <c r="D202" s="1" t="s">
        <v>194</v>
      </c>
      <c r="E202" s="3" t="str">
        <f>IFERROR(__xludf.DUMMYFUNCTION("IFERROR(INDEX(IMPORTRANGE(""docs.google.com/spreadsheets/d/1Dz5m9yCjvG51SgZ1o2KfJUBBR9Y0WOI97noTgdya4Zs/edit#gid=709845608"", ""Game!$A$2:$P""), MATCH(A202,IMPORTRANGE(""docs.google.com/spreadsheets/d/1Dz5m9yCjvG51SgZ1o2KfJUBBR9Y0WOI97noTgdya4Zs/edit#gid="&amp;"709845608"", ""Game!$A$2:$A""),0),16),""Not Started"")"),"Not Started")</f>
        <v>Not Started</v>
      </c>
      <c r="F202" s="4" t="s">
        <v>20</v>
      </c>
      <c r="G202" s="9">
        <v>43286.0</v>
      </c>
      <c r="H202" s="4">
        <v>8.49</v>
      </c>
      <c r="I202" s="5">
        <f t="shared" si="2"/>
        <v>0.09129032258</v>
      </c>
      <c r="J202" s="6">
        <f t="shared" si="7"/>
        <v>43286</v>
      </c>
      <c r="K202" s="4">
        <v>84.0</v>
      </c>
      <c r="L202" s="4" t="s">
        <v>16</v>
      </c>
      <c r="M202" s="5">
        <f t="shared" si="4"/>
        <v>6.219959795</v>
      </c>
    </row>
    <row r="203">
      <c r="A203" s="7" t="s">
        <v>245</v>
      </c>
      <c r="B203" s="1">
        <v>82.0</v>
      </c>
      <c r="C203" s="8">
        <f t="shared" si="5"/>
        <v>13.18336496</v>
      </c>
      <c r="D203" s="1" t="s">
        <v>194</v>
      </c>
      <c r="E203" s="3" t="str">
        <f>IFERROR(__xludf.DUMMYFUNCTION("IFERROR(INDEX(IMPORTRANGE(""docs.google.com/spreadsheets/d/1Dz5m9yCjvG51SgZ1o2KfJUBBR9Y0WOI97noTgdya4Zs/edit#gid=709845608"", ""Game!$A$2:$P""), MATCH(A203,IMPORTRANGE(""docs.google.com/spreadsheets/d/1Dz5m9yCjvG51SgZ1o2KfJUBBR9Y0WOI97noTgdya4Zs/edit#gid="&amp;"709845608"", ""Game!$A$2:$A""),0),16),""Not Started"")"),"Not Started")</f>
        <v>Not Started</v>
      </c>
      <c r="F203" s="4" t="s">
        <v>20</v>
      </c>
      <c r="G203" s="9">
        <v>43289.0</v>
      </c>
      <c r="H203" s="4">
        <v>11.19</v>
      </c>
      <c r="I203" s="5">
        <f t="shared" si="2"/>
        <v>0.1364634146</v>
      </c>
      <c r="J203" s="6">
        <f t="shared" si="7"/>
        <v>43289</v>
      </c>
      <c r="K203" s="4">
        <v>84.0</v>
      </c>
      <c r="L203" s="4" t="s">
        <v>16</v>
      </c>
      <c r="M203" s="5">
        <f t="shared" si="4"/>
        <v>6.219959795</v>
      </c>
    </row>
    <row r="204">
      <c r="A204" s="18" t="s">
        <v>246</v>
      </c>
      <c r="B204" s="14">
        <v>62.0</v>
      </c>
      <c r="C204" s="8">
        <f t="shared" si="5"/>
        <v>9.967910089</v>
      </c>
      <c r="D204" s="1" t="s">
        <v>194</v>
      </c>
      <c r="E204" s="3" t="str">
        <f>IFERROR(__xludf.DUMMYFUNCTION("IFERROR(INDEX(IMPORTRANGE(""docs.google.com/spreadsheets/d/1Dz5m9yCjvG51SgZ1o2KfJUBBR9Y0WOI97noTgdya4Zs/edit#gid=709845608"", ""Game!$A$2:$P""), MATCH(A204,IMPORTRANGE(""docs.google.com/spreadsheets/d/1Dz5m9yCjvG51SgZ1o2KfJUBBR9Y0WOI97noTgdya4Zs/edit#gid="&amp;"709845608"", ""Game!$A$2:$A""),0),16),""Not Started"")"),"Not Started")</f>
        <v>Not Started</v>
      </c>
      <c r="F204" s="4" t="s">
        <v>20</v>
      </c>
      <c r="G204" s="9">
        <v>43289.0</v>
      </c>
      <c r="H204" s="15">
        <v>5.49</v>
      </c>
      <c r="I204" s="5">
        <f t="shared" si="2"/>
        <v>0.0885483871</v>
      </c>
      <c r="J204" s="6">
        <f t="shared" si="7"/>
        <v>43289</v>
      </c>
      <c r="K204" s="4">
        <v>84.0</v>
      </c>
      <c r="L204" s="4" t="s">
        <v>16</v>
      </c>
      <c r="M204" s="5">
        <f t="shared" si="4"/>
        <v>6.219959795</v>
      </c>
    </row>
    <row r="205">
      <c r="A205" s="7" t="s">
        <v>247</v>
      </c>
      <c r="B205" s="1">
        <v>62.0</v>
      </c>
      <c r="C205" s="8">
        <f t="shared" si="5"/>
        <v>9.967910089</v>
      </c>
      <c r="D205" s="1" t="s">
        <v>194</v>
      </c>
      <c r="E205" s="3" t="str">
        <f>IFERROR(__xludf.DUMMYFUNCTION("IFERROR(INDEX(IMPORTRANGE(""docs.google.com/spreadsheets/d/1Dz5m9yCjvG51SgZ1o2KfJUBBR9Y0WOI97noTgdya4Zs/edit#gid=709845608"", ""Game!$A$2:$P""), MATCH(A205,IMPORTRANGE(""docs.google.com/spreadsheets/d/1Dz5m9yCjvG51SgZ1o2KfJUBBR9Y0WOI97noTgdya4Zs/edit#gid="&amp;"709845608"", ""Game!$A$2:$A""),0),16),""Not Started"")"),"Not Started")</f>
        <v>Not Started</v>
      </c>
      <c r="F205" s="4" t="s">
        <v>20</v>
      </c>
      <c r="G205" s="9">
        <v>43289.0</v>
      </c>
      <c r="H205" s="15">
        <v>5.49</v>
      </c>
      <c r="I205" s="5">
        <f t="shared" si="2"/>
        <v>0.0885483871</v>
      </c>
      <c r="J205" s="6">
        <f t="shared" si="7"/>
        <v>43289</v>
      </c>
      <c r="K205" s="4">
        <v>84.0</v>
      </c>
      <c r="L205" s="4" t="s">
        <v>16</v>
      </c>
      <c r="M205" s="5">
        <f t="shared" si="4"/>
        <v>6.219959795</v>
      </c>
    </row>
    <row r="206">
      <c r="A206" s="7" t="s">
        <v>248</v>
      </c>
      <c r="B206" s="1">
        <v>82.0</v>
      </c>
      <c r="C206" s="8">
        <f t="shared" si="5"/>
        <v>13.18336496</v>
      </c>
      <c r="D206" s="1" t="s">
        <v>194</v>
      </c>
      <c r="E206" s="3" t="str">
        <f>IFERROR(__xludf.DUMMYFUNCTION("IFERROR(INDEX(IMPORTRANGE(""docs.google.com/spreadsheets/d/1Dz5m9yCjvG51SgZ1o2KfJUBBR9Y0WOI97noTgdya4Zs/edit#gid=709845608"", ""Game!$A$2:$P""), MATCH(A206,IMPORTRANGE(""docs.google.com/spreadsheets/d/1Dz5m9yCjvG51SgZ1o2KfJUBBR9Y0WOI97noTgdya4Zs/edit#gid="&amp;"709845608"", ""Game!$A$2:$A""),0),16),""Not Started"")"),"Not Started")</f>
        <v>Not Started</v>
      </c>
      <c r="F206" s="4" t="s">
        <v>20</v>
      </c>
      <c r="G206" s="9">
        <v>43289.0</v>
      </c>
      <c r="H206" s="4">
        <v>4.99</v>
      </c>
      <c r="I206" s="5">
        <f t="shared" si="2"/>
        <v>0.06085365854</v>
      </c>
      <c r="J206" s="6">
        <f t="shared" si="7"/>
        <v>43289</v>
      </c>
      <c r="K206" s="4">
        <v>84.0</v>
      </c>
      <c r="L206" s="4" t="s">
        <v>16</v>
      </c>
      <c r="M206" s="5">
        <f t="shared" si="4"/>
        <v>6.219959795</v>
      </c>
    </row>
    <row r="207">
      <c r="A207" s="7" t="s">
        <v>249</v>
      </c>
      <c r="B207" s="1">
        <v>80.0</v>
      </c>
      <c r="C207" s="8">
        <f t="shared" si="5"/>
        <v>12.86181947</v>
      </c>
      <c r="D207" s="1" t="s">
        <v>194</v>
      </c>
      <c r="E207" s="3" t="str">
        <f>IFERROR(__xludf.DUMMYFUNCTION("IFERROR(INDEX(IMPORTRANGE(""docs.google.com/spreadsheets/d/1Dz5m9yCjvG51SgZ1o2KfJUBBR9Y0WOI97noTgdya4Zs/edit#gid=709845608"", ""Game!$A$2:$P""), MATCH(A207,IMPORTRANGE(""docs.google.com/spreadsheets/d/1Dz5m9yCjvG51SgZ1o2KfJUBBR9Y0WOI97noTgdya4Zs/edit#gid="&amp;"709845608"", ""Game!$A$2:$A""),0),16),""Not Started"")"),"Not Started")</f>
        <v>Not Started</v>
      </c>
      <c r="F207" s="4" t="s">
        <v>20</v>
      </c>
      <c r="G207" s="9">
        <v>43289.0</v>
      </c>
      <c r="H207" s="4">
        <v>4.99</v>
      </c>
      <c r="I207" s="5">
        <f t="shared" si="2"/>
        <v>0.062375</v>
      </c>
      <c r="J207" s="6">
        <f t="shared" si="7"/>
        <v>43289</v>
      </c>
      <c r="K207" s="4">
        <v>84.0</v>
      </c>
      <c r="L207" s="4" t="s">
        <v>16</v>
      </c>
      <c r="M207" s="5">
        <f t="shared" si="4"/>
        <v>6.219959795</v>
      </c>
    </row>
    <row r="208">
      <c r="A208" s="7" t="s">
        <v>250</v>
      </c>
      <c r="B208" s="1">
        <v>19.0</v>
      </c>
      <c r="C208" s="8">
        <f t="shared" si="5"/>
        <v>3.054682124</v>
      </c>
      <c r="D208" s="1" t="s">
        <v>109</v>
      </c>
      <c r="E208" s="3" t="s">
        <v>19</v>
      </c>
      <c r="F208" s="4" t="s">
        <v>20</v>
      </c>
      <c r="G208" s="9">
        <v>43339.0</v>
      </c>
      <c r="H208" s="4">
        <v>2.99</v>
      </c>
      <c r="I208" s="5">
        <f t="shared" si="2"/>
        <v>0.1573684211</v>
      </c>
      <c r="J208" s="6">
        <f t="shared" si="7"/>
        <v>43339</v>
      </c>
      <c r="K208" s="4">
        <v>84.0</v>
      </c>
      <c r="L208" s="4" t="s">
        <v>16</v>
      </c>
      <c r="M208" s="5">
        <f t="shared" si="4"/>
        <v>6.219959795</v>
      </c>
    </row>
    <row r="209">
      <c r="A209" s="7" t="s">
        <v>251</v>
      </c>
      <c r="B209" s="1">
        <v>21.0</v>
      </c>
      <c r="C209" s="8">
        <f t="shared" si="5"/>
        <v>3.376227611</v>
      </c>
      <c r="D209" s="1" t="s">
        <v>18</v>
      </c>
      <c r="E209" s="3" t="s">
        <v>19</v>
      </c>
      <c r="F209" s="4" t="s">
        <v>20</v>
      </c>
      <c r="G209" s="9">
        <v>43358.0</v>
      </c>
      <c r="H209" s="4">
        <v>1.24</v>
      </c>
      <c r="I209" s="5">
        <f t="shared" si="2"/>
        <v>0.05904761905</v>
      </c>
      <c r="J209" s="6">
        <f t="shared" si="7"/>
        <v>43358</v>
      </c>
      <c r="K209" s="4">
        <v>84.0</v>
      </c>
      <c r="L209" s="4" t="s">
        <v>16</v>
      </c>
      <c r="M209" s="5">
        <f t="shared" si="4"/>
        <v>6.219959795</v>
      </c>
    </row>
    <row r="210">
      <c r="A210" s="7" t="s">
        <v>252</v>
      </c>
      <c r="B210" s="1">
        <v>18.0</v>
      </c>
      <c r="C210" s="8">
        <f t="shared" si="5"/>
        <v>2.893909381</v>
      </c>
      <c r="D210" s="1" t="s">
        <v>18</v>
      </c>
      <c r="E210" s="3" t="str">
        <f>IFERROR(__xludf.DUMMYFUNCTION("IFERROR(INDEX(IMPORTRANGE(""docs.google.com/spreadsheets/d/1Dz5m9yCjvG51SgZ1o2KfJUBBR9Y0WOI97noTgdya4Zs/edit#gid=709845608"", ""Game!$A$2:$P""), MATCH(A210,IMPORTRANGE(""docs.google.com/spreadsheets/d/1Dz5m9yCjvG51SgZ1o2KfJUBBR9Y0WOI97noTgdya4Zs/edit#gid="&amp;"709845608"", ""Game!$A$2:$A""),0),16),""Not Started"")"),"Not Started")</f>
        <v>Not Started</v>
      </c>
      <c r="F210" s="4" t="s">
        <v>20</v>
      </c>
      <c r="G210" s="9">
        <v>43358.0</v>
      </c>
      <c r="H210" s="4">
        <v>1.24</v>
      </c>
      <c r="I210" s="5">
        <f t="shared" si="2"/>
        <v>0.06888888889</v>
      </c>
      <c r="J210" s="6">
        <f t="shared" si="7"/>
        <v>43358</v>
      </c>
      <c r="K210" s="4">
        <v>84.0</v>
      </c>
      <c r="L210" s="4" t="s">
        <v>16</v>
      </c>
      <c r="M210" s="5">
        <f t="shared" si="4"/>
        <v>6.219959795</v>
      </c>
    </row>
    <row r="211">
      <c r="A211" s="7" t="s">
        <v>253</v>
      </c>
      <c r="B211" s="1">
        <v>19.0</v>
      </c>
      <c r="C211" s="8">
        <f t="shared" si="5"/>
        <v>3.054682124</v>
      </c>
      <c r="D211" s="1" t="s">
        <v>18</v>
      </c>
      <c r="E211" s="3" t="s">
        <v>19</v>
      </c>
      <c r="F211" s="4" t="s">
        <v>20</v>
      </c>
      <c r="G211" s="9">
        <v>43358.0</v>
      </c>
      <c r="H211" s="4">
        <v>1.24</v>
      </c>
      <c r="I211" s="5">
        <f t="shared" si="2"/>
        <v>0.06526315789</v>
      </c>
      <c r="J211" s="6">
        <f t="shared" si="7"/>
        <v>43358</v>
      </c>
      <c r="K211" s="4">
        <v>84.0</v>
      </c>
      <c r="L211" s="4" t="s">
        <v>16</v>
      </c>
      <c r="M211" s="5">
        <f t="shared" si="4"/>
        <v>6.219959795</v>
      </c>
    </row>
    <row r="212">
      <c r="A212" s="7" t="s">
        <v>254</v>
      </c>
      <c r="B212" s="1">
        <v>21.0</v>
      </c>
      <c r="C212" s="8">
        <f t="shared" si="5"/>
        <v>3.376227611</v>
      </c>
      <c r="D212" s="1" t="s">
        <v>18</v>
      </c>
      <c r="E212" s="3" t="s">
        <v>19</v>
      </c>
      <c r="F212" s="4" t="s">
        <v>20</v>
      </c>
      <c r="G212" s="9">
        <v>43358.0</v>
      </c>
      <c r="H212" s="4">
        <v>1.24</v>
      </c>
      <c r="I212" s="5">
        <f t="shared" si="2"/>
        <v>0.05904761905</v>
      </c>
      <c r="J212" s="6">
        <f t="shared" si="7"/>
        <v>43358</v>
      </c>
      <c r="K212" s="4">
        <v>84.0</v>
      </c>
      <c r="L212" s="4" t="s">
        <v>16</v>
      </c>
      <c r="M212" s="5">
        <f t="shared" si="4"/>
        <v>6.219959795</v>
      </c>
    </row>
    <row r="213">
      <c r="A213" s="7" t="s">
        <v>255</v>
      </c>
      <c r="B213" s="1">
        <v>24.0</v>
      </c>
      <c r="C213" s="8">
        <f t="shared" si="5"/>
        <v>3.858545841</v>
      </c>
      <c r="D213" s="1" t="s">
        <v>18</v>
      </c>
      <c r="E213" s="3" t="str">
        <f>IFERROR(__xludf.DUMMYFUNCTION("IFERROR(INDEX(IMPORTRANGE(""docs.google.com/spreadsheets/d/1Dz5m9yCjvG51SgZ1o2KfJUBBR9Y0WOI97noTgdya4Zs/edit#gid=709845608"", ""Game!$A$2:$P""), MATCH(A213,IMPORTRANGE(""docs.google.com/spreadsheets/d/1Dz5m9yCjvG51SgZ1o2KfJUBBR9Y0WOI97noTgdya4Zs/edit#gid="&amp;"709845608"", ""Game!$A$2:$A""),0),16),""Not Started"")"),"Not Started")</f>
        <v>Not Started</v>
      </c>
      <c r="F213" s="4" t="s">
        <v>20</v>
      </c>
      <c r="G213" s="9">
        <v>43358.0</v>
      </c>
      <c r="H213" s="4">
        <v>1.24</v>
      </c>
      <c r="I213" s="5">
        <f t="shared" si="2"/>
        <v>0.05166666667</v>
      </c>
      <c r="J213" s="6">
        <f t="shared" si="7"/>
        <v>43358</v>
      </c>
      <c r="K213" s="4">
        <v>84.0</v>
      </c>
      <c r="L213" s="4" t="s">
        <v>16</v>
      </c>
      <c r="M213" s="5">
        <f t="shared" si="4"/>
        <v>6.219959795</v>
      </c>
    </row>
    <row r="214">
      <c r="A214" s="7" t="s">
        <v>256</v>
      </c>
      <c r="B214" s="1">
        <v>21.0</v>
      </c>
      <c r="C214" s="8">
        <f t="shared" si="5"/>
        <v>3.376227611</v>
      </c>
      <c r="D214" s="1" t="s">
        <v>18</v>
      </c>
      <c r="E214" s="3" t="str">
        <f>IFERROR(__xludf.DUMMYFUNCTION("IFERROR(INDEX(IMPORTRANGE(""docs.google.com/spreadsheets/d/1Dz5m9yCjvG51SgZ1o2KfJUBBR9Y0WOI97noTgdya4Zs/edit#gid=709845608"", ""Game!$A$2:$P""), MATCH(A214,IMPORTRANGE(""docs.google.com/spreadsheets/d/1Dz5m9yCjvG51SgZ1o2KfJUBBR9Y0WOI97noTgdya4Zs/edit#gid="&amp;"709845608"", ""Game!$A$2:$A""),0),16),""Not Started"")"),"Not Started")</f>
        <v>Not Started</v>
      </c>
      <c r="F214" s="4" t="s">
        <v>20</v>
      </c>
      <c r="G214" s="9">
        <v>43358.0</v>
      </c>
      <c r="H214" s="4">
        <v>1.24</v>
      </c>
      <c r="I214" s="5">
        <f t="shared" si="2"/>
        <v>0.05904761905</v>
      </c>
      <c r="J214" s="6">
        <f t="shared" si="7"/>
        <v>43358</v>
      </c>
      <c r="K214" s="4">
        <v>84.0</v>
      </c>
      <c r="L214" s="4" t="s">
        <v>16</v>
      </c>
      <c r="M214" s="5">
        <f t="shared" si="4"/>
        <v>6.219959795</v>
      </c>
    </row>
    <row r="215">
      <c r="A215" s="7" t="s">
        <v>257</v>
      </c>
      <c r="B215" s="1">
        <v>14.0</v>
      </c>
      <c r="C215" s="8">
        <f t="shared" si="5"/>
        <v>2.250818407</v>
      </c>
      <c r="D215" s="1" t="s">
        <v>18</v>
      </c>
      <c r="E215" s="3" t="str">
        <f>IFERROR(__xludf.DUMMYFUNCTION("IFERROR(INDEX(IMPORTRANGE(""docs.google.com/spreadsheets/d/1Dz5m9yCjvG51SgZ1o2KfJUBBR9Y0WOI97noTgdya4Zs/edit#gid=709845608"", ""Game!$A$2:$P""), MATCH(A215,IMPORTRANGE(""docs.google.com/spreadsheets/d/1Dz5m9yCjvG51SgZ1o2KfJUBBR9Y0WOI97noTgdya4Zs/edit#gid="&amp;"709845608"", ""Game!$A$2:$A""),0),16),""Not Started"")"),"Not Started")</f>
        <v>Not Started</v>
      </c>
      <c r="F215" s="4" t="s">
        <v>20</v>
      </c>
      <c r="G215" s="9">
        <v>43358.0</v>
      </c>
      <c r="H215" s="4">
        <v>1.24</v>
      </c>
      <c r="I215" s="5">
        <f t="shared" si="2"/>
        <v>0.08857142857</v>
      </c>
      <c r="J215" s="6">
        <f t="shared" si="7"/>
        <v>43358</v>
      </c>
      <c r="K215" s="4">
        <v>84.0</v>
      </c>
      <c r="L215" s="4" t="s">
        <v>16</v>
      </c>
      <c r="M215" s="5">
        <f t="shared" si="4"/>
        <v>6.219959795</v>
      </c>
    </row>
    <row r="216">
      <c r="A216" s="7" t="s">
        <v>258</v>
      </c>
      <c r="B216" s="1">
        <v>15.0</v>
      </c>
      <c r="C216" s="8">
        <f t="shared" si="5"/>
        <v>2.411591151</v>
      </c>
      <c r="D216" s="1" t="s">
        <v>18</v>
      </c>
      <c r="E216" s="3" t="str">
        <f>IFERROR(__xludf.DUMMYFUNCTION("IFERROR(INDEX(IMPORTRANGE(""docs.google.com/spreadsheets/d/1Dz5m9yCjvG51SgZ1o2KfJUBBR9Y0WOI97noTgdya4Zs/edit#gid=709845608"", ""Game!$A$2:$P""), MATCH(A216,IMPORTRANGE(""docs.google.com/spreadsheets/d/1Dz5m9yCjvG51SgZ1o2KfJUBBR9Y0WOI97noTgdya4Zs/edit#gid="&amp;"709845608"", ""Game!$A$2:$A""),0),16),""Not Started"")"),"Not Started")</f>
        <v>Not Started</v>
      </c>
      <c r="F216" s="4" t="s">
        <v>20</v>
      </c>
      <c r="G216" s="9">
        <v>43358.0</v>
      </c>
      <c r="H216" s="4">
        <v>1.24</v>
      </c>
      <c r="I216" s="5">
        <f t="shared" si="2"/>
        <v>0.08266666667</v>
      </c>
      <c r="J216" s="6">
        <f t="shared" si="7"/>
        <v>43358</v>
      </c>
      <c r="K216" s="4">
        <v>84.0</v>
      </c>
      <c r="L216" s="4" t="s">
        <v>16</v>
      </c>
      <c r="M216" s="5">
        <f t="shared" si="4"/>
        <v>6.219959795</v>
      </c>
    </row>
    <row r="217">
      <c r="A217" s="7" t="s">
        <v>259</v>
      </c>
      <c r="B217" s="1">
        <v>24.0</v>
      </c>
      <c r="C217" s="8">
        <f t="shared" si="5"/>
        <v>3.858545841</v>
      </c>
      <c r="D217" s="1" t="s">
        <v>18</v>
      </c>
      <c r="E217" s="3" t="str">
        <f>IFERROR(__xludf.DUMMYFUNCTION("IFERROR(INDEX(IMPORTRANGE(""docs.google.com/spreadsheets/d/1Dz5m9yCjvG51SgZ1o2KfJUBBR9Y0WOI97noTgdya4Zs/edit#gid=709845608"", ""Game!$A$2:$P""), MATCH(A217,IMPORTRANGE(""docs.google.com/spreadsheets/d/1Dz5m9yCjvG51SgZ1o2KfJUBBR9Y0WOI97noTgdya4Zs/edit#gid="&amp;"709845608"", ""Game!$A$2:$A""),0),16),""Not Started"")"),"Not Started")</f>
        <v>Not Started</v>
      </c>
      <c r="F217" s="4" t="s">
        <v>20</v>
      </c>
      <c r="G217" s="9">
        <v>43358.0</v>
      </c>
      <c r="H217" s="4">
        <v>1.24</v>
      </c>
      <c r="I217" s="5">
        <f t="shared" si="2"/>
        <v>0.05166666667</v>
      </c>
      <c r="J217" s="6">
        <f t="shared" si="7"/>
        <v>43358</v>
      </c>
      <c r="K217" s="4">
        <v>84.0</v>
      </c>
      <c r="L217" s="4" t="s">
        <v>16</v>
      </c>
      <c r="M217" s="5">
        <f t="shared" si="4"/>
        <v>6.219959795</v>
      </c>
    </row>
    <row r="218">
      <c r="A218" s="7" t="s">
        <v>260</v>
      </c>
      <c r="B218" s="1">
        <v>24.0</v>
      </c>
      <c r="C218" s="8">
        <f t="shared" si="5"/>
        <v>3.858545841</v>
      </c>
      <c r="D218" s="1" t="s">
        <v>18</v>
      </c>
      <c r="E218" s="3" t="str">
        <f>IFERROR(__xludf.DUMMYFUNCTION("IFERROR(INDEX(IMPORTRANGE(""docs.google.com/spreadsheets/d/1Dz5m9yCjvG51SgZ1o2KfJUBBR9Y0WOI97noTgdya4Zs/edit#gid=709845608"", ""Game!$A$2:$P""), MATCH(A218,IMPORTRANGE(""docs.google.com/spreadsheets/d/1Dz5m9yCjvG51SgZ1o2KfJUBBR9Y0WOI97noTgdya4Zs/edit#gid="&amp;"709845608"", ""Game!$A$2:$A""),0),16),""Not Started"")"),"Not Started")</f>
        <v>Not Started</v>
      </c>
      <c r="F218" s="4" t="s">
        <v>20</v>
      </c>
      <c r="G218" s="9">
        <v>43358.0</v>
      </c>
      <c r="H218" s="4">
        <v>1.24</v>
      </c>
      <c r="I218" s="5">
        <f t="shared" si="2"/>
        <v>0.05166666667</v>
      </c>
      <c r="J218" s="6">
        <f t="shared" si="7"/>
        <v>43358</v>
      </c>
      <c r="K218" s="4">
        <v>84.0</v>
      </c>
      <c r="L218" s="4" t="s">
        <v>16</v>
      </c>
      <c r="M218" s="5">
        <f t="shared" si="4"/>
        <v>6.219959795</v>
      </c>
    </row>
    <row r="219">
      <c r="A219" s="7" t="s">
        <v>261</v>
      </c>
      <c r="B219" s="1">
        <v>93.0</v>
      </c>
      <c r="C219" s="8">
        <f t="shared" si="5"/>
        <v>14.95186513</v>
      </c>
      <c r="D219" s="1" t="s">
        <v>201</v>
      </c>
      <c r="E219" s="3" t="s">
        <v>19</v>
      </c>
      <c r="F219" s="4" t="s">
        <v>20</v>
      </c>
      <c r="G219" s="9">
        <v>43369.0</v>
      </c>
      <c r="H219" s="4">
        <v>27.34</v>
      </c>
      <c r="I219" s="5">
        <f t="shared" si="2"/>
        <v>0.2939784946</v>
      </c>
      <c r="J219" s="6">
        <f t="shared" si="7"/>
        <v>43369</v>
      </c>
      <c r="K219" s="4">
        <v>84.0</v>
      </c>
      <c r="L219" s="4" t="s">
        <v>16</v>
      </c>
      <c r="M219" s="5">
        <f t="shared" si="4"/>
        <v>6.219959795</v>
      </c>
    </row>
    <row r="220">
      <c r="A220" s="7" t="s">
        <v>262</v>
      </c>
      <c r="B220" s="1">
        <v>113.0</v>
      </c>
      <c r="C220" s="8">
        <f t="shared" si="5"/>
        <v>18.16732</v>
      </c>
      <c r="D220" s="1" t="s">
        <v>24</v>
      </c>
      <c r="E220" s="3" t="str">
        <f>IFERROR(__xludf.DUMMYFUNCTION("IFERROR(INDEX(IMPORTRANGE(""docs.google.com/spreadsheets/d/1Dz5m9yCjvG51SgZ1o2KfJUBBR9Y0WOI97noTgdya4Zs/edit#gid=709845608"", ""Game!$A$2:$P""), MATCH(A220,IMPORTRANGE(""docs.google.com/spreadsheets/d/1Dz5m9yCjvG51SgZ1o2KfJUBBR9Y0WOI97noTgdya4Zs/edit#gid="&amp;"709845608"", ""Game!$A$2:$A""),0),16),""Not Started"")"),"Not Started")</f>
        <v>Not Started</v>
      </c>
      <c r="F220" s="4" t="s">
        <v>20</v>
      </c>
      <c r="G220" s="12">
        <v>43385.0</v>
      </c>
      <c r="H220" s="4">
        <v>12.18</v>
      </c>
      <c r="I220" s="5">
        <f t="shared" si="2"/>
        <v>0.1077876106</v>
      </c>
      <c r="J220" s="6">
        <f t="shared" si="7"/>
        <v>43385</v>
      </c>
      <c r="K220" s="4">
        <v>84.0</v>
      </c>
      <c r="L220" s="4" t="s">
        <v>16</v>
      </c>
      <c r="M220" s="5">
        <f t="shared" si="4"/>
        <v>6.219959795</v>
      </c>
    </row>
    <row r="221">
      <c r="A221" s="7" t="s">
        <v>263</v>
      </c>
      <c r="B221" s="1">
        <v>8.0</v>
      </c>
      <c r="C221" s="8">
        <f t="shared" si="5"/>
        <v>1.286181947</v>
      </c>
      <c r="D221" s="1" t="s">
        <v>158</v>
      </c>
      <c r="E221" s="3" t="s">
        <v>19</v>
      </c>
      <c r="F221" s="4" t="s">
        <v>20</v>
      </c>
      <c r="G221" s="12">
        <v>43402.0</v>
      </c>
      <c r="H221" s="4">
        <v>2.94</v>
      </c>
      <c r="I221" s="5">
        <f t="shared" si="2"/>
        <v>0.3675</v>
      </c>
      <c r="J221" s="6">
        <f t="shared" si="7"/>
        <v>43402</v>
      </c>
      <c r="K221" s="4">
        <v>84.0</v>
      </c>
      <c r="L221" s="4" t="s">
        <v>16</v>
      </c>
      <c r="M221" s="5">
        <f t="shared" si="4"/>
        <v>6.219959795</v>
      </c>
    </row>
    <row r="222">
      <c r="A222" s="19" t="s">
        <v>264</v>
      </c>
      <c r="B222" s="1">
        <v>45.0</v>
      </c>
      <c r="C222" s="8">
        <f t="shared" si="5"/>
        <v>7.234773452</v>
      </c>
      <c r="D222" s="1" t="s">
        <v>24</v>
      </c>
      <c r="E222" s="3" t="str">
        <f>IFERROR(__xludf.DUMMYFUNCTION("IFERROR(INDEX(IMPORTRANGE(""docs.google.com/spreadsheets/d/1Dz5m9yCjvG51SgZ1o2KfJUBBR9Y0WOI97noTgdya4Zs/edit#gid=709845608"", ""Game!$A$2:$P""), MATCH(A222,IMPORTRANGE(""docs.google.com/spreadsheets/d/1Dz5m9yCjvG51SgZ1o2KfJUBBR9Y0WOI97noTgdya4Zs/edit#gid="&amp;"709845608"", ""Game!$A$2:$A""),0),16),""Not Started"")"),"Not Started")</f>
        <v>Not Started</v>
      </c>
      <c r="F222" s="4" t="s">
        <v>20</v>
      </c>
      <c r="G222" s="12">
        <v>43402.0</v>
      </c>
      <c r="H222" s="4">
        <v>2.03</v>
      </c>
      <c r="I222" s="5">
        <f t="shared" si="2"/>
        <v>0.04511111111</v>
      </c>
      <c r="J222" s="6">
        <f t="shared" si="7"/>
        <v>43402</v>
      </c>
      <c r="K222" s="4">
        <v>84.0</v>
      </c>
      <c r="L222" s="4" t="s">
        <v>16</v>
      </c>
      <c r="M222" s="5">
        <f t="shared" si="4"/>
        <v>6.219959795</v>
      </c>
    </row>
    <row r="223">
      <c r="A223" s="7" t="s">
        <v>265</v>
      </c>
      <c r="B223" s="1">
        <v>47.0</v>
      </c>
      <c r="C223" s="8">
        <f t="shared" si="5"/>
        <v>7.556318939</v>
      </c>
      <c r="D223" s="1" t="s">
        <v>24</v>
      </c>
      <c r="E223" s="3" t="str">
        <f>IFERROR(__xludf.DUMMYFUNCTION("IFERROR(INDEX(IMPORTRANGE(""docs.google.com/spreadsheets/d/1Dz5m9yCjvG51SgZ1o2KfJUBBR9Y0WOI97noTgdya4Zs/edit#gid=709845608"", ""Game!$A$2:$P""), MATCH(A223,IMPORTRANGE(""docs.google.com/spreadsheets/d/1Dz5m9yCjvG51SgZ1o2KfJUBBR9Y0WOI97noTgdya4Zs/edit#gid="&amp;"709845608"", ""Game!$A$2:$A""),0),16),""Not Started"")"),"Not Started")</f>
        <v>Not Started</v>
      </c>
      <c r="F223" s="4" t="s">
        <v>20</v>
      </c>
      <c r="G223" s="12">
        <v>43402.0</v>
      </c>
      <c r="H223" s="4">
        <v>3.75</v>
      </c>
      <c r="I223" s="5">
        <f t="shared" si="2"/>
        <v>0.07978723404</v>
      </c>
      <c r="J223" s="6">
        <f t="shared" si="7"/>
        <v>43402</v>
      </c>
      <c r="K223" s="4">
        <v>84.0</v>
      </c>
      <c r="L223" s="4" t="s">
        <v>16</v>
      </c>
      <c r="M223" s="5">
        <f t="shared" si="4"/>
        <v>6.219959795</v>
      </c>
    </row>
    <row r="224">
      <c r="A224" s="7" t="s">
        <v>266</v>
      </c>
      <c r="B224" s="1">
        <v>53.0</v>
      </c>
      <c r="C224" s="8">
        <f t="shared" si="5"/>
        <v>8.520955399</v>
      </c>
      <c r="D224" s="1" t="s">
        <v>24</v>
      </c>
      <c r="E224" s="3" t="str">
        <f>IFERROR(__xludf.DUMMYFUNCTION("IFERROR(INDEX(IMPORTRANGE(""docs.google.com/spreadsheets/d/1Dz5m9yCjvG51SgZ1o2KfJUBBR9Y0WOI97noTgdya4Zs/edit#gid=709845608"", ""Game!$A$2:$P""), MATCH(A224,IMPORTRANGE(""docs.google.com/spreadsheets/d/1Dz5m9yCjvG51SgZ1o2KfJUBBR9Y0WOI97noTgdya4Zs/edit#gid="&amp;"709845608"", ""Game!$A$2:$A""),0),16),""Not Started"")"),"Not Started")</f>
        <v>Not Started</v>
      </c>
      <c r="F224" s="4" t="s">
        <v>20</v>
      </c>
      <c r="G224" s="12">
        <v>43402.0</v>
      </c>
      <c r="H224" s="4">
        <v>5.58</v>
      </c>
      <c r="I224" s="5">
        <f t="shared" si="2"/>
        <v>0.1052830189</v>
      </c>
      <c r="J224" s="6">
        <f t="shared" si="7"/>
        <v>43402</v>
      </c>
      <c r="K224" s="4">
        <v>84.0</v>
      </c>
      <c r="L224" s="4" t="s">
        <v>16</v>
      </c>
      <c r="M224" s="5">
        <f t="shared" si="4"/>
        <v>6.219959795</v>
      </c>
    </row>
    <row r="225">
      <c r="A225" s="20" t="s">
        <v>267</v>
      </c>
      <c r="B225" s="1">
        <v>9.0</v>
      </c>
      <c r="C225" s="8">
        <f t="shared" si="5"/>
        <v>1.44695469</v>
      </c>
      <c r="D225" s="24" t="s">
        <v>109</v>
      </c>
      <c r="E225" s="3" t="s">
        <v>19</v>
      </c>
      <c r="F225" s="4" t="s">
        <v>20</v>
      </c>
      <c r="G225" s="12">
        <v>43404.0</v>
      </c>
      <c r="H225" s="4">
        <v>14.99</v>
      </c>
      <c r="I225" s="5">
        <f t="shared" si="2"/>
        <v>1.665555556</v>
      </c>
      <c r="J225" s="6">
        <f t="shared" si="7"/>
        <v>43404</v>
      </c>
      <c r="K225" s="4">
        <v>84.0</v>
      </c>
      <c r="L225" s="4" t="s">
        <v>16</v>
      </c>
      <c r="M225" s="5">
        <f t="shared" si="4"/>
        <v>6.219959795</v>
      </c>
    </row>
    <row r="226">
      <c r="A226" s="7" t="s">
        <v>268</v>
      </c>
      <c r="B226" s="1">
        <v>20.0</v>
      </c>
      <c r="C226" s="8">
        <f t="shared" si="5"/>
        <v>3.215454868</v>
      </c>
      <c r="D226" s="1" t="s">
        <v>27</v>
      </c>
      <c r="E226" s="3" t="str">
        <f>IFERROR(__xludf.DUMMYFUNCTION("IFERROR(INDEX(IMPORTRANGE(""docs.google.com/spreadsheets/d/1Dz5m9yCjvG51SgZ1o2KfJUBBR9Y0WOI97noTgdya4Zs/edit#gid=709845608"", ""Game!$A$2:$P""), MATCH(A226,IMPORTRANGE(""docs.google.com/spreadsheets/d/1Dz5m9yCjvG51SgZ1o2KfJUBBR9Y0WOI97noTgdya4Zs/edit#gid="&amp;"709845608"", ""Game!$A$2:$A""),0),16),""Not Started"")"),"Not Started")</f>
        <v>Not Started</v>
      </c>
      <c r="F226" s="4" t="s">
        <v>20</v>
      </c>
      <c r="G226" s="12">
        <v>43404.0</v>
      </c>
      <c r="H226" s="4">
        <v>4.69</v>
      </c>
      <c r="I226" s="5">
        <f t="shared" si="2"/>
        <v>0.2345</v>
      </c>
      <c r="J226" s="6">
        <f t="shared" si="7"/>
        <v>43404</v>
      </c>
      <c r="K226" s="4">
        <v>84.0</v>
      </c>
      <c r="L226" s="4" t="s">
        <v>16</v>
      </c>
      <c r="M226" s="5">
        <f t="shared" si="4"/>
        <v>6.219959795</v>
      </c>
    </row>
    <row r="227">
      <c r="A227" s="7" t="s">
        <v>269</v>
      </c>
      <c r="B227" s="1">
        <v>20.0</v>
      </c>
      <c r="C227" s="8">
        <f t="shared" si="5"/>
        <v>3.215454868</v>
      </c>
      <c r="D227" s="1" t="s">
        <v>27</v>
      </c>
      <c r="E227" s="3" t="str">
        <f>IFERROR(__xludf.DUMMYFUNCTION("IFERROR(INDEX(IMPORTRANGE(""docs.google.com/spreadsheets/d/1Dz5m9yCjvG51SgZ1o2KfJUBBR9Y0WOI97noTgdya4Zs/edit#gid=709845608"", ""Game!$A$2:$P""), MATCH(A227,IMPORTRANGE(""docs.google.com/spreadsheets/d/1Dz5m9yCjvG51SgZ1o2KfJUBBR9Y0WOI97noTgdya4Zs/edit#gid="&amp;"709845608"", ""Game!$A$2:$A""),0),16),""Not Started"")"),"Not Started")</f>
        <v>Not Started</v>
      </c>
      <c r="F227" s="4" t="s">
        <v>20</v>
      </c>
      <c r="G227" s="12">
        <v>43404.0</v>
      </c>
      <c r="H227" s="4">
        <v>7.99</v>
      </c>
      <c r="I227" s="5">
        <f t="shared" si="2"/>
        <v>0.3995</v>
      </c>
      <c r="J227" s="6">
        <f t="shared" si="7"/>
        <v>43404</v>
      </c>
      <c r="K227" s="4">
        <v>84.0</v>
      </c>
      <c r="L227" s="4" t="s">
        <v>16</v>
      </c>
      <c r="M227" s="5">
        <f t="shared" si="4"/>
        <v>6.219959795</v>
      </c>
    </row>
    <row r="228">
      <c r="A228" s="7" t="s">
        <v>270</v>
      </c>
      <c r="B228" s="1">
        <v>29.0</v>
      </c>
      <c r="C228" s="8">
        <f t="shared" si="5"/>
        <v>4.662409558</v>
      </c>
      <c r="D228" s="1" t="s">
        <v>18</v>
      </c>
      <c r="E228" s="3" t="str">
        <f>IFERROR(__xludf.DUMMYFUNCTION("IFERROR(INDEX(IMPORTRANGE(""docs.google.com/spreadsheets/d/1Dz5m9yCjvG51SgZ1o2KfJUBBR9Y0WOI97noTgdya4Zs/edit#gid=709845608"", ""Game!$A$2:$P""), MATCH(A228,IMPORTRANGE(""docs.google.com/spreadsheets/d/1Dz5m9yCjvG51SgZ1o2KfJUBBR9Y0WOI97noTgdya4Zs/edit#gid="&amp;"709845608"", ""Game!$A$2:$A""),0),16),""Not Started"")"),"Not Started")</f>
        <v>Not Started</v>
      </c>
      <c r="F228" s="4" t="s">
        <v>20</v>
      </c>
      <c r="G228" s="12">
        <v>43404.0</v>
      </c>
      <c r="H228" s="4">
        <v>19.49</v>
      </c>
      <c r="I228" s="5">
        <f t="shared" si="2"/>
        <v>0.6720689655</v>
      </c>
      <c r="J228" s="6">
        <f t="shared" si="7"/>
        <v>43404</v>
      </c>
      <c r="K228" s="4">
        <v>84.0</v>
      </c>
      <c r="L228" s="4" t="s">
        <v>16</v>
      </c>
      <c r="M228" s="5">
        <f t="shared" si="4"/>
        <v>6.219959795</v>
      </c>
    </row>
    <row r="229">
      <c r="A229" s="7" t="s">
        <v>271</v>
      </c>
      <c r="B229" s="1">
        <v>40.0</v>
      </c>
      <c r="C229" s="8">
        <f t="shared" si="5"/>
        <v>6.430909735</v>
      </c>
      <c r="D229" s="1" t="s">
        <v>24</v>
      </c>
      <c r="E229" s="3" t="s">
        <v>19</v>
      </c>
      <c r="F229" s="4" t="s">
        <v>20</v>
      </c>
      <c r="G229" s="12">
        <v>43404.0</v>
      </c>
      <c r="H229" s="4">
        <v>3.74</v>
      </c>
      <c r="I229" s="5">
        <f t="shared" si="2"/>
        <v>0.0935</v>
      </c>
      <c r="J229" s="6">
        <f t="shared" si="7"/>
        <v>43404</v>
      </c>
      <c r="K229" s="4">
        <v>84.0</v>
      </c>
      <c r="L229" s="4" t="s">
        <v>16</v>
      </c>
      <c r="M229" s="5">
        <f t="shared" si="4"/>
        <v>6.219959795</v>
      </c>
    </row>
    <row r="230">
      <c r="A230" s="7" t="s">
        <v>272</v>
      </c>
      <c r="B230" s="1">
        <v>62.0</v>
      </c>
      <c r="C230" s="8">
        <f t="shared" si="5"/>
        <v>9.967910089</v>
      </c>
      <c r="D230" s="1" t="s">
        <v>201</v>
      </c>
      <c r="E230" s="3" t="s">
        <v>19</v>
      </c>
      <c r="F230" s="4" t="s">
        <v>20</v>
      </c>
      <c r="G230" s="12">
        <v>43416.0</v>
      </c>
      <c r="H230" s="4">
        <v>18.64</v>
      </c>
      <c r="I230" s="5">
        <f t="shared" si="2"/>
        <v>0.3006451613</v>
      </c>
      <c r="J230" s="6">
        <f t="shared" si="7"/>
        <v>43416</v>
      </c>
      <c r="K230" s="4">
        <v>84.0</v>
      </c>
      <c r="L230" s="4" t="s">
        <v>16</v>
      </c>
      <c r="M230" s="5">
        <f t="shared" si="4"/>
        <v>6.219959795</v>
      </c>
    </row>
    <row r="231">
      <c r="A231" s="7" t="s">
        <v>273</v>
      </c>
      <c r="B231" s="1">
        <v>47.0</v>
      </c>
      <c r="C231" s="8">
        <f t="shared" si="5"/>
        <v>7.556318939</v>
      </c>
      <c r="D231" s="1" t="s">
        <v>194</v>
      </c>
      <c r="E231" s="3" t="s">
        <v>19</v>
      </c>
      <c r="F231" s="4" t="s">
        <v>20</v>
      </c>
      <c r="G231" s="12">
        <v>43431.0</v>
      </c>
      <c r="H231" s="4">
        <v>9.99</v>
      </c>
      <c r="I231" s="5">
        <f t="shared" si="2"/>
        <v>0.2125531915</v>
      </c>
      <c r="J231" s="6">
        <f t="shared" si="7"/>
        <v>43431</v>
      </c>
      <c r="K231" s="4">
        <v>84.0</v>
      </c>
      <c r="L231" s="4" t="s">
        <v>16</v>
      </c>
      <c r="M231" s="5">
        <f t="shared" si="4"/>
        <v>6.219959795</v>
      </c>
    </row>
    <row r="232">
      <c r="A232" s="7" t="s">
        <v>274</v>
      </c>
      <c r="B232" s="1">
        <v>76.0</v>
      </c>
      <c r="C232" s="8">
        <f t="shared" si="5"/>
        <v>12.2187285</v>
      </c>
      <c r="D232" s="1" t="s">
        <v>194</v>
      </c>
      <c r="E232" s="3" t="str">
        <f>IFERROR(__xludf.DUMMYFUNCTION("IFERROR(INDEX(IMPORTRANGE(""docs.google.com/spreadsheets/d/1Dz5m9yCjvG51SgZ1o2KfJUBBR9Y0WOI97noTgdya4Zs/edit#gid=709845608"", ""Game!$A$2:$P""), MATCH(A232,IMPORTRANGE(""docs.google.com/spreadsheets/d/1Dz5m9yCjvG51SgZ1o2KfJUBBR9Y0WOI97noTgdya4Zs/edit#gid="&amp;"709845608"", ""Game!$A$2:$A""),0),16),""Not Started"")"),"Not Started")</f>
        <v>Not Started</v>
      </c>
      <c r="F232" s="4" t="s">
        <v>20</v>
      </c>
      <c r="G232" s="12">
        <v>43431.0</v>
      </c>
      <c r="H232" s="4">
        <v>9.99</v>
      </c>
      <c r="I232" s="5">
        <f t="shared" si="2"/>
        <v>0.1314473684</v>
      </c>
      <c r="J232" s="6">
        <f t="shared" si="7"/>
        <v>43431</v>
      </c>
      <c r="K232" s="4">
        <v>84.0</v>
      </c>
      <c r="L232" s="4" t="s">
        <v>16</v>
      </c>
      <c r="M232" s="5">
        <f t="shared" si="4"/>
        <v>6.219959795</v>
      </c>
    </row>
    <row r="233">
      <c r="A233" s="7" t="s">
        <v>275</v>
      </c>
      <c r="B233" s="1">
        <v>104.0</v>
      </c>
      <c r="C233" s="8">
        <f t="shared" si="5"/>
        <v>16.72036531</v>
      </c>
      <c r="D233" s="1" t="s">
        <v>194</v>
      </c>
      <c r="E233" s="3" t="str">
        <f>IFERROR(__xludf.DUMMYFUNCTION("IFERROR(INDEX(IMPORTRANGE(""docs.google.com/spreadsheets/d/1Dz5m9yCjvG51SgZ1o2KfJUBBR9Y0WOI97noTgdya4Zs/edit#gid=709845608"", ""Game!$A$2:$P""), MATCH(A233,IMPORTRANGE(""docs.google.com/spreadsheets/d/1Dz5m9yCjvG51SgZ1o2KfJUBBR9Y0WOI97noTgdya4Zs/edit#gid="&amp;"709845608"", ""Game!$A$2:$A""),0),16),""Not Started"")"),"Not Started")</f>
        <v>Not Started</v>
      </c>
      <c r="F233" s="4" t="s">
        <v>20</v>
      </c>
      <c r="G233" s="12">
        <v>43431.0</v>
      </c>
      <c r="H233" s="4">
        <v>17.49</v>
      </c>
      <c r="I233" s="5">
        <f t="shared" si="2"/>
        <v>0.1681730769</v>
      </c>
      <c r="J233" s="6">
        <f t="shared" si="7"/>
        <v>43431</v>
      </c>
      <c r="K233" s="4">
        <v>84.0</v>
      </c>
      <c r="L233" s="4" t="s">
        <v>16</v>
      </c>
      <c r="M233" s="5">
        <f t="shared" si="4"/>
        <v>6.219959795</v>
      </c>
    </row>
    <row r="234">
      <c r="A234" s="7" t="s">
        <v>276</v>
      </c>
      <c r="B234" s="1">
        <v>105.0</v>
      </c>
      <c r="C234" s="8">
        <f t="shared" si="5"/>
        <v>16.88113805</v>
      </c>
      <c r="D234" s="1" t="s">
        <v>194</v>
      </c>
      <c r="E234" s="3" t="s">
        <v>19</v>
      </c>
      <c r="F234" s="4" t="s">
        <v>20</v>
      </c>
      <c r="G234" s="12">
        <v>43431.0</v>
      </c>
      <c r="H234" s="4">
        <v>5.49</v>
      </c>
      <c r="I234" s="5">
        <f t="shared" si="2"/>
        <v>0.05228571429</v>
      </c>
      <c r="J234" s="6">
        <f t="shared" si="7"/>
        <v>43431</v>
      </c>
      <c r="K234" s="4">
        <v>84.0</v>
      </c>
      <c r="L234" s="4" t="s">
        <v>16</v>
      </c>
      <c r="M234" s="5">
        <f t="shared" si="4"/>
        <v>6.219959795</v>
      </c>
    </row>
    <row r="235">
      <c r="A235" s="7" t="s">
        <v>277</v>
      </c>
      <c r="B235" s="1">
        <v>71.0</v>
      </c>
      <c r="C235" s="8">
        <f t="shared" si="5"/>
        <v>11.41486478</v>
      </c>
      <c r="D235" s="1" t="s">
        <v>194</v>
      </c>
      <c r="E235" s="3" t="s">
        <v>19</v>
      </c>
      <c r="F235" s="4" t="s">
        <v>20</v>
      </c>
      <c r="G235" s="12">
        <v>43431.0</v>
      </c>
      <c r="H235" s="4">
        <v>6.49</v>
      </c>
      <c r="I235" s="5">
        <f t="shared" si="2"/>
        <v>0.0914084507</v>
      </c>
      <c r="J235" s="6">
        <f t="shared" si="7"/>
        <v>43431</v>
      </c>
      <c r="K235" s="4">
        <v>84.0</v>
      </c>
      <c r="L235" s="4" t="s">
        <v>16</v>
      </c>
      <c r="M235" s="5">
        <f t="shared" si="4"/>
        <v>6.219959795</v>
      </c>
    </row>
    <row r="236">
      <c r="A236" s="7" t="s">
        <v>278</v>
      </c>
      <c r="B236" s="1">
        <v>117.0</v>
      </c>
      <c r="C236" s="8">
        <f t="shared" si="5"/>
        <v>18.81041098</v>
      </c>
      <c r="D236" s="1" t="s">
        <v>194</v>
      </c>
      <c r="E236" s="3" t="s">
        <v>19</v>
      </c>
      <c r="F236" s="4" t="s">
        <v>20</v>
      </c>
      <c r="G236" s="12">
        <v>43431.0</v>
      </c>
      <c r="H236" s="4">
        <v>19.48</v>
      </c>
      <c r="I236" s="5">
        <f t="shared" si="2"/>
        <v>0.1664957265</v>
      </c>
      <c r="J236" s="6">
        <f t="shared" si="7"/>
        <v>43431</v>
      </c>
      <c r="K236" s="4">
        <v>84.0</v>
      </c>
      <c r="L236" s="4" t="s">
        <v>16</v>
      </c>
      <c r="M236" s="5">
        <f t="shared" si="4"/>
        <v>6.219959795</v>
      </c>
    </row>
    <row r="237">
      <c r="A237" s="7" t="s">
        <v>279</v>
      </c>
      <c r="B237" s="1">
        <v>52.0</v>
      </c>
      <c r="C237" s="8">
        <f t="shared" si="5"/>
        <v>8.360182656</v>
      </c>
      <c r="D237" s="1" t="s">
        <v>132</v>
      </c>
      <c r="E237" s="3" t="s">
        <v>19</v>
      </c>
      <c r="F237" s="4" t="s">
        <v>15</v>
      </c>
      <c r="G237" s="12">
        <v>43431.0</v>
      </c>
      <c r="H237" s="4">
        <v>1.74</v>
      </c>
      <c r="I237" s="5">
        <f t="shared" si="2"/>
        <v>0.03346153846</v>
      </c>
      <c r="J237" s="6">
        <f t="shared" si="7"/>
        <v>43431</v>
      </c>
      <c r="K237" s="4">
        <v>84.0</v>
      </c>
      <c r="L237" s="4" t="s">
        <v>16</v>
      </c>
      <c r="M237" s="5">
        <f t="shared" si="4"/>
        <v>6.219959795</v>
      </c>
    </row>
    <row r="238">
      <c r="A238" s="7" t="s">
        <v>280</v>
      </c>
      <c r="B238" s="1">
        <v>80.0</v>
      </c>
      <c r="C238" s="8">
        <f t="shared" si="5"/>
        <v>12.86181947</v>
      </c>
      <c r="D238" s="1" t="s">
        <v>201</v>
      </c>
      <c r="E238" s="3" t="str">
        <f>IFERROR(__xludf.DUMMYFUNCTION("IFERROR(INDEX(IMPORTRANGE(""docs.google.com/spreadsheets/d/1Dz5m9yCjvG51SgZ1o2KfJUBBR9Y0WOI97noTgdya4Zs/edit#gid=709845608"", ""Game!$A$2:$P""), MATCH(A238,IMPORTRANGE(""docs.google.com/spreadsheets/d/1Dz5m9yCjvG51SgZ1o2KfJUBBR9Y0WOI97noTgdya4Zs/edit#gid="&amp;"709845608"", ""Game!$A$2:$A""),0),16),""Not Started"")"),"Not Started")</f>
        <v>Not Started</v>
      </c>
      <c r="F238" s="4" t="s">
        <v>20</v>
      </c>
      <c r="G238" s="9">
        <v>43468.0</v>
      </c>
      <c r="H238" s="4">
        <v>1.24</v>
      </c>
      <c r="I238" s="5">
        <f t="shared" si="2"/>
        <v>0.0155</v>
      </c>
      <c r="J238" s="6">
        <f t="shared" si="7"/>
        <v>43468</v>
      </c>
      <c r="K238" s="4">
        <v>34.0</v>
      </c>
      <c r="L238" s="4" t="s">
        <v>16</v>
      </c>
      <c r="M238" s="5">
        <f t="shared" si="4"/>
        <v>6.219959795</v>
      </c>
    </row>
    <row r="239">
      <c r="A239" s="7" t="s">
        <v>281</v>
      </c>
      <c r="B239" s="1">
        <v>62.0</v>
      </c>
      <c r="C239" s="8">
        <f t="shared" si="5"/>
        <v>9.967910089</v>
      </c>
      <c r="D239" s="1" t="s">
        <v>96</v>
      </c>
      <c r="E239" s="3" t="str">
        <f>IFERROR(__xludf.DUMMYFUNCTION("IFERROR(INDEX(IMPORTRANGE(""docs.google.com/spreadsheets/d/1Dz5m9yCjvG51SgZ1o2KfJUBBR9Y0WOI97noTgdya4Zs/edit#gid=709845608"", ""Game!$A$2:$P""), MATCH(A239,IMPORTRANGE(""docs.google.com/spreadsheets/d/1Dz5m9yCjvG51SgZ1o2KfJUBBR9Y0WOI97noTgdya4Zs/edit#gid="&amp;"709845608"", ""Game!$A$2:$A""),0),16),""UnCompleat"")"),"UnCompleat")</f>
        <v>UnCompleat</v>
      </c>
      <c r="F239" s="4" t="s">
        <v>15</v>
      </c>
      <c r="G239" s="9">
        <v>43468.0</v>
      </c>
      <c r="H239" s="4">
        <v>3.49</v>
      </c>
      <c r="I239" s="5">
        <f t="shared" si="2"/>
        <v>0.05629032258</v>
      </c>
      <c r="J239" s="6">
        <f t="shared" si="7"/>
        <v>43468</v>
      </c>
      <c r="K239" s="4">
        <v>34.0</v>
      </c>
      <c r="L239" s="4" t="s">
        <v>16</v>
      </c>
      <c r="M239" s="5">
        <f t="shared" si="4"/>
        <v>6.219959795</v>
      </c>
    </row>
    <row r="240">
      <c r="A240" s="7" t="s">
        <v>282</v>
      </c>
      <c r="B240" s="1">
        <v>62.0</v>
      </c>
      <c r="C240" s="8">
        <f t="shared" si="5"/>
        <v>9.967910089</v>
      </c>
      <c r="D240" s="1" t="s">
        <v>201</v>
      </c>
      <c r="E240" s="3" t="str">
        <f>IFERROR(__xludf.DUMMYFUNCTION("IFERROR(INDEX(IMPORTRANGE(""docs.google.com/spreadsheets/d/1Dz5m9yCjvG51SgZ1o2KfJUBBR9Y0WOI97noTgdya4Zs/edit#gid=709845608"", ""Game!$A$2:$P""), MATCH(A240,IMPORTRANGE(""docs.google.com/spreadsheets/d/1Dz5m9yCjvG51SgZ1o2KfJUBBR9Y0WOI97noTgdya4Zs/edit#gid="&amp;"709845608"", ""Game!$A$2:$A""),0),16),""Not Started"")"),"Not Started")</f>
        <v>Not Started</v>
      </c>
      <c r="F240" s="4" t="s">
        <v>20</v>
      </c>
      <c r="G240" s="9">
        <v>43468.0</v>
      </c>
      <c r="H240" s="4">
        <v>6.74</v>
      </c>
      <c r="I240" s="5">
        <f t="shared" si="2"/>
        <v>0.1087096774</v>
      </c>
      <c r="J240" s="6">
        <f t="shared" si="7"/>
        <v>43468</v>
      </c>
      <c r="K240" s="4">
        <v>34.0</v>
      </c>
      <c r="L240" s="4" t="s">
        <v>16</v>
      </c>
      <c r="M240" s="5">
        <f t="shared" si="4"/>
        <v>6.219959795</v>
      </c>
    </row>
    <row r="241">
      <c r="A241" s="7" t="s">
        <v>283</v>
      </c>
      <c r="B241" s="1">
        <v>78.0</v>
      </c>
      <c r="C241" s="8">
        <f t="shared" si="5"/>
        <v>12.54027398</v>
      </c>
      <c r="D241" s="1" t="s">
        <v>201</v>
      </c>
      <c r="E241" s="3" t="str">
        <f>IFERROR(__xludf.DUMMYFUNCTION("IFERROR(INDEX(IMPORTRANGE(""docs.google.com/spreadsheets/d/1Dz5m9yCjvG51SgZ1o2KfJUBBR9Y0WOI97noTgdya4Zs/edit#gid=709845608"", ""Game!$A$2:$P""), MATCH(A241,IMPORTRANGE(""docs.google.com/spreadsheets/d/1Dz5m9yCjvG51SgZ1o2KfJUBBR9Y0WOI97noTgdya4Zs/edit#gid="&amp;"709845608"", ""Game!$A$2:$A""),0),16),""Not Started"")"),"Not Started")</f>
        <v>Not Started</v>
      </c>
      <c r="F241" s="4" t="s">
        <v>20</v>
      </c>
      <c r="G241" s="9">
        <v>43468.0</v>
      </c>
      <c r="H241" s="4">
        <v>3.09</v>
      </c>
      <c r="I241" s="5">
        <f t="shared" si="2"/>
        <v>0.03961538462</v>
      </c>
      <c r="J241" s="6">
        <f t="shared" si="7"/>
        <v>43468</v>
      </c>
      <c r="K241" s="4">
        <v>34.0</v>
      </c>
      <c r="L241" s="4" t="s">
        <v>16</v>
      </c>
      <c r="M241" s="5">
        <f t="shared" si="4"/>
        <v>6.219959795</v>
      </c>
    </row>
    <row r="242">
      <c r="A242" s="7" t="s">
        <v>284</v>
      </c>
      <c r="B242" s="1">
        <v>44.0</v>
      </c>
      <c r="C242" s="8">
        <f t="shared" si="5"/>
        <v>7.074000709</v>
      </c>
      <c r="D242" s="1" t="s">
        <v>29</v>
      </c>
      <c r="E242" s="3" t="str">
        <f>IFERROR(__xludf.DUMMYFUNCTION("IFERROR(INDEX(IMPORTRANGE(""docs.google.com/spreadsheets/d/1Dz5m9yCjvG51SgZ1o2KfJUBBR9Y0WOI97noTgdya4Zs/edit#gid=709845608"", ""Game!$A$2:$P""), MATCH(A242,IMPORTRANGE(""docs.google.com/spreadsheets/d/1Dz5m9yCjvG51SgZ1o2KfJUBBR9Y0WOI97noTgdya4Zs/edit#gid="&amp;"709845608"", ""Game!$A$2:$A""),0),16),""Not Started"")"),"Not Started")</f>
        <v>Not Started</v>
      </c>
      <c r="F242" s="4" t="s">
        <v>15</v>
      </c>
      <c r="G242" s="9">
        <v>43507.0</v>
      </c>
      <c r="H242" s="4">
        <v>24.96</v>
      </c>
      <c r="I242" s="5">
        <f t="shared" si="2"/>
        <v>0.5672727273</v>
      </c>
      <c r="J242" s="6">
        <f t="shared" si="7"/>
        <v>43507</v>
      </c>
      <c r="K242" s="4">
        <v>34.0</v>
      </c>
      <c r="L242" s="4" t="s">
        <v>16</v>
      </c>
      <c r="M242" s="5">
        <f t="shared" si="4"/>
        <v>6.219959795</v>
      </c>
    </row>
    <row r="243">
      <c r="A243" s="7" t="s">
        <v>285</v>
      </c>
      <c r="B243" s="1">
        <v>40.0</v>
      </c>
      <c r="C243" s="8">
        <f t="shared" si="5"/>
        <v>6.430909735</v>
      </c>
      <c r="D243" s="1" t="s">
        <v>29</v>
      </c>
      <c r="E243" s="3" t="str">
        <f>IFERROR(__xludf.DUMMYFUNCTION("IFERROR(INDEX(IMPORTRANGE(""docs.google.com/spreadsheets/d/1Dz5m9yCjvG51SgZ1o2KfJUBBR9Y0WOI97noTgdya4Zs/edit#gid=709845608"", ""Game!$A$2:$P""), MATCH(A243,IMPORTRANGE(""docs.google.com/spreadsheets/d/1Dz5m9yCjvG51SgZ1o2KfJUBBR9Y0WOI97noTgdya4Zs/edit#gid="&amp;"709845608"", ""Game!$A$2:$A""),0),16),""Not Started"")"),"Not Started")</f>
        <v>Not Started</v>
      </c>
      <c r="F243" s="4" t="s">
        <v>15</v>
      </c>
      <c r="G243" s="9">
        <v>43507.0</v>
      </c>
      <c r="H243" s="4">
        <v>8.63</v>
      </c>
      <c r="I243" s="5">
        <f t="shared" si="2"/>
        <v>0.21575</v>
      </c>
      <c r="J243" s="6">
        <f t="shared" si="7"/>
        <v>43507</v>
      </c>
      <c r="K243" s="4">
        <v>34.0</v>
      </c>
      <c r="L243" s="4" t="s">
        <v>16</v>
      </c>
      <c r="M243" s="5">
        <f t="shared" si="4"/>
        <v>6.219959795</v>
      </c>
    </row>
    <row r="244">
      <c r="A244" s="7" t="s">
        <v>286</v>
      </c>
      <c r="B244" s="1">
        <v>58.0</v>
      </c>
      <c r="C244" s="8">
        <f t="shared" si="5"/>
        <v>9.324819116</v>
      </c>
      <c r="D244" s="1" t="s">
        <v>29</v>
      </c>
      <c r="E244" s="3" t="str">
        <f>IFERROR(__xludf.DUMMYFUNCTION("IFERROR(INDEX(IMPORTRANGE(""docs.google.com/spreadsheets/d/1Dz5m9yCjvG51SgZ1o2KfJUBBR9Y0WOI97noTgdya4Zs/edit#gid=709845608"", ""Game!$A$2:$P""), MATCH(A244,IMPORTRANGE(""docs.google.com/spreadsheets/d/1Dz5m9yCjvG51SgZ1o2KfJUBBR9Y0WOI97noTgdya4Zs/edit#gid="&amp;"709845608"", ""Game!$A$2:$A""),0),16),""Not Started"")"),"Not Started")</f>
        <v>Not Started</v>
      </c>
      <c r="F244" s="4" t="s">
        <v>15</v>
      </c>
      <c r="G244" s="9">
        <v>43507.0</v>
      </c>
      <c r="H244" s="4">
        <v>16.18</v>
      </c>
      <c r="I244" s="5">
        <f t="shared" si="2"/>
        <v>0.2789655172</v>
      </c>
      <c r="J244" s="6">
        <f t="shared" si="7"/>
        <v>43507</v>
      </c>
      <c r="K244" s="4">
        <v>34.0</v>
      </c>
      <c r="L244" s="4" t="s">
        <v>16</v>
      </c>
      <c r="M244" s="5">
        <f t="shared" si="4"/>
        <v>6.219959795</v>
      </c>
    </row>
    <row r="245">
      <c r="A245" s="19" t="s">
        <v>287</v>
      </c>
      <c r="B245" s="1">
        <v>80.0</v>
      </c>
      <c r="C245" s="8">
        <f t="shared" si="5"/>
        <v>12.86181947</v>
      </c>
      <c r="D245" s="1" t="s">
        <v>14</v>
      </c>
      <c r="E245" s="3" t="str">
        <f>IFERROR(__xludf.DUMMYFUNCTION("IFERROR(INDEX(IMPORTRANGE(""docs.google.com/spreadsheets/d/1Dz5m9yCjvG51SgZ1o2KfJUBBR9Y0WOI97noTgdya4Zs/edit#gid=709845608"", ""Game!$A$2:$P""), MATCH(A245,IMPORTRANGE(""docs.google.com/spreadsheets/d/1Dz5m9yCjvG51SgZ1o2KfJUBBR9Y0WOI97noTgdya4Zs/edit#gid="&amp;"709845608"", ""Game!$A$2:$A""),0),16),""Not Started"")"),"Not Started")</f>
        <v>Not Started</v>
      </c>
      <c r="F245" s="4" t="s">
        <v>15</v>
      </c>
      <c r="G245" s="9">
        <v>43507.0</v>
      </c>
      <c r="H245" s="4">
        <v>1.79</v>
      </c>
      <c r="I245" s="5">
        <f t="shared" si="2"/>
        <v>0.022375</v>
      </c>
      <c r="J245" s="6">
        <f t="shared" si="7"/>
        <v>43507</v>
      </c>
      <c r="K245" s="4">
        <v>34.0</v>
      </c>
      <c r="L245" s="4" t="s">
        <v>16</v>
      </c>
      <c r="M245" s="5">
        <f t="shared" si="4"/>
        <v>6.219959795</v>
      </c>
    </row>
    <row r="246">
      <c r="A246" s="4" t="s">
        <v>288</v>
      </c>
      <c r="B246" s="4">
        <v>79.0</v>
      </c>
      <c r="C246" s="8">
        <f t="shared" si="5"/>
        <v>12.70104673</v>
      </c>
      <c r="D246" s="1" t="s">
        <v>18</v>
      </c>
      <c r="E246" s="3" t="str">
        <f>IFERROR(__xludf.DUMMYFUNCTION("IFERROR(INDEX(IMPORTRANGE(""docs.google.com/spreadsheets/d/1Dz5m9yCjvG51SgZ1o2KfJUBBR9Y0WOI97noTgdya4Zs/edit#gid=709845608"", ""Game!$A$2:$P""), MATCH(A246,IMPORTRANGE(""docs.google.com/spreadsheets/d/1Dz5m9yCjvG51SgZ1o2KfJUBBR9Y0WOI97noTgdya4Zs/edit#gid="&amp;"709845608"", ""Game!$A$2:$A""),0),16),""Not Started"")"),"Not Started")</f>
        <v>Not Started</v>
      </c>
      <c r="F246" s="4" t="s">
        <v>20</v>
      </c>
      <c r="G246" s="9">
        <v>43570.0</v>
      </c>
      <c r="H246" s="4">
        <v>0.01</v>
      </c>
      <c r="I246" s="10">
        <f t="shared" si="2"/>
        <v>0.0001265822785</v>
      </c>
      <c r="J246" s="11">
        <f t="shared" si="7"/>
        <v>43570</v>
      </c>
      <c r="K246" s="4">
        <v>34.0</v>
      </c>
      <c r="L246" s="4" t="s">
        <v>21</v>
      </c>
      <c r="M246" s="10">
        <f t="shared" si="4"/>
        <v>6.219959795</v>
      </c>
    </row>
    <row r="247">
      <c r="A247" s="7" t="s">
        <v>289</v>
      </c>
      <c r="B247" s="1">
        <v>54.0</v>
      </c>
      <c r="C247" s="8">
        <f t="shared" si="5"/>
        <v>8.681728142</v>
      </c>
      <c r="D247" s="1" t="s">
        <v>27</v>
      </c>
      <c r="E247" s="3" t="str">
        <f>IFERROR(__xludf.DUMMYFUNCTION("IFERROR(INDEX(IMPORTRANGE(""docs.google.com/spreadsheets/d/1Dz5m9yCjvG51SgZ1o2KfJUBBR9Y0WOI97noTgdya4Zs/edit#gid=709845608"", ""Game!$A$2:$P""), MATCH(A247,IMPORTRANGE(""docs.google.com/spreadsheets/d/1Dz5m9yCjvG51SgZ1o2KfJUBBR9Y0WOI97noTgdya4Zs/edit#gid="&amp;"709845608"", ""Game!$A$2:$A""),0),16),""Not Started"")"),"Not Started")</f>
        <v>Not Started</v>
      </c>
      <c r="F247" s="4" t="s">
        <v>20</v>
      </c>
      <c r="G247" s="9">
        <v>43604.0</v>
      </c>
      <c r="H247" s="4">
        <v>6.49</v>
      </c>
      <c r="I247" s="5">
        <f t="shared" si="2"/>
        <v>0.1201851852</v>
      </c>
      <c r="J247" s="6">
        <f t="shared" si="7"/>
        <v>43604</v>
      </c>
      <c r="K247" s="4">
        <v>34.0</v>
      </c>
      <c r="L247" s="4" t="s">
        <v>16</v>
      </c>
      <c r="M247" s="5">
        <f t="shared" si="4"/>
        <v>6.219959795</v>
      </c>
    </row>
    <row r="248">
      <c r="A248" s="7" t="s">
        <v>290</v>
      </c>
      <c r="B248" s="1">
        <v>44.0</v>
      </c>
      <c r="C248" s="8">
        <f t="shared" si="5"/>
        <v>7.074000709</v>
      </c>
      <c r="D248" s="1" t="s">
        <v>34</v>
      </c>
      <c r="E248" s="3" t="s">
        <v>19</v>
      </c>
      <c r="F248" s="4" t="s">
        <v>20</v>
      </c>
      <c r="G248" s="9">
        <v>43662.0</v>
      </c>
      <c r="H248" s="4">
        <v>3.43</v>
      </c>
      <c r="I248" s="5">
        <f t="shared" si="2"/>
        <v>0.07795454545</v>
      </c>
      <c r="J248" s="6">
        <f t="shared" si="7"/>
        <v>43662</v>
      </c>
      <c r="K248" s="4">
        <v>34.0</v>
      </c>
      <c r="L248" s="4" t="s">
        <v>16</v>
      </c>
      <c r="M248" s="5">
        <f t="shared" si="4"/>
        <v>6.219959795</v>
      </c>
    </row>
    <row r="249">
      <c r="A249" s="7" t="s">
        <v>291</v>
      </c>
      <c r="B249" s="1">
        <v>17.0</v>
      </c>
      <c r="C249" s="8">
        <f t="shared" si="5"/>
        <v>2.733136637</v>
      </c>
      <c r="D249" s="1" t="s">
        <v>34</v>
      </c>
      <c r="E249" s="3" t="s">
        <v>19</v>
      </c>
      <c r="F249" s="4" t="s">
        <v>20</v>
      </c>
      <c r="G249" s="9">
        <v>43662.0</v>
      </c>
      <c r="H249" s="4">
        <v>3.43</v>
      </c>
      <c r="I249" s="5">
        <f t="shared" si="2"/>
        <v>0.2017647059</v>
      </c>
      <c r="J249" s="6">
        <f t="shared" si="7"/>
        <v>43662</v>
      </c>
      <c r="K249" s="4">
        <v>34.0</v>
      </c>
      <c r="L249" s="4" t="s">
        <v>16</v>
      </c>
      <c r="M249" s="5">
        <f t="shared" si="4"/>
        <v>6.219959795</v>
      </c>
    </row>
    <row r="250">
      <c r="A250" s="7" t="s">
        <v>292</v>
      </c>
      <c r="B250" s="1">
        <v>27.0</v>
      </c>
      <c r="C250" s="8">
        <f t="shared" si="5"/>
        <v>4.340864071</v>
      </c>
      <c r="D250" s="1" t="s">
        <v>34</v>
      </c>
      <c r="E250" s="3" t="s">
        <v>19</v>
      </c>
      <c r="F250" s="4" t="s">
        <v>20</v>
      </c>
      <c r="G250" s="9">
        <v>43662.0</v>
      </c>
      <c r="H250" s="4">
        <v>3.43</v>
      </c>
      <c r="I250" s="5">
        <f t="shared" si="2"/>
        <v>0.127037037</v>
      </c>
      <c r="J250" s="6">
        <f t="shared" si="7"/>
        <v>43662</v>
      </c>
      <c r="K250" s="4">
        <v>34.0</v>
      </c>
      <c r="L250" s="4" t="s">
        <v>16</v>
      </c>
      <c r="M250" s="5">
        <f t="shared" si="4"/>
        <v>6.219959795</v>
      </c>
    </row>
    <row r="251">
      <c r="A251" s="7" t="s">
        <v>293</v>
      </c>
      <c r="B251" s="1">
        <v>25.0</v>
      </c>
      <c r="C251" s="8">
        <f t="shared" si="5"/>
        <v>4.019318584</v>
      </c>
      <c r="D251" s="1" t="s">
        <v>34</v>
      </c>
      <c r="E251" s="3" t="str">
        <f>IFERROR(__xludf.DUMMYFUNCTION("IFERROR(INDEX(IMPORTRANGE(""docs.google.com/spreadsheets/d/1Dz5m9yCjvG51SgZ1o2KfJUBBR9Y0WOI97noTgdya4Zs/edit#gid=709845608"", ""Game!$A$2:$P""), MATCH(A251,IMPORTRANGE(""docs.google.com/spreadsheets/d/1Dz5m9yCjvG51SgZ1o2KfJUBBR9Y0WOI97noTgdya4Zs/edit#gid="&amp;"709845608"", ""Game!$A$2:$A""),0),16),""UnCompleat"")"),"UnCompleat")</f>
        <v>UnCompleat</v>
      </c>
      <c r="F251" s="4" t="s">
        <v>20</v>
      </c>
      <c r="G251" s="9">
        <v>43662.0</v>
      </c>
      <c r="H251" s="4">
        <v>3.43</v>
      </c>
      <c r="I251" s="5">
        <f t="shared" si="2"/>
        <v>0.1372</v>
      </c>
      <c r="J251" s="6">
        <f t="shared" si="7"/>
        <v>43662</v>
      </c>
      <c r="K251" s="4">
        <v>34.0</v>
      </c>
      <c r="L251" s="4" t="s">
        <v>16</v>
      </c>
      <c r="M251" s="5">
        <f t="shared" si="4"/>
        <v>6.219959795</v>
      </c>
    </row>
    <row r="252">
      <c r="A252" s="7" t="s">
        <v>294</v>
      </c>
      <c r="B252" s="1">
        <v>58.0</v>
      </c>
      <c r="C252" s="8">
        <f t="shared" si="5"/>
        <v>9.324819116</v>
      </c>
      <c r="D252" s="1" t="s">
        <v>295</v>
      </c>
      <c r="E252" s="3" t="s">
        <v>19</v>
      </c>
      <c r="F252" s="4" t="s">
        <v>20</v>
      </c>
      <c r="G252" s="9">
        <v>43738.0</v>
      </c>
      <c r="H252" s="4">
        <v>55.99</v>
      </c>
      <c r="I252" s="5">
        <f t="shared" si="2"/>
        <v>0.9653448276</v>
      </c>
      <c r="J252" s="6">
        <f t="shared" si="7"/>
        <v>43738</v>
      </c>
      <c r="K252" s="4">
        <v>34.0</v>
      </c>
      <c r="L252" s="4" t="s">
        <v>16</v>
      </c>
      <c r="M252" s="5">
        <f t="shared" si="4"/>
        <v>6.219959795</v>
      </c>
    </row>
    <row r="253">
      <c r="A253" s="7" t="s">
        <v>296</v>
      </c>
      <c r="B253" s="1">
        <v>35.0</v>
      </c>
      <c r="C253" s="8">
        <f t="shared" si="5"/>
        <v>5.627046018</v>
      </c>
      <c r="D253" s="1" t="s">
        <v>14</v>
      </c>
      <c r="E253" s="3" t="str">
        <f>IFERROR(__xludf.DUMMYFUNCTION("IFERROR(INDEX(IMPORTRANGE(""docs.google.com/spreadsheets/d/1Dz5m9yCjvG51SgZ1o2KfJUBBR9Y0WOI97noTgdya4Zs/edit#gid=709845608"", ""Game!$A$2:$P""), MATCH(A253,IMPORTRANGE(""docs.google.com/spreadsheets/d/1Dz5m9yCjvG51SgZ1o2KfJUBBR9Y0WOI97noTgdya4Zs/edit#gid="&amp;"709845608"", ""Game!$A$2:$A""),0),16),""Not Started"")"),"Not Started")</f>
        <v>Not Started</v>
      </c>
      <c r="F253" s="4" t="s">
        <v>15</v>
      </c>
      <c r="G253" s="9">
        <v>43738.0</v>
      </c>
      <c r="H253" s="4">
        <v>1.74</v>
      </c>
      <c r="I253" s="5">
        <f t="shared" si="2"/>
        <v>0.04971428571</v>
      </c>
      <c r="J253" s="6">
        <f t="shared" si="7"/>
        <v>43738</v>
      </c>
      <c r="K253" s="4">
        <v>34.0</v>
      </c>
      <c r="L253" s="4" t="s">
        <v>16</v>
      </c>
      <c r="M253" s="5">
        <f t="shared" si="4"/>
        <v>6.219959795</v>
      </c>
    </row>
    <row r="254">
      <c r="A254" s="7" t="s">
        <v>297</v>
      </c>
      <c r="B254" s="1">
        <v>50.0</v>
      </c>
      <c r="C254" s="8">
        <f t="shared" si="5"/>
        <v>8.038637169</v>
      </c>
      <c r="D254" s="1" t="s">
        <v>14</v>
      </c>
      <c r="E254" s="3" t="str">
        <f>IFERROR(__xludf.DUMMYFUNCTION("IFERROR(INDEX(IMPORTRANGE(""docs.google.com/spreadsheets/d/1Dz5m9yCjvG51SgZ1o2KfJUBBR9Y0WOI97noTgdya4Zs/edit#gid=709845608"", ""Game!$A$2:$P""), MATCH(A254,IMPORTRANGE(""docs.google.com/spreadsheets/d/1Dz5m9yCjvG51SgZ1o2KfJUBBR9Y0WOI97noTgdya4Zs/edit#gid="&amp;"709845608"", ""Game!$A$2:$A""),0),16),""Not Started"")"),"Not Started")</f>
        <v>Not Started</v>
      </c>
      <c r="F254" s="4" t="s">
        <v>15</v>
      </c>
      <c r="G254" s="9">
        <v>43738.0</v>
      </c>
      <c r="H254" s="4">
        <v>1.74</v>
      </c>
      <c r="I254" s="5">
        <f t="shared" si="2"/>
        <v>0.0348</v>
      </c>
      <c r="J254" s="6">
        <f t="shared" si="7"/>
        <v>43738</v>
      </c>
      <c r="K254" s="4">
        <v>34.0</v>
      </c>
      <c r="L254" s="4" t="s">
        <v>16</v>
      </c>
      <c r="M254" s="5">
        <f t="shared" si="4"/>
        <v>6.219959795</v>
      </c>
    </row>
    <row r="255">
      <c r="A255" s="7" t="s">
        <v>298</v>
      </c>
      <c r="B255" s="1">
        <v>128.0</v>
      </c>
      <c r="C255" s="8">
        <f t="shared" si="5"/>
        <v>20.57891115</v>
      </c>
      <c r="D255" s="1" t="s">
        <v>14</v>
      </c>
      <c r="E255" s="3" t="s">
        <v>19</v>
      </c>
      <c r="F255" s="4" t="s">
        <v>15</v>
      </c>
      <c r="G255" s="12">
        <v>43768.0</v>
      </c>
      <c r="H255" s="4">
        <v>3.05</v>
      </c>
      <c r="I255" s="5">
        <f t="shared" si="2"/>
        <v>0.023828125</v>
      </c>
      <c r="J255" s="6">
        <f t="shared" si="7"/>
        <v>43768</v>
      </c>
      <c r="K255" s="4">
        <v>34.0</v>
      </c>
      <c r="L255" s="4" t="s">
        <v>16</v>
      </c>
      <c r="M255" s="5">
        <f t="shared" si="4"/>
        <v>6.219959795</v>
      </c>
    </row>
    <row r="256">
      <c r="A256" s="20" t="s">
        <v>299</v>
      </c>
      <c r="B256" s="1">
        <v>13.0</v>
      </c>
      <c r="C256" s="8">
        <f t="shared" si="5"/>
        <v>2.090045664</v>
      </c>
      <c r="D256" s="1" t="s">
        <v>14</v>
      </c>
      <c r="E256" s="3" t="str">
        <f>IFERROR(__xludf.DUMMYFUNCTION("IFERROR(INDEX(IMPORTRANGE(""docs.google.com/spreadsheets/d/1Dz5m9yCjvG51SgZ1o2KfJUBBR9Y0WOI97noTgdya4Zs/edit#gid=709845608"", ""Game!$A$2:$P""), MATCH(A256,IMPORTRANGE(""docs.google.com/spreadsheets/d/1Dz5m9yCjvG51SgZ1o2KfJUBBR9Y0WOI97noTgdya4Zs/edit#gid="&amp;"709845608"", ""Game!$A$2:$A""),0),16),""Not Started"")"),"Not Started")</f>
        <v>Not Started</v>
      </c>
      <c r="F256" s="4" t="s">
        <v>15</v>
      </c>
      <c r="G256" s="12">
        <v>43768.0</v>
      </c>
      <c r="H256" s="4">
        <v>3.05</v>
      </c>
      <c r="I256" s="5">
        <f t="shared" si="2"/>
        <v>0.2346153846</v>
      </c>
      <c r="J256" s="6">
        <f t="shared" si="7"/>
        <v>43768</v>
      </c>
      <c r="K256" s="4">
        <v>34.0</v>
      </c>
      <c r="L256" s="4" t="s">
        <v>16</v>
      </c>
      <c r="M256" s="5">
        <f t="shared" si="4"/>
        <v>6.219959795</v>
      </c>
    </row>
    <row r="257">
      <c r="A257" s="7" t="s">
        <v>300</v>
      </c>
      <c r="B257" s="1">
        <v>72.0</v>
      </c>
      <c r="C257" s="8">
        <f t="shared" si="5"/>
        <v>11.57563752</v>
      </c>
      <c r="D257" s="1" t="s">
        <v>201</v>
      </c>
      <c r="E257" s="3" t="str">
        <f>IFERROR(__xludf.DUMMYFUNCTION("IFERROR(INDEX(IMPORTRANGE(""docs.google.com/spreadsheets/d/1Dz5m9yCjvG51SgZ1o2KfJUBBR9Y0WOI97noTgdya4Zs/edit#gid=709845608"", ""Game!$A$2:$P""), MATCH(A257,IMPORTRANGE(""docs.google.com/spreadsheets/d/1Dz5m9yCjvG51SgZ1o2KfJUBBR9Y0WOI97noTgdya4Zs/edit#gid="&amp;"709845608"", ""Game!$A$2:$A""),0),16),""Not Started"")"),"Not Started")</f>
        <v>Not Started</v>
      </c>
      <c r="F257" s="4" t="s">
        <v>20</v>
      </c>
      <c r="G257" s="9">
        <v>43770.0</v>
      </c>
      <c r="H257" s="4">
        <v>0.47</v>
      </c>
      <c r="I257" s="5">
        <f t="shared" si="2"/>
        <v>0.006527777778</v>
      </c>
      <c r="J257" s="6">
        <f t="shared" si="7"/>
        <v>43770</v>
      </c>
      <c r="K257" s="4">
        <v>34.0</v>
      </c>
      <c r="L257" s="4" t="s">
        <v>16</v>
      </c>
      <c r="M257" s="5">
        <f t="shared" si="4"/>
        <v>6.219959795</v>
      </c>
    </row>
    <row r="258">
      <c r="A258" s="7" t="s">
        <v>301</v>
      </c>
      <c r="B258" s="1">
        <v>61.0</v>
      </c>
      <c r="C258" s="8">
        <f t="shared" si="5"/>
        <v>9.807137346</v>
      </c>
      <c r="D258" s="1" t="s">
        <v>201</v>
      </c>
      <c r="E258" s="3" t="str">
        <f>IFERROR(__xludf.DUMMYFUNCTION("IFERROR(INDEX(IMPORTRANGE(""docs.google.com/spreadsheets/d/1Dz5m9yCjvG51SgZ1o2KfJUBBR9Y0WOI97noTgdya4Zs/edit#gid=709845608"", ""Game!$A$2:$P""), MATCH(A258,IMPORTRANGE(""docs.google.com/spreadsheets/d/1Dz5m9yCjvG51SgZ1o2KfJUBBR9Y0WOI97noTgdya4Zs/edit#gid="&amp;"709845608"", ""Game!$A$2:$A""),0),16),""Not Started"")"),"Not Started")</f>
        <v>Not Started</v>
      </c>
      <c r="F258" s="4" t="s">
        <v>20</v>
      </c>
      <c r="G258" s="9">
        <v>43770.0</v>
      </c>
      <c r="H258" s="4">
        <v>1.49</v>
      </c>
      <c r="I258" s="5">
        <f t="shared" si="2"/>
        <v>0.02442622951</v>
      </c>
      <c r="J258" s="6">
        <f t="shared" si="7"/>
        <v>43770</v>
      </c>
      <c r="K258" s="4">
        <v>34.0</v>
      </c>
      <c r="L258" s="4" t="s">
        <v>16</v>
      </c>
      <c r="M258" s="5">
        <f t="shared" si="4"/>
        <v>6.219959795</v>
      </c>
    </row>
    <row r="259">
      <c r="A259" s="7" t="s">
        <v>302</v>
      </c>
      <c r="B259" s="1">
        <v>153.0</v>
      </c>
      <c r="C259" s="8">
        <f t="shared" si="5"/>
        <v>24.59822974</v>
      </c>
      <c r="D259" s="1" t="s">
        <v>201</v>
      </c>
      <c r="E259" s="3" t="str">
        <f>IFERROR(__xludf.DUMMYFUNCTION("IFERROR(INDEX(IMPORTRANGE(""docs.google.com/spreadsheets/d/1Dz5m9yCjvG51SgZ1o2KfJUBBR9Y0WOI97noTgdya4Zs/edit#gid=709845608"", ""Game!$A$2:$P""), MATCH(A259,IMPORTRANGE(""docs.google.com/spreadsheets/d/1Dz5m9yCjvG51SgZ1o2KfJUBBR9Y0WOI97noTgdya4Zs/edit#gid="&amp;"709845608"", ""Game!$A$2:$A""),0),16),""UnCompleat"")"),"UnCompleat")</f>
        <v>UnCompleat</v>
      </c>
      <c r="F259" s="4" t="s">
        <v>20</v>
      </c>
      <c r="G259" s="9">
        <v>43770.0</v>
      </c>
      <c r="H259" s="4">
        <v>26.07</v>
      </c>
      <c r="I259" s="5">
        <f t="shared" si="2"/>
        <v>0.1703921569</v>
      </c>
      <c r="J259" s="6">
        <f t="shared" si="7"/>
        <v>43770</v>
      </c>
      <c r="K259" s="4">
        <v>34.0</v>
      </c>
      <c r="L259" s="4" t="s">
        <v>16</v>
      </c>
      <c r="M259" s="5">
        <f t="shared" si="4"/>
        <v>6.219959795</v>
      </c>
    </row>
    <row r="260">
      <c r="A260" s="7" t="s">
        <v>303</v>
      </c>
      <c r="B260" s="1">
        <v>106.0</v>
      </c>
      <c r="C260" s="8">
        <f t="shared" si="5"/>
        <v>17.0419108</v>
      </c>
      <c r="D260" s="1" t="s">
        <v>201</v>
      </c>
      <c r="E260" s="3" t="s">
        <v>19</v>
      </c>
      <c r="F260" s="4" t="s">
        <v>20</v>
      </c>
      <c r="G260" s="9">
        <v>43770.0</v>
      </c>
      <c r="H260" s="4">
        <v>15.0</v>
      </c>
      <c r="I260" s="5">
        <f t="shared" si="2"/>
        <v>0.141509434</v>
      </c>
      <c r="J260" s="6">
        <f t="shared" si="7"/>
        <v>43770</v>
      </c>
      <c r="K260" s="4">
        <v>34.0</v>
      </c>
      <c r="L260" s="4" t="s">
        <v>16</v>
      </c>
      <c r="M260" s="5">
        <f t="shared" si="4"/>
        <v>6.219959795</v>
      </c>
    </row>
    <row r="261">
      <c r="A261" s="7" t="s">
        <v>304</v>
      </c>
      <c r="B261" s="1">
        <v>15.0</v>
      </c>
      <c r="C261" s="8">
        <f t="shared" si="5"/>
        <v>2.411591151</v>
      </c>
      <c r="D261" s="1" t="s">
        <v>18</v>
      </c>
      <c r="E261" s="3" t="s">
        <v>19</v>
      </c>
      <c r="F261" s="4" t="s">
        <v>20</v>
      </c>
      <c r="G261" s="9">
        <v>43770.0</v>
      </c>
      <c r="H261" s="4">
        <v>6.19</v>
      </c>
      <c r="I261" s="5">
        <f t="shared" si="2"/>
        <v>0.4126666667</v>
      </c>
      <c r="J261" s="6">
        <f t="shared" si="7"/>
        <v>43770</v>
      </c>
      <c r="K261" s="4">
        <v>34.0</v>
      </c>
      <c r="L261" s="4" t="s">
        <v>16</v>
      </c>
      <c r="M261" s="5">
        <f t="shared" si="4"/>
        <v>6.219959795</v>
      </c>
    </row>
    <row r="262">
      <c r="A262" s="7" t="s">
        <v>305</v>
      </c>
      <c r="B262" s="1">
        <v>27.0</v>
      </c>
      <c r="C262" s="8">
        <f t="shared" si="5"/>
        <v>4.340864071</v>
      </c>
      <c r="D262" s="1" t="s">
        <v>18</v>
      </c>
      <c r="E262" s="3" t="s">
        <v>19</v>
      </c>
      <c r="F262" s="4" t="s">
        <v>20</v>
      </c>
      <c r="G262" s="9">
        <v>43770.0</v>
      </c>
      <c r="H262" s="4">
        <v>19.49</v>
      </c>
      <c r="I262" s="5">
        <f t="shared" si="2"/>
        <v>0.7218518519</v>
      </c>
      <c r="J262" s="6">
        <f t="shared" si="7"/>
        <v>43770</v>
      </c>
      <c r="K262" s="4">
        <v>34.0</v>
      </c>
      <c r="L262" s="4" t="s">
        <v>16</v>
      </c>
      <c r="M262" s="5">
        <f t="shared" si="4"/>
        <v>6.219959795</v>
      </c>
    </row>
    <row r="263">
      <c r="A263" s="7" t="s">
        <v>306</v>
      </c>
      <c r="B263" s="1">
        <v>60.0</v>
      </c>
      <c r="C263" s="8">
        <f t="shared" si="5"/>
        <v>9.646364603</v>
      </c>
      <c r="D263" s="1" t="s">
        <v>34</v>
      </c>
      <c r="E263" s="3" t="str">
        <f>IFERROR(__xludf.DUMMYFUNCTION("IFERROR(INDEX(IMPORTRANGE(""docs.google.com/spreadsheets/d/1Dz5m9yCjvG51SgZ1o2KfJUBBR9Y0WOI97noTgdya4Zs/edit#gid=709845608"", ""Game!$A$2:$P""), MATCH(A263,IMPORTRANGE(""docs.google.com/spreadsheets/d/1Dz5m9yCjvG51SgZ1o2KfJUBBR9Y0WOI97noTgdya4Zs/edit#gid="&amp;"709845608"", ""Game!$A$2:$A""),0),16),""Not Started"")"),"Not Started")</f>
        <v>Not Started</v>
      </c>
      <c r="F263" s="4" t="s">
        <v>15</v>
      </c>
      <c r="G263" s="9">
        <v>43802.0</v>
      </c>
      <c r="H263" s="4">
        <v>6.74</v>
      </c>
      <c r="I263" s="5">
        <f t="shared" si="2"/>
        <v>0.1123333333</v>
      </c>
      <c r="J263" s="6">
        <f t="shared" si="7"/>
        <v>43802</v>
      </c>
      <c r="K263" s="4">
        <v>34.0</v>
      </c>
      <c r="L263" s="4" t="s">
        <v>16</v>
      </c>
      <c r="M263" s="5">
        <f t="shared" si="4"/>
        <v>6.219959795</v>
      </c>
    </row>
    <row r="264">
      <c r="A264" s="7" t="s">
        <v>307</v>
      </c>
      <c r="B264" s="1">
        <v>9.5</v>
      </c>
      <c r="C264" s="8">
        <f t="shared" si="5"/>
        <v>1.527341062</v>
      </c>
      <c r="D264" s="1" t="s">
        <v>27</v>
      </c>
      <c r="E264" s="3" t="s">
        <v>19</v>
      </c>
      <c r="F264" s="4" t="s">
        <v>20</v>
      </c>
      <c r="G264" s="9">
        <v>43802.0</v>
      </c>
      <c r="H264" s="4">
        <v>6.66</v>
      </c>
      <c r="I264" s="5">
        <f t="shared" si="2"/>
        <v>0.7010526316</v>
      </c>
      <c r="J264" s="6">
        <f t="shared" si="7"/>
        <v>43802</v>
      </c>
      <c r="K264" s="4">
        <v>34.0</v>
      </c>
      <c r="L264" s="4" t="s">
        <v>16</v>
      </c>
      <c r="M264" s="5">
        <f t="shared" si="4"/>
        <v>6.219959795</v>
      </c>
    </row>
    <row r="265">
      <c r="A265" s="7" t="s">
        <v>308</v>
      </c>
      <c r="B265" s="1">
        <v>8.0</v>
      </c>
      <c r="C265" s="8">
        <f t="shared" si="5"/>
        <v>1.286181947</v>
      </c>
      <c r="D265" s="1" t="s">
        <v>27</v>
      </c>
      <c r="E265" s="3" t="s">
        <v>19</v>
      </c>
      <c r="F265" s="4" t="s">
        <v>20</v>
      </c>
      <c r="G265" s="9">
        <v>43802.0</v>
      </c>
      <c r="H265" s="4">
        <v>6.66</v>
      </c>
      <c r="I265" s="5">
        <f t="shared" si="2"/>
        <v>0.8325</v>
      </c>
      <c r="J265" s="6">
        <f t="shared" si="7"/>
        <v>43802</v>
      </c>
      <c r="K265" s="4">
        <v>34.0</v>
      </c>
      <c r="L265" s="4" t="s">
        <v>16</v>
      </c>
      <c r="M265" s="5">
        <f t="shared" si="4"/>
        <v>6.219959795</v>
      </c>
    </row>
    <row r="266">
      <c r="A266" s="7" t="s">
        <v>309</v>
      </c>
      <c r="B266" s="1">
        <v>8.0</v>
      </c>
      <c r="C266" s="8">
        <f t="shared" si="5"/>
        <v>1.286181947</v>
      </c>
      <c r="D266" s="1" t="s">
        <v>27</v>
      </c>
      <c r="E266" s="3" t="s">
        <v>19</v>
      </c>
      <c r="F266" s="4" t="s">
        <v>20</v>
      </c>
      <c r="G266" s="9">
        <v>43802.0</v>
      </c>
      <c r="H266" s="4">
        <v>6.66</v>
      </c>
      <c r="I266" s="5">
        <f t="shared" si="2"/>
        <v>0.8325</v>
      </c>
      <c r="J266" s="6">
        <f t="shared" si="7"/>
        <v>43802</v>
      </c>
      <c r="K266" s="4">
        <v>34.0</v>
      </c>
      <c r="L266" s="4" t="s">
        <v>16</v>
      </c>
      <c r="M266" s="5">
        <f t="shared" si="4"/>
        <v>6.219959795</v>
      </c>
    </row>
    <row r="267">
      <c r="A267" s="7" t="s">
        <v>310</v>
      </c>
      <c r="B267" s="1">
        <v>27.0</v>
      </c>
      <c r="C267" s="8">
        <f t="shared" si="5"/>
        <v>4.340864071</v>
      </c>
      <c r="D267" s="24" t="s">
        <v>153</v>
      </c>
      <c r="E267" s="3" t="str">
        <f>IFERROR(__xludf.DUMMYFUNCTION("IFERROR(INDEX(IMPORTRANGE(""docs.google.com/spreadsheets/d/1Dz5m9yCjvG51SgZ1o2KfJUBBR9Y0WOI97noTgdya4Zs/edit#gid=709845608"", ""Game!$A$2:$P""), MATCH(A267,IMPORTRANGE(""docs.google.com/spreadsheets/d/1Dz5m9yCjvG51SgZ1o2KfJUBBR9Y0WOI97noTgdya4Zs/edit#gid="&amp;"709845608"", ""Game!$A$2:$A""),0),16),""Not Started"")"),"Not Started")</f>
        <v>Not Started</v>
      </c>
      <c r="F267" s="4" t="s">
        <v>15</v>
      </c>
      <c r="G267" s="9">
        <v>43802.0</v>
      </c>
      <c r="H267" s="4">
        <v>0.79</v>
      </c>
      <c r="I267" s="5">
        <f t="shared" si="2"/>
        <v>0.02925925926</v>
      </c>
      <c r="J267" s="6">
        <f t="shared" si="7"/>
        <v>43802</v>
      </c>
      <c r="K267" s="4">
        <v>34.0</v>
      </c>
      <c r="L267" s="4" t="s">
        <v>16</v>
      </c>
      <c r="M267" s="5">
        <f t="shared" si="4"/>
        <v>6.219959795</v>
      </c>
    </row>
    <row r="268">
      <c r="A268" s="20" t="s">
        <v>311</v>
      </c>
      <c r="B268" s="1">
        <v>113.0</v>
      </c>
      <c r="C268" s="8">
        <f t="shared" si="5"/>
        <v>18.16732</v>
      </c>
      <c r="D268" s="1" t="s">
        <v>24</v>
      </c>
      <c r="E268" s="3" t="str">
        <f>IFERROR(__xludf.DUMMYFUNCTION("IFERROR(INDEX(IMPORTRANGE(""docs.google.com/spreadsheets/d/1Dz5m9yCjvG51SgZ1o2KfJUBBR9Y0WOI97noTgdya4Zs/edit#gid=709845608"", ""Game!$A$2:$P""), MATCH(A268,IMPORTRANGE(""docs.google.com/spreadsheets/d/1Dz5m9yCjvG51SgZ1o2KfJUBBR9Y0WOI97noTgdya4Zs/edit#gid="&amp;"709845608"", ""Game!$A$2:$A""),0),16),""Not Started"")"),"Not Started")</f>
        <v>Not Started</v>
      </c>
      <c r="F268" s="4" t="s">
        <v>20</v>
      </c>
      <c r="G268" s="12">
        <v>43802.0</v>
      </c>
      <c r="H268" s="4">
        <v>9.99</v>
      </c>
      <c r="I268" s="5">
        <f t="shared" si="2"/>
        <v>0.08840707965</v>
      </c>
      <c r="J268" s="6">
        <f t="shared" si="7"/>
        <v>43802</v>
      </c>
      <c r="K268" s="4">
        <v>34.0</v>
      </c>
      <c r="L268" s="4" t="s">
        <v>16</v>
      </c>
      <c r="M268" s="5">
        <f t="shared" si="4"/>
        <v>6.219959795</v>
      </c>
    </row>
    <row r="269">
      <c r="A269" s="7" t="s">
        <v>312</v>
      </c>
      <c r="B269" s="1">
        <v>91.0</v>
      </c>
      <c r="C269" s="8">
        <f t="shared" si="5"/>
        <v>14.63031965</v>
      </c>
      <c r="D269" s="1" t="s">
        <v>24</v>
      </c>
      <c r="E269" s="3" t="str">
        <f>IFERROR(__xludf.DUMMYFUNCTION("IFERROR(INDEX(IMPORTRANGE(""docs.google.com/spreadsheets/d/1Dz5m9yCjvG51SgZ1o2KfJUBBR9Y0WOI97noTgdya4Zs/edit#gid=709845608"", ""Game!$A$2:$P""), MATCH(A269,IMPORTRANGE(""docs.google.com/spreadsheets/d/1Dz5m9yCjvG51SgZ1o2KfJUBBR9Y0WOI97noTgdya4Zs/edit#gid="&amp;"709845608"", ""Game!$A$2:$A""),0),16),""Not Started"")"),"Not Started")</f>
        <v>Not Started</v>
      </c>
      <c r="F269" s="4" t="s">
        <v>20</v>
      </c>
      <c r="G269" s="12">
        <v>43802.0</v>
      </c>
      <c r="H269" s="4">
        <v>9.99</v>
      </c>
      <c r="I269" s="5">
        <f t="shared" si="2"/>
        <v>0.1097802198</v>
      </c>
      <c r="J269" s="6">
        <f t="shared" si="7"/>
        <v>43802</v>
      </c>
      <c r="K269" s="4">
        <v>34.0</v>
      </c>
      <c r="L269" s="4" t="s">
        <v>16</v>
      </c>
      <c r="M269" s="5">
        <f t="shared" si="4"/>
        <v>6.219959795</v>
      </c>
    </row>
    <row r="270">
      <c r="A270" s="7" t="s">
        <v>313</v>
      </c>
      <c r="B270" s="1">
        <v>48.5</v>
      </c>
      <c r="C270" s="8">
        <f t="shared" si="5"/>
        <v>7.797478054</v>
      </c>
      <c r="D270" s="1" t="s">
        <v>14</v>
      </c>
      <c r="E270" s="3" t="str">
        <f>IFERROR(__xludf.DUMMYFUNCTION("IFERROR(INDEX(IMPORTRANGE(""docs.google.com/spreadsheets/d/1Dz5m9yCjvG51SgZ1o2KfJUBBR9Y0WOI97noTgdya4Zs/edit#gid=709845608"", ""Game!$A$2:$P""), MATCH(A270,IMPORTRANGE(""docs.google.com/spreadsheets/d/1Dz5m9yCjvG51SgZ1o2KfJUBBR9Y0WOI97noTgdya4Zs/edit#gid="&amp;"709845608"", ""Game!$A$2:$A""),0),16),""Not Started"")"),"Not Started")</f>
        <v>Not Started</v>
      </c>
      <c r="F270" s="4" t="s">
        <v>20</v>
      </c>
      <c r="G270" s="9">
        <v>43802.0</v>
      </c>
      <c r="H270" s="25">
        <v>7.79</v>
      </c>
      <c r="I270" s="5">
        <f t="shared" si="2"/>
        <v>0.1606185567</v>
      </c>
      <c r="J270" s="6">
        <f t="shared" si="7"/>
        <v>43802</v>
      </c>
      <c r="K270" s="4">
        <v>34.0</v>
      </c>
      <c r="L270" s="4" t="s">
        <v>16</v>
      </c>
      <c r="M270" s="5">
        <f t="shared" si="4"/>
        <v>6.219959795</v>
      </c>
    </row>
    <row r="271">
      <c r="A271" s="7" t="s">
        <v>314</v>
      </c>
      <c r="B271" s="1">
        <v>23.0</v>
      </c>
      <c r="C271" s="8">
        <f t="shared" si="5"/>
        <v>3.697773098</v>
      </c>
      <c r="D271" s="1" t="s">
        <v>24</v>
      </c>
      <c r="E271" s="3" t="s">
        <v>19</v>
      </c>
      <c r="F271" s="4" t="s">
        <v>20</v>
      </c>
      <c r="G271" s="12">
        <v>43818.0</v>
      </c>
      <c r="H271" s="4">
        <v>6.49</v>
      </c>
      <c r="I271" s="5">
        <f t="shared" si="2"/>
        <v>0.282173913</v>
      </c>
      <c r="J271" s="6">
        <f t="shared" si="7"/>
        <v>43818</v>
      </c>
      <c r="K271" s="4">
        <v>34.0</v>
      </c>
      <c r="L271" s="4" t="s">
        <v>16</v>
      </c>
      <c r="M271" s="5">
        <f t="shared" si="4"/>
        <v>6.219959795</v>
      </c>
    </row>
    <row r="272">
      <c r="A272" s="7" t="s">
        <v>315</v>
      </c>
      <c r="B272" s="1">
        <v>139.0</v>
      </c>
      <c r="C272" s="8">
        <f t="shared" si="5"/>
        <v>22.34741133</v>
      </c>
      <c r="D272" s="1" t="s">
        <v>201</v>
      </c>
      <c r="E272" s="3" t="str">
        <f>IFERROR(__xludf.DUMMYFUNCTION("IFERROR(INDEX(IMPORTRANGE(""docs.google.com/spreadsheets/d/1Dz5m9yCjvG51SgZ1o2KfJUBBR9Y0WOI97noTgdya4Zs/edit#gid=709845608"", ""Game!$A$2:$P""), MATCH(A272,IMPORTRANGE(""docs.google.com/spreadsheets/d/1Dz5m9yCjvG51SgZ1o2KfJUBBR9Y0WOI97noTgdya4Zs/edit#gid="&amp;"709845608"", ""Game!$A$2:$A""),0),16),""Not Started"")"),"Not Started")</f>
        <v>Not Started</v>
      </c>
      <c r="F272" s="4" t="s">
        <v>20</v>
      </c>
      <c r="G272" s="9">
        <v>43832.0</v>
      </c>
      <c r="H272" s="4">
        <v>13.99</v>
      </c>
      <c r="I272" s="5">
        <f t="shared" si="2"/>
        <v>0.100647482</v>
      </c>
      <c r="J272" s="6">
        <f t="shared" si="7"/>
        <v>43832</v>
      </c>
      <c r="K272" s="4">
        <v>11.0</v>
      </c>
      <c r="L272" s="4" t="s">
        <v>16</v>
      </c>
      <c r="M272" s="5">
        <f t="shared" si="4"/>
        <v>6.219959795</v>
      </c>
    </row>
    <row r="273">
      <c r="A273" s="7" t="s">
        <v>316</v>
      </c>
      <c r="B273" s="1">
        <v>93.0</v>
      </c>
      <c r="C273" s="8">
        <f t="shared" si="5"/>
        <v>14.95186513</v>
      </c>
      <c r="D273" s="1" t="s">
        <v>201</v>
      </c>
      <c r="E273" s="3" t="str">
        <f>IFERROR(__xludf.DUMMYFUNCTION("IFERROR(INDEX(IMPORTRANGE(""docs.google.com/spreadsheets/d/1Dz5m9yCjvG51SgZ1o2KfJUBBR9Y0WOI97noTgdya4Zs/edit#gid=709845608"", ""Game!$A$2:$P""), MATCH(A273,IMPORTRANGE(""docs.google.com/spreadsheets/d/1Dz5m9yCjvG51SgZ1o2KfJUBBR9Y0WOI97noTgdya4Zs/edit#gid="&amp;"709845608"", ""Game!$A$2:$A""),0),16),""Not Started"")"),"Not Started")</f>
        <v>Not Started</v>
      </c>
      <c r="F273" s="4" t="s">
        <v>20</v>
      </c>
      <c r="G273" s="9">
        <v>43832.0</v>
      </c>
      <c r="H273" s="4">
        <v>24.96</v>
      </c>
      <c r="I273" s="5">
        <f t="shared" si="2"/>
        <v>0.2683870968</v>
      </c>
      <c r="J273" s="6">
        <f t="shared" si="7"/>
        <v>43832</v>
      </c>
      <c r="K273" s="4">
        <v>11.0</v>
      </c>
      <c r="L273" s="4" t="s">
        <v>16</v>
      </c>
      <c r="M273" s="5">
        <f t="shared" si="4"/>
        <v>6.219959795</v>
      </c>
    </row>
    <row r="274">
      <c r="A274" s="7" t="s">
        <v>317</v>
      </c>
      <c r="B274" s="1">
        <v>198.0</v>
      </c>
      <c r="C274" s="8">
        <f t="shared" si="5"/>
        <v>31.83300319</v>
      </c>
      <c r="D274" s="1" t="s">
        <v>201</v>
      </c>
      <c r="E274" s="3" t="str">
        <f>IFERROR(__xludf.DUMMYFUNCTION("IFERROR(INDEX(IMPORTRANGE(""docs.google.com/spreadsheets/d/1Dz5m9yCjvG51SgZ1o2KfJUBBR9Y0WOI97noTgdya4Zs/edit#gid=709845608"", ""Game!$A$2:$P""), MATCH(A274,IMPORTRANGE(""docs.google.com/spreadsheets/d/1Dz5m9yCjvG51SgZ1o2KfJUBBR9Y0WOI97noTgdya4Zs/edit#gid="&amp;"709845608"", ""Game!$A$2:$A""),0),16),""UnCompleat"")"),"UnCompleat")</f>
        <v>UnCompleat</v>
      </c>
      <c r="F274" s="4" t="s">
        <v>20</v>
      </c>
      <c r="G274" s="9">
        <v>43832.0</v>
      </c>
      <c r="H274" s="4">
        <v>36.38</v>
      </c>
      <c r="I274" s="5">
        <f t="shared" si="2"/>
        <v>0.1837373737</v>
      </c>
      <c r="J274" s="6">
        <f t="shared" si="7"/>
        <v>43832</v>
      </c>
      <c r="K274" s="4">
        <v>11.0</v>
      </c>
      <c r="L274" s="4" t="s">
        <v>16</v>
      </c>
      <c r="M274" s="5">
        <f t="shared" si="4"/>
        <v>6.219959795</v>
      </c>
    </row>
    <row r="275">
      <c r="A275" s="7" t="s">
        <v>318</v>
      </c>
      <c r="B275" s="1">
        <v>93.0</v>
      </c>
      <c r="C275" s="8">
        <f t="shared" si="5"/>
        <v>14.95186513</v>
      </c>
      <c r="D275" s="1" t="s">
        <v>24</v>
      </c>
      <c r="E275" s="3" t="s">
        <v>19</v>
      </c>
      <c r="F275" s="4" t="s">
        <v>20</v>
      </c>
      <c r="G275" s="9">
        <v>43869.0</v>
      </c>
      <c r="H275" s="4">
        <f>49.99+24.99</f>
        <v>74.98</v>
      </c>
      <c r="I275" s="5">
        <f t="shared" si="2"/>
        <v>0.8062365591</v>
      </c>
      <c r="J275" s="6">
        <f t="shared" si="7"/>
        <v>43869</v>
      </c>
      <c r="K275" s="4">
        <v>11.0</v>
      </c>
      <c r="L275" s="4" t="s">
        <v>16</v>
      </c>
      <c r="M275" s="5">
        <f t="shared" si="4"/>
        <v>6.219959795</v>
      </c>
    </row>
    <row r="276">
      <c r="A276" s="26" t="s">
        <v>319</v>
      </c>
      <c r="B276" s="1">
        <v>142.0</v>
      </c>
      <c r="C276" s="8">
        <f t="shared" si="5"/>
        <v>22.82972956</v>
      </c>
      <c r="D276" s="1" t="s">
        <v>24</v>
      </c>
      <c r="E276" s="3" t="s">
        <v>19</v>
      </c>
      <c r="F276" s="4" t="s">
        <v>20</v>
      </c>
      <c r="G276" s="9">
        <v>43955.0</v>
      </c>
      <c r="H276" s="4">
        <v>18.74</v>
      </c>
      <c r="I276" s="5">
        <f t="shared" si="2"/>
        <v>0.131971831</v>
      </c>
      <c r="J276" s="6">
        <f t="shared" si="7"/>
        <v>43955</v>
      </c>
      <c r="K276" s="4">
        <v>11.0</v>
      </c>
      <c r="L276" s="4" t="s">
        <v>21</v>
      </c>
      <c r="M276" s="5">
        <f t="shared" si="4"/>
        <v>6.219959795</v>
      </c>
    </row>
    <row r="277">
      <c r="A277" s="7" t="s">
        <v>320</v>
      </c>
      <c r="B277" s="1">
        <v>84.0</v>
      </c>
      <c r="C277" s="8">
        <f t="shared" si="5"/>
        <v>13.50491044</v>
      </c>
      <c r="D277" s="1" t="s">
        <v>18</v>
      </c>
      <c r="E277" s="3" t="s">
        <v>19</v>
      </c>
      <c r="F277" s="4" t="s">
        <v>20</v>
      </c>
      <c r="G277" s="9">
        <v>43955.0</v>
      </c>
      <c r="H277" s="4">
        <v>31.64</v>
      </c>
      <c r="I277" s="5">
        <f t="shared" si="2"/>
        <v>0.3766666667</v>
      </c>
      <c r="J277" s="6">
        <f t="shared" si="7"/>
        <v>43955</v>
      </c>
      <c r="K277" s="4">
        <v>11.0</v>
      </c>
      <c r="L277" s="4" t="s">
        <v>21</v>
      </c>
      <c r="M277" s="5">
        <f t="shared" si="4"/>
        <v>6.219959795</v>
      </c>
    </row>
    <row r="278">
      <c r="A278" s="7" t="s">
        <v>321</v>
      </c>
      <c r="B278" s="1">
        <v>39.0</v>
      </c>
      <c r="C278" s="8">
        <f t="shared" si="5"/>
        <v>6.270136992</v>
      </c>
      <c r="D278" s="1" t="s">
        <v>27</v>
      </c>
      <c r="E278" s="3" t="s">
        <v>19</v>
      </c>
      <c r="F278" s="4" t="s">
        <v>20</v>
      </c>
      <c r="G278" s="9">
        <v>43967.0</v>
      </c>
      <c r="H278" s="4">
        <v>54.98</v>
      </c>
      <c r="I278" s="5">
        <f t="shared" si="2"/>
        <v>1.40974359</v>
      </c>
      <c r="J278" s="6">
        <f t="shared" si="7"/>
        <v>43967</v>
      </c>
      <c r="K278" s="4">
        <v>11.0</v>
      </c>
      <c r="L278" s="4" t="s">
        <v>16</v>
      </c>
      <c r="M278" s="5">
        <f t="shared" si="4"/>
        <v>6.219959795</v>
      </c>
    </row>
    <row r="279">
      <c r="A279" s="7" t="s">
        <v>322</v>
      </c>
      <c r="B279" s="1">
        <v>15.0</v>
      </c>
      <c r="C279" s="8">
        <f t="shared" si="5"/>
        <v>2.411591151</v>
      </c>
      <c r="D279" s="1" t="s">
        <v>158</v>
      </c>
      <c r="E279" s="3" t="str">
        <f>IFERROR(__xludf.DUMMYFUNCTION("IFERROR(INDEX(IMPORTRANGE(""docs.google.com/spreadsheets/d/1Dz5m9yCjvG51SgZ1o2KfJUBBR9Y0WOI97noTgdya4Zs/edit#gid=709845608"", ""Game!$A$2:$P""), MATCH(A279,IMPORTRANGE(""docs.google.com/spreadsheets/d/1Dz5m9yCjvG51SgZ1o2KfJUBBR9Y0WOI97noTgdya4Zs/edit#gid="&amp;"709845608"", ""Game!$A$2:$A""),0),16),""UnCompleat"")"),"UnCompleat")</f>
        <v>UnCompleat</v>
      </c>
      <c r="F279" s="4" t="s">
        <v>20</v>
      </c>
      <c r="G279" s="9">
        <v>44105.0</v>
      </c>
      <c r="H279" s="17">
        <v>34.99</v>
      </c>
      <c r="I279" s="5">
        <f t="shared" si="2"/>
        <v>2.332666667</v>
      </c>
      <c r="J279" s="6">
        <f t="shared" si="7"/>
        <v>44105</v>
      </c>
      <c r="K279" s="4">
        <v>11.0</v>
      </c>
      <c r="L279" s="4" t="s">
        <v>39</v>
      </c>
      <c r="M279" s="5">
        <f t="shared" si="4"/>
        <v>6.219959795</v>
      </c>
    </row>
    <row r="280">
      <c r="A280" s="27" t="s">
        <v>323</v>
      </c>
      <c r="B280" s="1">
        <v>7.5</v>
      </c>
      <c r="C280" s="8">
        <f t="shared" si="5"/>
        <v>1.205795575</v>
      </c>
      <c r="D280" s="1" t="s">
        <v>27</v>
      </c>
      <c r="E280" s="3" t="s">
        <v>19</v>
      </c>
      <c r="F280" s="4" t="s">
        <v>20</v>
      </c>
      <c r="G280" s="12">
        <v>44135.0</v>
      </c>
      <c r="H280" s="4">
        <v>6.99</v>
      </c>
      <c r="I280" s="5">
        <f t="shared" si="2"/>
        <v>0.932</v>
      </c>
      <c r="J280" s="6">
        <f t="shared" si="7"/>
        <v>44135</v>
      </c>
      <c r="K280" s="4">
        <v>11.0</v>
      </c>
      <c r="L280" s="4" t="s">
        <v>16</v>
      </c>
      <c r="M280" s="5">
        <f t="shared" si="4"/>
        <v>6.219959795</v>
      </c>
    </row>
    <row r="281">
      <c r="A281" s="27" t="s">
        <v>324</v>
      </c>
      <c r="B281" s="1">
        <v>7.5</v>
      </c>
      <c r="C281" s="8">
        <f t="shared" si="5"/>
        <v>1.205795575</v>
      </c>
      <c r="D281" s="1" t="s">
        <v>27</v>
      </c>
      <c r="E281" s="3" t="s">
        <v>19</v>
      </c>
      <c r="F281" s="4" t="s">
        <v>20</v>
      </c>
      <c r="G281" s="12">
        <v>44136.0</v>
      </c>
      <c r="H281" s="4">
        <v>6.99</v>
      </c>
      <c r="I281" s="5">
        <f t="shared" si="2"/>
        <v>0.932</v>
      </c>
      <c r="J281" s="6">
        <f t="shared" si="7"/>
        <v>44136</v>
      </c>
      <c r="K281" s="4">
        <v>11.0</v>
      </c>
      <c r="L281" s="4" t="s">
        <v>16</v>
      </c>
      <c r="M281" s="5">
        <f t="shared" si="4"/>
        <v>6.219959795</v>
      </c>
    </row>
    <row r="282">
      <c r="A282" s="27" t="s">
        <v>325</v>
      </c>
      <c r="B282" s="1">
        <v>7.5</v>
      </c>
      <c r="C282" s="8">
        <f t="shared" si="5"/>
        <v>1.205795575</v>
      </c>
      <c r="D282" s="1" t="s">
        <v>27</v>
      </c>
      <c r="E282" s="3" t="s">
        <v>19</v>
      </c>
      <c r="F282" s="4" t="s">
        <v>20</v>
      </c>
      <c r="G282" s="12">
        <v>44137.0</v>
      </c>
      <c r="H282" s="4">
        <v>6.99</v>
      </c>
      <c r="I282" s="5">
        <f t="shared" si="2"/>
        <v>0.932</v>
      </c>
      <c r="J282" s="6">
        <f t="shared" si="7"/>
        <v>44137</v>
      </c>
      <c r="K282" s="4">
        <v>11.0</v>
      </c>
      <c r="L282" s="4" t="s">
        <v>16</v>
      </c>
      <c r="M282" s="5">
        <f t="shared" si="4"/>
        <v>6.219959795</v>
      </c>
    </row>
    <row r="283">
      <c r="A283" s="27" t="s">
        <v>326</v>
      </c>
      <c r="B283" s="1">
        <v>7.5</v>
      </c>
      <c r="C283" s="8">
        <f t="shared" si="5"/>
        <v>1.205795575</v>
      </c>
      <c r="D283" s="1" t="s">
        <v>27</v>
      </c>
      <c r="E283" s="3" t="s">
        <v>19</v>
      </c>
      <c r="F283" s="4" t="s">
        <v>20</v>
      </c>
      <c r="G283" s="12">
        <v>44138.0</v>
      </c>
      <c r="H283" s="4">
        <v>6.99</v>
      </c>
      <c r="I283" s="5">
        <f t="shared" si="2"/>
        <v>0.932</v>
      </c>
      <c r="J283" s="6">
        <f t="shared" si="7"/>
        <v>44138</v>
      </c>
      <c r="K283" s="4">
        <v>11.0</v>
      </c>
      <c r="L283" s="4" t="s">
        <v>16</v>
      </c>
      <c r="M283" s="5">
        <f t="shared" si="4"/>
        <v>6.219959795</v>
      </c>
    </row>
    <row r="284">
      <c r="A284" s="27" t="s">
        <v>327</v>
      </c>
      <c r="B284" s="1">
        <v>7.5</v>
      </c>
      <c r="C284" s="8">
        <f t="shared" si="5"/>
        <v>1.205795575</v>
      </c>
      <c r="D284" s="1" t="s">
        <v>27</v>
      </c>
      <c r="E284" s="3" t="s">
        <v>19</v>
      </c>
      <c r="F284" s="4" t="s">
        <v>20</v>
      </c>
      <c r="G284" s="12">
        <v>44139.0</v>
      </c>
      <c r="H284" s="4">
        <v>6.99</v>
      </c>
      <c r="I284" s="5">
        <f t="shared" si="2"/>
        <v>0.932</v>
      </c>
      <c r="J284" s="6">
        <f t="shared" si="7"/>
        <v>44139</v>
      </c>
      <c r="K284" s="4">
        <v>11.0</v>
      </c>
      <c r="L284" s="4" t="s">
        <v>16</v>
      </c>
      <c r="M284" s="5">
        <f t="shared" si="4"/>
        <v>6.219959795</v>
      </c>
    </row>
    <row r="285">
      <c r="A285" s="27" t="s">
        <v>328</v>
      </c>
      <c r="B285" s="1">
        <v>7.5</v>
      </c>
      <c r="C285" s="8">
        <f t="shared" si="5"/>
        <v>1.205795575</v>
      </c>
      <c r="D285" s="1" t="s">
        <v>27</v>
      </c>
      <c r="E285" s="3" t="s">
        <v>19</v>
      </c>
      <c r="F285" s="4" t="s">
        <v>20</v>
      </c>
      <c r="G285" s="12">
        <v>44140.0</v>
      </c>
      <c r="H285" s="4">
        <v>6.99</v>
      </c>
      <c r="I285" s="5">
        <f t="shared" si="2"/>
        <v>0.932</v>
      </c>
      <c r="J285" s="6">
        <f t="shared" si="7"/>
        <v>44140</v>
      </c>
      <c r="K285" s="4">
        <v>11.0</v>
      </c>
      <c r="L285" s="4" t="s">
        <v>16</v>
      </c>
      <c r="M285" s="5">
        <f t="shared" si="4"/>
        <v>6.219959795</v>
      </c>
    </row>
    <row r="286">
      <c r="A286" s="7" t="s">
        <v>329</v>
      </c>
      <c r="B286" s="1">
        <v>31.0</v>
      </c>
      <c r="C286" s="8">
        <f t="shared" si="5"/>
        <v>4.983955045</v>
      </c>
      <c r="D286" s="1" t="s">
        <v>18</v>
      </c>
      <c r="E286" s="3" t="s">
        <v>19</v>
      </c>
      <c r="F286" s="4" t="s">
        <v>20</v>
      </c>
      <c r="G286" s="12">
        <v>44135.0</v>
      </c>
      <c r="H286" s="4">
        <v>27.49</v>
      </c>
      <c r="I286" s="5">
        <f t="shared" si="2"/>
        <v>0.8867741935</v>
      </c>
      <c r="J286" s="6">
        <f t="shared" si="7"/>
        <v>44135</v>
      </c>
      <c r="K286" s="4">
        <v>11.0</v>
      </c>
      <c r="L286" s="4" t="s">
        <v>39</v>
      </c>
      <c r="M286" s="5">
        <f>M280</f>
        <v>6.219959795</v>
      </c>
    </row>
    <row r="287">
      <c r="A287" s="7" t="s">
        <v>330</v>
      </c>
      <c r="B287" s="1">
        <v>16.0</v>
      </c>
      <c r="C287" s="8">
        <f t="shared" si="5"/>
        <v>2.572363894</v>
      </c>
      <c r="D287" s="1" t="s">
        <v>24</v>
      </c>
      <c r="E287" s="3" t="s">
        <v>19</v>
      </c>
      <c r="F287" s="4" t="s">
        <v>20</v>
      </c>
      <c r="G287" s="12">
        <v>44135.0</v>
      </c>
      <c r="H287" s="4">
        <v>20.99</v>
      </c>
      <c r="I287" s="5">
        <f t="shared" si="2"/>
        <v>1.311875</v>
      </c>
      <c r="J287" s="6">
        <f t="shared" si="7"/>
        <v>44135</v>
      </c>
      <c r="K287" s="4">
        <v>11.0</v>
      </c>
      <c r="L287" s="4" t="s">
        <v>16</v>
      </c>
      <c r="M287" s="5">
        <f t="shared" ref="M287:M342" si="8">M286</f>
        <v>6.219959795</v>
      </c>
    </row>
    <row r="288">
      <c r="A288" s="7" t="s">
        <v>331</v>
      </c>
      <c r="B288" s="1">
        <v>292.0</v>
      </c>
      <c r="C288" s="8">
        <f t="shared" si="5"/>
        <v>46.94564107</v>
      </c>
      <c r="D288" s="1" t="s">
        <v>24</v>
      </c>
      <c r="E288" s="3" t="str">
        <f>IFERROR(__xludf.DUMMYFUNCTION("IFERROR(INDEX(IMPORTRANGE(""docs.google.com/spreadsheets/d/1Dz5m9yCjvG51SgZ1o2KfJUBBR9Y0WOI97noTgdya4Zs/edit#gid=709845608"", ""Game!$A$2:$P""), MATCH(A288,IMPORTRANGE(""docs.google.com/spreadsheets/d/1Dz5m9yCjvG51SgZ1o2KfJUBBR9Y0WOI97noTgdya4Zs/edit#gid="&amp;"709845608"", ""Game!$A$2:$A""),0),16),""Not Started"")"),"Not Started")</f>
        <v>Not Started</v>
      </c>
      <c r="F288" s="4" t="s">
        <v>20</v>
      </c>
      <c r="G288" s="9">
        <v>44197.0</v>
      </c>
      <c r="H288" s="4">
        <v>0.01</v>
      </c>
      <c r="I288" s="5">
        <f t="shared" si="2"/>
        <v>0.00003424657534</v>
      </c>
      <c r="J288" s="6">
        <f t="shared" si="7"/>
        <v>44197</v>
      </c>
      <c r="K288" s="4">
        <v>13.0</v>
      </c>
      <c r="L288" s="4" t="s">
        <v>16</v>
      </c>
      <c r="M288" s="5">
        <f t="shared" si="8"/>
        <v>6.219959795</v>
      </c>
    </row>
    <row r="289">
      <c r="A289" s="7" t="s">
        <v>332</v>
      </c>
      <c r="B289" s="1">
        <v>68.0</v>
      </c>
      <c r="C289" s="8">
        <f t="shared" si="5"/>
        <v>10.93254655</v>
      </c>
      <c r="D289" s="1" t="s">
        <v>24</v>
      </c>
      <c r="E289" s="3" t="str">
        <f>IFERROR(__xludf.DUMMYFUNCTION("IFERROR(INDEX(IMPORTRANGE(""docs.google.com/spreadsheets/d/1Dz5m9yCjvG51SgZ1o2KfJUBBR9Y0WOI97noTgdya4Zs/edit#gid=709845608"", ""Game!$A$2:$P""), MATCH(A289,IMPORTRANGE(""docs.google.com/spreadsheets/d/1Dz5m9yCjvG51SgZ1o2KfJUBBR9Y0WOI97noTgdya4Zs/edit#gid="&amp;"709845608"", ""Game!$A$2:$A""),0),16),""Not Started"")"),"Not Started")</f>
        <v>Not Started</v>
      </c>
      <c r="F289" s="4" t="s">
        <v>20</v>
      </c>
      <c r="G289" s="9">
        <v>44197.0</v>
      </c>
      <c r="H289" s="4">
        <v>0.01</v>
      </c>
      <c r="I289" s="5">
        <f t="shared" si="2"/>
        <v>0.0001470588235</v>
      </c>
      <c r="J289" s="6">
        <f t="shared" si="7"/>
        <v>44197</v>
      </c>
      <c r="K289" s="4">
        <v>13.0</v>
      </c>
      <c r="L289" s="4" t="s">
        <v>16</v>
      </c>
      <c r="M289" s="5">
        <f t="shared" si="8"/>
        <v>6.219959795</v>
      </c>
    </row>
    <row r="290">
      <c r="A290" s="7" t="s">
        <v>333</v>
      </c>
      <c r="B290" s="1">
        <v>74.0</v>
      </c>
      <c r="C290" s="8">
        <f t="shared" si="5"/>
        <v>11.89718301</v>
      </c>
      <c r="D290" s="1" t="s">
        <v>24</v>
      </c>
      <c r="E290" s="3" t="str">
        <f>IFERROR(__xludf.DUMMYFUNCTION("IFERROR(INDEX(IMPORTRANGE(""docs.google.com/spreadsheets/d/1Dz5m9yCjvG51SgZ1o2KfJUBBR9Y0WOI97noTgdya4Zs/edit#gid=709845608"", ""Game!$A$2:$P""), MATCH(A290,IMPORTRANGE(""docs.google.com/spreadsheets/d/1Dz5m9yCjvG51SgZ1o2KfJUBBR9Y0WOI97noTgdya4Zs/edit#gid="&amp;"709845608"", ""Game!$A$2:$A""),0),16),""Not Started"")"),"Not Started")</f>
        <v>Not Started</v>
      </c>
      <c r="F290" s="4" t="s">
        <v>20</v>
      </c>
      <c r="G290" s="9">
        <v>44201.0</v>
      </c>
      <c r="H290" s="4">
        <v>47.0</v>
      </c>
      <c r="I290" s="5">
        <f t="shared" si="2"/>
        <v>0.6351351351</v>
      </c>
      <c r="J290" s="6">
        <f t="shared" si="7"/>
        <v>44201</v>
      </c>
      <c r="K290" s="4">
        <v>13.0</v>
      </c>
      <c r="L290" s="4" t="s">
        <v>16</v>
      </c>
      <c r="M290" s="5">
        <f t="shared" si="8"/>
        <v>6.219959795</v>
      </c>
    </row>
    <row r="291">
      <c r="A291" s="18" t="s">
        <v>334</v>
      </c>
      <c r="B291" s="14">
        <v>30.0</v>
      </c>
      <c r="C291" s="8">
        <f t="shared" si="5"/>
        <v>4.823182301</v>
      </c>
      <c r="D291" s="14" t="s">
        <v>67</v>
      </c>
      <c r="E291" s="3" t="s">
        <v>19</v>
      </c>
      <c r="F291" s="4" t="s">
        <v>20</v>
      </c>
      <c r="G291" s="16">
        <v>44201.0</v>
      </c>
      <c r="H291" s="15">
        <v>24.34</v>
      </c>
      <c r="I291" s="5">
        <f t="shared" si="2"/>
        <v>0.8113333333</v>
      </c>
      <c r="J291" s="6">
        <f t="shared" si="7"/>
        <v>44201</v>
      </c>
      <c r="K291" s="4">
        <v>13.0</v>
      </c>
      <c r="L291" s="4" t="s">
        <v>16</v>
      </c>
      <c r="M291" s="5">
        <f t="shared" si="8"/>
        <v>6.219959795</v>
      </c>
    </row>
    <row r="292">
      <c r="A292" s="19" t="s">
        <v>335</v>
      </c>
      <c r="B292" s="1">
        <v>109.0</v>
      </c>
      <c r="C292" s="8">
        <f t="shared" si="5"/>
        <v>17.52422903</v>
      </c>
      <c r="D292" s="1" t="s">
        <v>201</v>
      </c>
      <c r="E292" s="3" t="str">
        <f>IFERROR(__xludf.DUMMYFUNCTION("IFERROR(INDEX(IMPORTRANGE(""docs.google.com/spreadsheets/d/1Dz5m9yCjvG51SgZ1o2KfJUBBR9Y0WOI97noTgdya4Zs/edit#gid=709845608"", ""Game!$A$2:$P""), MATCH(A292,IMPORTRANGE(""docs.google.com/spreadsheets/d/1Dz5m9yCjvG51SgZ1o2KfJUBBR9Y0WOI97noTgdya4Zs/edit#gid="&amp;"709845608"", ""Game!$A$2:$A""),0),16),""Not Started"")"),"Not Started")</f>
        <v>Not Started</v>
      </c>
      <c r="F292" s="4" t="s">
        <v>20</v>
      </c>
      <c r="G292" s="9">
        <v>44201.0</v>
      </c>
      <c r="H292" s="4">
        <v>20.12</v>
      </c>
      <c r="I292" s="5">
        <f t="shared" si="2"/>
        <v>0.184587156</v>
      </c>
      <c r="J292" s="6">
        <f t="shared" si="7"/>
        <v>44201</v>
      </c>
      <c r="K292" s="4">
        <v>13.0</v>
      </c>
      <c r="L292" s="4" t="s">
        <v>16</v>
      </c>
      <c r="M292" s="5">
        <f t="shared" si="8"/>
        <v>6.219959795</v>
      </c>
    </row>
    <row r="293">
      <c r="A293" s="7" t="s">
        <v>336</v>
      </c>
      <c r="B293" s="1">
        <v>41.0</v>
      </c>
      <c r="C293" s="8">
        <f t="shared" si="5"/>
        <v>6.591682479</v>
      </c>
      <c r="D293" s="1" t="s">
        <v>18</v>
      </c>
      <c r="E293" s="3" t="s">
        <v>19</v>
      </c>
      <c r="F293" s="4" t="s">
        <v>20</v>
      </c>
      <c r="G293" s="9">
        <v>44201.0</v>
      </c>
      <c r="H293" s="4">
        <v>11.16</v>
      </c>
      <c r="I293" s="5">
        <f t="shared" si="2"/>
        <v>0.272195122</v>
      </c>
      <c r="J293" s="6">
        <f t="shared" si="7"/>
        <v>44201</v>
      </c>
      <c r="K293" s="4">
        <v>13.0</v>
      </c>
      <c r="L293" s="4" t="s">
        <v>16</v>
      </c>
      <c r="M293" s="5">
        <f t="shared" si="8"/>
        <v>6.219959795</v>
      </c>
    </row>
    <row r="294">
      <c r="A294" s="7" t="s">
        <v>337</v>
      </c>
      <c r="B294" s="1">
        <v>67.5</v>
      </c>
      <c r="C294" s="8">
        <f t="shared" si="5"/>
        <v>10.85216018</v>
      </c>
      <c r="D294" s="1" t="s">
        <v>194</v>
      </c>
      <c r="E294" s="3" t="s">
        <v>19</v>
      </c>
      <c r="F294" s="4" t="s">
        <v>20</v>
      </c>
      <c r="G294" s="9">
        <v>44309.0</v>
      </c>
      <c r="H294" s="4">
        <v>49.99</v>
      </c>
      <c r="I294" s="5">
        <f t="shared" si="2"/>
        <v>0.7405925926</v>
      </c>
      <c r="J294" s="6">
        <f t="shared" si="7"/>
        <v>44309</v>
      </c>
      <c r="K294" s="4">
        <v>13.0</v>
      </c>
      <c r="L294" s="4" t="s">
        <v>16</v>
      </c>
      <c r="M294" s="5">
        <f t="shared" si="8"/>
        <v>6.219959795</v>
      </c>
    </row>
    <row r="295">
      <c r="A295" s="28" t="s">
        <v>338</v>
      </c>
      <c r="B295" s="29">
        <v>12.5</v>
      </c>
      <c r="C295" s="30">
        <f t="shared" si="5"/>
        <v>2.009659292</v>
      </c>
      <c r="D295" s="29" t="s">
        <v>44</v>
      </c>
      <c r="E295" s="3" t="str">
        <f>IFERROR(__xludf.DUMMYFUNCTION("IFERROR(INDEX(IMPORTRANGE(""docs.google.com/spreadsheets/d/1Dz5m9yCjvG51SgZ1o2KfJUBBR9Y0WOI97noTgdya4Zs/edit#gid=709845608"", ""Game!$A$2:$P""), MATCH(A295,IMPORTRANGE(""docs.google.com/spreadsheets/d/1Dz5m9yCjvG51SgZ1o2KfJUBBR9Y0WOI97noTgdya4Zs/edit#gid="&amp;"709845608"", ""Game!$A$2:$A""),0),16),""Not Started"")"),"Not Started")</f>
        <v>Not Started</v>
      </c>
      <c r="F295" s="31" t="s">
        <v>20</v>
      </c>
      <c r="G295" s="32">
        <v>44317.0</v>
      </c>
      <c r="H295" s="31">
        <f>18.74+8.11</f>
        <v>26.85</v>
      </c>
      <c r="I295" s="30">
        <f t="shared" si="2"/>
        <v>2.148</v>
      </c>
      <c r="J295" s="33">
        <f t="shared" si="7"/>
        <v>44317</v>
      </c>
      <c r="K295" s="31">
        <v>13.0</v>
      </c>
      <c r="L295" s="31" t="s">
        <v>16</v>
      </c>
      <c r="M295" s="30">
        <f t="shared" si="8"/>
        <v>6.219959795</v>
      </c>
    </row>
    <row r="296">
      <c r="A296" s="7" t="s">
        <v>339</v>
      </c>
      <c r="B296" s="1">
        <v>57.5</v>
      </c>
      <c r="C296" s="8">
        <f t="shared" si="5"/>
        <v>9.244432744</v>
      </c>
      <c r="D296" s="1" t="s">
        <v>24</v>
      </c>
      <c r="E296" s="3" t="str">
        <f>IFERROR(__xludf.DUMMYFUNCTION("IFERROR(INDEX(IMPORTRANGE(""docs.google.com/spreadsheets/d/1Dz5m9yCjvG51SgZ1o2KfJUBBR9Y0WOI97noTgdya4Zs/edit#gid=709845608"", ""Game!$A$2:$P""), MATCH(A296,IMPORTRANGE(""docs.google.com/spreadsheets/d/1Dz5m9yCjvG51SgZ1o2KfJUBBR9Y0WOI97noTgdya4Zs/edit#gid="&amp;"709845608"", ""Game!$A$2:$A""),0),16),""Not Started"")"),"Not Started")</f>
        <v>Not Started</v>
      </c>
      <c r="F296" s="4" t="s">
        <v>20</v>
      </c>
      <c r="G296" s="9">
        <v>44367.0</v>
      </c>
      <c r="H296" s="4">
        <v>7.99</v>
      </c>
      <c r="I296" s="5">
        <f t="shared" si="2"/>
        <v>0.1389565217</v>
      </c>
      <c r="J296" s="6">
        <f t="shared" si="7"/>
        <v>44367</v>
      </c>
      <c r="K296" s="4">
        <v>13.0</v>
      </c>
      <c r="L296" s="4" t="s">
        <v>16</v>
      </c>
      <c r="M296" s="5">
        <f t="shared" si="8"/>
        <v>6.219959795</v>
      </c>
    </row>
    <row r="297">
      <c r="A297" s="4" t="s">
        <v>340</v>
      </c>
      <c r="B297" s="4">
        <v>12.0</v>
      </c>
      <c r="C297" s="8">
        <f t="shared" si="5"/>
        <v>1.929272921</v>
      </c>
      <c r="D297" s="1" t="s">
        <v>18</v>
      </c>
      <c r="E297" s="3" t="str">
        <f>IFERROR(__xludf.DUMMYFUNCTION("IFERROR(INDEX(IMPORTRANGE(""docs.google.com/spreadsheets/d/1Dz5m9yCjvG51SgZ1o2KfJUBBR9Y0WOI97noTgdya4Zs/edit#gid=709845608"", ""Game!$A$2:$P""), MATCH(A297,IMPORTRANGE(""docs.google.com/spreadsheets/d/1Dz5m9yCjvG51SgZ1o2KfJUBBR9Y0WOI97noTgdya4Zs/edit#gid="&amp;"709845608"", ""Game!$A$2:$A""),0),16),""Not Started"")"),"Not Started")</f>
        <v>Not Started</v>
      </c>
      <c r="F297" s="4" t="s">
        <v>20</v>
      </c>
      <c r="G297" s="9">
        <v>44481.0</v>
      </c>
      <c r="H297" s="4">
        <v>3.99</v>
      </c>
      <c r="I297" s="10">
        <f t="shared" si="2"/>
        <v>0.3325</v>
      </c>
      <c r="J297" s="11">
        <f t="shared" si="7"/>
        <v>44481</v>
      </c>
      <c r="K297" s="4">
        <v>13.0</v>
      </c>
      <c r="L297" s="4" t="s">
        <v>341</v>
      </c>
      <c r="M297" s="10">
        <f t="shared" si="8"/>
        <v>6.219959795</v>
      </c>
    </row>
    <row r="298">
      <c r="A298" s="4" t="s">
        <v>342</v>
      </c>
      <c r="B298" s="4">
        <v>84.0</v>
      </c>
      <c r="C298" s="8">
        <f t="shared" si="5"/>
        <v>13.50491044</v>
      </c>
      <c r="D298" s="4" t="s">
        <v>194</v>
      </c>
      <c r="E298" s="3" t="str">
        <f>IFERROR(__xludf.DUMMYFUNCTION("IFERROR(INDEX(IMPORTRANGE(""docs.google.com/spreadsheets/d/1Dz5m9yCjvG51SgZ1o2KfJUBBR9Y0WOI97noTgdya4Zs/edit#gid=709845608"", ""Game!$A$2:$P""), MATCH(A298,IMPORTRANGE(""docs.google.com/spreadsheets/d/1Dz5m9yCjvG51SgZ1o2KfJUBBR9Y0WOI97noTgdya4Zs/edit#gid="&amp;"709845608"", ""Game!$A$2:$A""),0),16),""Not Started"")"),"Compleat")</f>
        <v>Compleat</v>
      </c>
      <c r="F298" s="4" t="s">
        <v>20</v>
      </c>
      <c r="G298" s="9">
        <v>44546.0</v>
      </c>
      <c r="H298" s="34">
        <v>59.99</v>
      </c>
      <c r="I298" s="10">
        <f t="shared" si="2"/>
        <v>0.7141666667</v>
      </c>
      <c r="J298" s="11">
        <f t="shared" si="7"/>
        <v>44546</v>
      </c>
      <c r="K298" s="4">
        <v>13.0</v>
      </c>
      <c r="L298" s="4" t="s">
        <v>341</v>
      </c>
      <c r="M298" s="10">
        <f t="shared" si="8"/>
        <v>6.219959795</v>
      </c>
    </row>
    <row r="299">
      <c r="A299" s="7" t="s">
        <v>343</v>
      </c>
      <c r="B299" s="1">
        <v>30.0</v>
      </c>
      <c r="C299" s="8">
        <f t="shared" si="5"/>
        <v>4.823182301</v>
      </c>
      <c r="D299" s="1" t="s">
        <v>18</v>
      </c>
      <c r="E299" s="3" t="str">
        <f>IFERROR(__xludf.DUMMYFUNCTION("IFERROR(INDEX(IMPORTRANGE(""docs.google.com/spreadsheets/d/1Dz5m9yCjvG51SgZ1o2KfJUBBR9Y0WOI97noTgdya4Zs/edit#gid=709845608"", ""Game!$A$2:$P""), MATCH(A299,IMPORTRANGE(""docs.google.com/spreadsheets/d/1Dz5m9yCjvG51SgZ1o2KfJUBBR9Y0WOI97noTgdya4Zs/edit#gid="&amp;"709845608"", ""Game!$A$2:$A""),0),16),""Not Started"")"),"Compleat")</f>
        <v>Compleat</v>
      </c>
      <c r="F299" s="4" t="s">
        <v>20</v>
      </c>
      <c r="G299" s="12">
        <v>44552.0</v>
      </c>
      <c r="H299" s="4">
        <v>2.57</v>
      </c>
      <c r="I299" s="5">
        <f t="shared" si="2"/>
        <v>0.08566666667</v>
      </c>
      <c r="J299" s="6">
        <f t="shared" si="7"/>
        <v>44552</v>
      </c>
      <c r="K299" s="4">
        <v>13.0</v>
      </c>
      <c r="L299" s="4" t="s">
        <v>16</v>
      </c>
      <c r="M299" s="5">
        <f t="shared" si="8"/>
        <v>6.219959795</v>
      </c>
    </row>
    <row r="300">
      <c r="A300" s="7" t="s">
        <v>344</v>
      </c>
      <c r="B300" s="1">
        <v>25.0</v>
      </c>
      <c r="C300" s="8">
        <f t="shared" si="5"/>
        <v>4.019318584</v>
      </c>
      <c r="D300" s="1" t="s">
        <v>18</v>
      </c>
      <c r="E300" s="3" t="str">
        <f>IFERROR(__xludf.DUMMYFUNCTION("IFERROR(INDEX(IMPORTRANGE(""docs.google.com/spreadsheets/d/1Dz5m9yCjvG51SgZ1o2KfJUBBR9Y0WOI97noTgdya4Zs/edit#gid=709845608"", ""Game!$A$2:$P""), MATCH(A300,IMPORTRANGE(""docs.google.com/spreadsheets/d/1Dz5m9yCjvG51SgZ1o2KfJUBBR9Y0WOI97noTgdya4Zs/edit#gid="&amp;"709845608"", ""Game!$A$2:$A""),0),16),""Not Started"")"),"Compleat")</f>
        <v>Compleat</v>
      </c>
      <c r="F300" s="4" t="s">
        <v>20</v>
      </c>
      <c r="G300" s="12">
        <v>44561.0</v>
      </c>
      <c r="H300" s="4">
        <v>32.49</v>
      </c>
      <c r="I300" s="5">
        <f t="shared" si="2"/>
        <v>1.2996</v>
      </c>
      <c r="J300" s="6">
        <f t="shared" si="7"/>
        <v>44561</v>
      </c>
      <c r="K300" s="4">
        <v>13.0</v>
      </c>
      <c r="L300" s="4" t="s">
        <v>16</v>
      </c>
      <c r="M300" s="5">
        <f t="shared" si="8"/>
        <v>6.219959795</v>
      </c>
    </row>
    <row r="301">
      <c r="A301" s="7" t="s">
        <v>345</v>
      </c>
      <c r="B301" s="1">
        <v>72.0</v>
      </c>
      <c r="C301" s="8">
        <f t="shared" si="5"/>
        <v>11.57563752</v>
      </c>
      <c r="D301" s="1" t="s">
        <v>34</v>
      </c>
      <c r="E301" s="3" t="str">
        <f>IFERROR(__xludf.DUMMYFUNCTION("IFERROR(INDEX(IMPORTRANGE(""docs.google.com/spreadsheets/d/1Dz5m9yCjvG51SgZ1o2KfJUBBR9Y0WOI97noTgdya4Zs/edit#gid=709845608"", ""Game!$A$2:$P""), MATCH(A301,IMPORTRANGE(""docs.google.com/spreadsheets/d/1Dz5m9yCjvG51SgZ1o2KfJUBBR9Y0WOI97noTgdya4Zs/edit#gid="&amp;"709845608"", ""Game!$A$2:$A""),0),16),""Not Started"")"),"Not Started")</f>
        <v>Not Started</v>
      </c>
      <c r="F301" s="4" t="s">
        <v>20</v>
      </c>
      <c r="G301" s="9">
        <v>44566.0</v>
      </c>
      <c r="H301" s="4">
        <v>11.14</v>
      </c>
      <c r="I301" s="5">
        <f t="shared" si="2"/>
        <v>0.1547222222</v>
      </c>
      <c r="J301" s="6">
        <f t="shared" si="7"/>
        <v>44566</v>
      </c>
      <c r="K301" s="4">
        <v>18.0</v>
      </c>
      <c r="L301" s="4" t="s">
        <v>16</v>
      </c>
      <c r="M301" s="5">
        <f t="shared" si="8"/>
        <v>6.219959795</v>
      </c>
    </row>
    <row r="302">
      <c r="A302" s="7" t="s">
        <v>346</v>
      </c>
      <c r="B302" s="1">
        <v>55.0</v>
      </c>
      <c r="C302" s="8">
        <f t="shared" si="5"/>
        <v>8.842500886</v>
      </c>
      <c r="D302" s="1" t="s">
        <v>18</v>
      </c>
      <c r="E302" s="3" t="str">
        <f>IFERROR(__xludf.DUMMYFUNCTION("IFERROR(INDEX(IMPORTRANGE(""docs.google.com/spreadsheets/d/1Dz5m9yCjvG51SgZ1o2KfJUBBR9Y0WOI97noTgdya4Zs/edit#gid=709845608"", ""Game!$A$2:$P""), MATCH(A302,IMPORTRANGE(""docs.google.com/spreadsheets/d/1Dz5m9yCjvG51SgZ1o2KfJUBBR9Y0WOI97noTgdya4Zs/edit#gid="&amp;"709845608"", ""Game!$A$2:$A""),0),16),""Not Started"")"),"Compleat")</f>
        <v>Compleat</v>
      </c>
      <c r="F302" s="4" t="s">
        <v>20</v>
      </c>
      <c r="G302" s="9">
        <v>44566.0</v>
      </c>
      <c r="H302" s="4">
        <v>5.99</v>
      </c>
      <c r="I302" s="5">
        <f t="shared" si="2"/>
        <v>0.1089090909</v>
      </c>
      <c r="J302" s="6">
        <f t="shared" si="7"/>
        <v>44566</v>
      </c>
      <c r="K302" s="4">
        <v>18.0</v>
      </c>
      <c r="L302" s="4" t="s">
        <v>16</v>
      </c>
      <c r="M302" s="5">
        <f t="shared" si="8"/>
        <v>6.219959795</v>
      </c>
    </row>
    <row r="303">
      <c r="A303" s="7" t="s">
        <v>347</v>
      </c>
      <c r="B303" s="1">
        <v>138.0</v>
      </c>
      <c r="C303" s="8">
        <f t="shared" si="5"/>
        <v>22.18663859</v>
      </c>
      <c r="D303" s="1" t="s">
        <v>194</v>
      </c>
      <c r="E303" s="3" t="str">
        <f>IFERROR(__xludf.DUMMYFUNCTION("IFERROR(INDEX(IMPORTRANGE(""docs.google.com/spreadsheets/d/1Dz5m9yCjvG51SgZ1o2KfJUBBR9Y0WOI97noTgdya4Zs/edit#gid=709845608"", ""Game!$A$2:$P""), MATCH(A303,IMPORTRANGE(""docs.google.com/spreadsheets/d/1Dz5m9yCjvG51SgZ1o2KfJUBBR9Y0WOI97noTgdya4Zs/edit#gid="&amp;"709845608"", ""Game!$A$2:$A""),0),16),""Not Started"")"),"Compleat")</f>
        <v>Compleat</v>
      </c>
      <c r="F303" s="4" t="s">
        <v>20</v>
      </c>
      <c r="G303" s="9">
        <v>44566.0</v>
      </c>
      <c r="H303" s="4">
        <v>15.99</v>
      </c>
      <c r="I303" s="5">
        <f t="shared" si="2"/>
        <v>0.1158695652</v>
      </c>
      <c r="J303" s="6">
        <f t="shared" si="7"/>
        <v>44566</v>
      </c>
      <c r="K303" s="4">
        <v>18.0</v>
      </c>
      <c r="L303" s="4" t="s">
        <v>16</v>
      </c>
      <c r="M303" s="5">
        <f t="shared" si="8"/>
        <v>6.219959795</v>
      </c>
    </row>
    <row r="304">
      <c r="A304" s="7" t="s">
        <v>348</v>
      </c>
      <c r="B304" s="1">
        <v>32.0</v>
      </c>
      <c r="C304" s="8">
        <f t="shared" si="5"/>
        <v>5.144727788</v>
      </c>
      <c r="D304" s="1" t="s">
        <v>27</v>
      </c>
      <c r="E304" s="3" t="str">
        <f>IFERROR(__xludf.DUMMYFUNCTION("IFERROR(INDEX(IMPORTRANGE(""docs.google.com/spreadsheets/d/1Dz5m9yCjvG51SgZ1o2KfJUBBR9Y0WOI97noTgdya4Zs/edit#gid=709845608"", ""Game!$A$2:$P""), MATCH(A304,IMPORTRANGE(""docs.google.com/spreadsheets/d/1Dz5m9yCjvG51SgZ1o2KfJUBBR9Y0WOI97noTgdya4Zs/edit#gid="&amp;"709845608"", ""Game!$A$2:$A""),0),16),""Not Started"")"),"Not Started")</f>
        <v>Not Started</v>
      </c>
      <c r="F304" s="4" t="s">
        <v>20</v>
      </c>
      <c r="G304" s="9">
        <v>44566.0</v>
      </c>
      <c r="H304" s="17">
        <v>7.13</v>
      </c>
      <c r="I304" s="5">
        <f t="shared" si="2"/>
        <v>0.2228125</v>
      </c>
      <c r="J304" s="6">
        <f t="shared" si="7"/>
        <v>44566</v>
      </c>
      <c r="K304" s="4">
        <v>18.0</v>
      </c>
      <c r="L304" s="4" t="s">
        <v>16</v>
      </c>
      <c r="M304" s="5">
        <f t="shared" si="8"/>
        <v>6.219959795</v>
      </c>
    </row>
    <row r="305">
      <c r="A305" s="7" t="s">
        <v>349</v>
      </c>
      <c r="B305" s="1">
        <v>36.0</v>
      </c>
      <c r="C305" s="8">
        <f t="shared" si="5"/>
        <v>5.787818762</v>
      </c>
      <c r="D305" s="1" t="s">
        <v>27</v>
      </c>
      <c r="E305" s="3" t="str">
        <f>IFERROR(__xludf.DUMMYFUNCTION("IFERROR(INDEX(IMPORTRANGE(""docs.google.com/spreadsheets/d/1Dz5m9yCjvG51SgZ1o2KfJUBBR9Y0WOI97noTgdya4Zs/edit#gid=709845608"", ""Game!$A$2:$P""), MATCH(A305,IMPORTRANGE(""docs.google.com/spreadsheets/d/1Dz5m9yCjvG51SgZ1o2KfJUBBR9Y0WOI97noTgdya4Zs/edit#gid="&amp;"709845608"", ""Game!$A$2:$A""),0),16),""Not Started"")"),"Not Started")</f>
        <v>Not Started</v>
      </c>
      <c r="F305" s="4" t="s">
        <v>20</v>
      </c>
      <c r="G305" s="9">
        <v>44566.0</v>
      </c>
      <c r="H305" s="17">
        <v>7.13</v>
      </c>
      <c r="I305" s="5">
        <f t="shared" si="2"/>
        <v>0.1980555556</v>
      </c>
      <c r="J305" s="6">
        <f t="shared" si="7"/>
        <v>44566</v>
      </c>
      <c r="K305" s="4">
        <v>18.0</v>
      </c>
      <c r="L305" s="4" t="s">
        <v>16</v>
      </c>
      <c r="M305" s="5">
        <f t="shared" si="8"/>
        <v>6.219959795</v>
      </c>
    </row>
    <row r="306">
      <c r="A306" s="7" t="s">
        <v>350</v>
      </c>
      <c r="B306" s="1">
        <v>43.0</v>
      </c>
      <c r="C306" s="8">
        <f t="shared" si="5"/>
        <v>6.913227965</v>
      </c>
      <c r="D306" s="1" t="s">
        <v>27</v>
      </c>
      <c r="E306" s="3" t="str">
        <f>IFERROR(__xludf.DUMMYFUNCTION("IFERROR(INDEX(IMPORTRANGE(""docs.google.com/spreadsheets/d/1Dz5m9yCjvG51SgZ1o2KfJUBBR9Y0WOI97noTgdya4Zs/edit#gid=709845608"", ""Game!$A$2:$P""), MATCH(A306,IMPORTRANGE(""docs.google.com/spreadsheets/d/1Dz5m9yCjvG51SgZ1o2KfJUBBR9Y0WOI97noTgdya4Zs/edit#gid="&amp;"709845608"", ""Game!$A$2:$A""),0),16),""Not Started"")"),"Compleat")</f>
        <v>Compleat</v>
      </c>
      <c r="F306" s="4" t="s">
        <v>20</v>
      </c>
      <c r="G306" s="9">
        <v>44566.0</v>
      </c>
      <c r="H306" s="17">
        <v>7.13</v>
      </c>
      <c r="I306" s="5">
        <f t="shared" si="2"/>
        <v>0.1658139535</v>
      </c>
      <c r="J306" s="6">
        <f t="shared" si="7"/>
        <v>44566</v>
      </c>
      <c r="K306" s="4">
        <v>18.0</v>
      </c>
      <c r="L306" s="4" t="s">
        <v>16</v>
      </c>
      <c r="M306" s="5">
        <f t="shared" si="8"/>
        <v>6.219959795</v>
      </c>
    </row>
    <row r="307">
      <c r="A307" s="7" t="s">
        <v>351</v>
      </c>
      <c r="B307" s="1">
        <v>38.0</v>
      </c>
      <c r="C307" s="8">
        <f t="shared" si="5"/>
        <v>6.109364248</v>
      </c>
      <c r="D307" s="1" t="s">
        <v>24</v>
      </c>
      <c r="E307" s="3" t="str">
        <f>IFERROR(__xludf.DUMMYFUNCTION("IFERROR(INDEX(IMPORTRANGE(""docs.google.com/spreadsheets/d/1Dz5m9yCjvG51SgZ1o2KfJUBBR9Y0WOI97noTgdya4Zs/edit#gid=709845608"", ""Game!$A$2:$P""), MATCH(A307,IMPORTRANGE(""docs.google.com/spreadsheets/d/1Dz5m9yCjvG51SgZ1o2KfJUBBR9Y0WOI97noTgdya4Zs/edit#gid="&amp;"709845608"", ""Game!$A$2:$A""),0),16),""Not Started"")"),"Compleat")</f>
        <v>Compleat</v>
      </c>
      <c r="F307" s="4" t="s">
        <v>20</v>
      </c>
      <c r="G307" s="9">
        <v>44566.0</v>
      </c>
      <c r="H307" s="4">
        <v>36.48</v>
      </c>
      <c r="I307" s="5">
        <f t="shared" si="2"/>
        <v>0.96</v>
      </c>
      <c r="J307" s="6">
        <f t="shared" si="7"/>
        <v>44566</v>
      </c>
      <c r="K307" s="4">
        <v>18.0</v>
      </c>
      <c r="L307" s="4" t="s">
        <v>16</v>
      </c>
      <c r="M307" s="5">
        <f t="shared" si="8"/>
        <v>6.219959795</v>
      </c>
    </row>
    <row r="308">
      <c r="A308" s="7" t="s">
        <v>352</v>
      </c>
      <c r="B308" s="1">
        <v>26.0</v>
      </c>
      <c r="C308" s="8">
        <f t="shared" si="5"/>
        <v>4.180091328</v>
      </c>
      <c r="D308" s="1" t="s">
        <v>24</v>
      </c>
      <c r="E308" s="3" t="str">
        <f>IFERROR(__xludf.DUMMYFUNCTION("IFERROR(INDEX(IMPORTRANGE(""docs.google.com/spreadsheets/d/1Dz5m9yCjvG51SgZ1o2KfJUBBR9Y0WOI97noTgdya4Zs/edit#gid=709845608"", ""Game!$A$2:$P""), MATCH(A308,IMPORTRANGE(""docs.google.com/spreadsheets/d/1Dz5m9yCjvG51SgZ1o2KfJUBBR9Y0WOI97noTgdya4Zs/edit#gid="&amp;"709845608"", ""Game!$A$2:$A""),0),16),""UnCompleat"")"),"UnCompleat")</f>
        <v>UnCompleat</v>
      </c>
      <c r="F308" s="4" t="s">
        <v>15</v>
      </c>
      <c r="G308" s="9">
        <v>44566.0</v>
      </c>
      <c r="H308" s="17">
        <v>2.39</v>
      </c>
      <c r="I308" s="5">
        <f t="shared" si="2"/>
        <v>0.09192307692</v>
      </c>
      <c r="J308" s="6">
        <f t="shared" si="7"/>
        <v>44566</v>
      </c>
      <c r="K308" s="4">
        <v>18.0</v>
      </c>
      <c r="L308" s="4" t="s">
        <v>16</v>
      </c>
      <c r="M308" s="5">
        <f t="shared" si="8"/>
        <v>6.219959795</v>
      </c>
    </row>
    <row r="309">
      <c r="A309" s="7" t="s">
        <v>353</v>
      </c>
      <c r="B309" s="1">
        <v>70.0</v>
      </c>
      <c r="C309" s="8">
        <f t="shared" si="5"/>
        <v>11.25409204</v>
      </c>
      <c r="D309" s="1" t="s">
        <v>295</v>
      </c>
      <c r="E309" s="3" t="str">
        <f>IFERROR(__xludf.DUMMYFUNCTION("IFERROR(INDEX(IMPORTRANGE(""docs.google.com/spreadsheets/d/1Dz5m9yCjvG51SgZ1o2KfJUBBR9Y0WOI97noTgdya4Zs/edit#gid=709845608"", ""Game!$A$2:$P""), MATCH(A309,IMPORTRANGE(""docs.google.com/spreadsheets/d/1Dz5m9yCjvG51SgZ1o2KfJUBBR9Y0WOI97noTgdya4Zs/edit#gid="&amp;"709845608"", ""Game!$A$2:$A""),0),16),""UnCompleat"")"),"UnCompleat")</f>
        <v>UnCompleat</v>
      </c>
      <c r="F309" s="4" t="s">
        <v>20</v>
      </c>
      <c r="G309" s="9">
        <v>44592.0</v>
      </c>
      <c r="H309" s="17">
        <v>24.95</v>
      </c>
      <c r="I309" s="5">
        <f t="shared" si="2"/>
        <v>0.3564285714</v>
      </c>
      <c r="J309" s="6">
        <f t="shared" si="7"/>
        <v>44592</v>
      </c>
      <c r="K309" s="4">
        <v>18.0</v>
      </c>
      <c r="L309" s="4" t="s">
        <v>16</v>
      </c>
      <c r="M309" s="5">
        <f t="shared" si="8"/>
        <v>6.219959795</v>
      </c>
    </row>
    <row r="310">
      <c r="A310" s="7" t="s">
        <v>354</v>
      </c>
      <c r="B310" s="1">
        <v>42.0</v>
      </c>
      <c r="C310" s="8">
        <f t="shared" si="5"/>
        <v>6.752455222</v>
      </c>
      <c r="D310" s="1" t="s">
        <v>355</v>
      </c>
      <c r="E310" s="3" t="str">
        <f>IFERROR(__xludf.DUMMYFUNCTION("IFERROR(INDEX(IMPORTRANGE(""docs.google.com/spreadsheets/d/1Dz5m9yCjvG51SgZ1o2KfJUBBR9Y0WOI97noTgdya4Zs/edit#gid=709845608"", ""Game!$A$2:$P""), MATCH(A310,IMPORTRANGE(""docs.google.com/spreadsheets/d/1Dz5m9yCjvG51SgZ1o2KfJUBBR9Y0WOI97noTgdya4Zs/edit#gid="&amp;"709845608"", ""Game!$A$2:$A""),0),16),""Not Started"")"),"Compleat")</f>
        <v>Compleat</v>
      </c>
      <c r="F310" s="4" t="s">
        <v>20</v>
      </c>
      <c r="G310" s="9">
        <v>44638.0</v>
      </c>
      <c r="H310" s="4">
        <v>19.49</v>
      </c>
      <c r="I310" s="5">
        <f t="shared" si="2"/>
        <v>0.464047619</v>
      </c>
      <c r="J310" s="6">
        <f t="shared" si="7"/>
        <v>44638</v>
      </c>
      <c r="K310" s="4">
        <v>18.0</v>
      </c>
      <c r="L310" s="4" t="s">
        <v>16</v>
      </c>
      <c r="M310" s="5">
        <f t="shared" si="8"/>
        <v>6.219959795</v>
      </c>
    </row>
    <row r="311">
      <c r="A311" s="7" t="s">
        <v>356</v>
      </c>
      <c r="B311" s="1">
        <v>38.0</v>
      </c>
      <c r="C311" s="8">
        <f t="shared" si="5"/>
        <v>6.109364248</v>
      </c>
      <c r="D311" s="1" t="s">
        <v>18</v>
      </c>
      <c r="E311" s="3" t="str">
        <f>IFERROR(__xludf.DUMMYFUNCTION("IFERROR(INDEX(IMPORTRANGE(""docs.google.com/spreadsheets/d/1Dz5m9yCjvG51SgZ1o2KfJUBBR9Y0WOI97noTgdya4Zs/edit#gid=709845608"", ""Game!$A$2:$P""), MATCH(A311,IMPORTRANGE(""docs.google.com/spreadsheets/d/1Dz5m9yCjvG51SgZ1o2KfJUBBR9Y0WOI97noTgdya4Zs/edit#gid="&amp;"709845608"", ""Game!$A$2:$A""),0),16),""Not Started"")"),"Compleat")</f>
        <v>Compleat</v>
      </c>
      <c r="F311" s="4" t="s">
        <v>20</v>
      </c>
      <c r="G311" s="9">
        <v>44644.0</v>
      </c>
      <c r="H311" s="4">
        <v>49.99</v>
      </c>
      <c r="I311" s="5">
        <f t="shared" si="2"/>
        <v>1.315526316</v>
      </c>
      <c r="J311" s="6">
        <f t="shared" si="7"/>
        <v>44644</v>
      </c>
      <c r="K311" s="4">
        <v>18.0</v>
      </c>
      <c r="L311" s="4" t="s">
        <v>16</v>
      </c>
      <c r="M311" s="5">
        <f t="shared" si="8"/>
        <v>6.219959795</v>
      </c>
    </row>
    <row r="312">
      <c r="A312" s="7" t="s">
        <v>357</v>
      </c>
      <c r="B312" s="1">
        <v>8.0</v>
      </c>
      <c r="C312" s="8">
        <f t="shared" si="5"/>
        <v>1.286181947</v>
      </c>
      <c r="D312" s="1" t="s">
        <v>67</v>
      </c>
      <c r="E312" s="3" t="str">
        <f>IFERROR(__xludf.DUMMYFUNCTION("IFERROR(INDEX(IMPORTRANGE(""docs.google.com/spreadsheets/d/1Dz5m9yCjvG51SgZ1o2KfJUBBR9Y0WOI97noTgdya4Zs/edit#gid=709845608"", ""Game!$A$2:$P""), MATCH(A312,IMPORTRANGE(""docs.google.com/spreadsheets/d/1Dz5m9yCjvG51SgZ1o2KfJUBBR9Y0WOI97noTgdya4Zs/edit#gid="&amp;"709845608"", ""Game!$A$2:$A""),0),16),""Not Started"")"),"Compleat")</f>
        <v>Compleat</v>
      </c>
      <c r="F312" s="4" t="s">
        <v>20</v>
      </c>
      <c r="G312" s="9">
        <v>44762.0</v>
      </c>
      <c r="H312" s="4">
        <v>23.99</v>
      </c>
      <c r="I312" s="5">
        <f t="shared" si="2"/>
        <v>2.99875</v>
      </c>
      <c r="J312" s="6">
        <f t="shared" si="7"/>
        <v>44762</v>
      </c>
      <c r="K312" s="4">
        <v>18.0</v>
      </c>
      <c r="L312" s="4" t="s">
        <v>16</v>
      </c>
      <c r="M312" s="5">
        <f t="shared" si="8"/>
        <v>6.219959795</v>
      </c>
    </row>
    <row r="313">
      <c r="A313" s="7" t="s">
        <v>358</v>
      </c>
      <c r="B313" s="1">
        <v>43.0</v>
      </c>
      <c r="C313" s="8">
        <f t="shared" si="5"/>
        <v>6.913227965</v>
      </c>
      <c r="D313" s="1" t="s">
        <v>18</v>
      </c>
      <c r="E313" s="3" t="str">
        <f>IFERROR(__xludf.DUMMYFUNCTION("IFERROR(INDEX(IMPORTRANGE(""docs.google.com/spreadsheets/d/1Dz5m9yCjvG51SgZ1o2KfJUBBR9Y0WOI97noTgdya4Zs/edit#gid=709845608"", ""Game!$A$2:$P""), MATCH(A313,IMPORTRANGE(""docs.google.com/spreadsheets/d/1Dz5m9yCjvG51SgZ1o2KfJUBBR9Y0WOI97noTgdya4Zs/edit#gid="&amp;"709845608"", ""Game!$A$2:$A""),0),16),""Not Started"")"),"Compleat")</f>
        <v>Compleat</v>
      </c>
      <c r="F313" s="4" t="s">
        <v>20</v>
      </c>
      <c r="G313" s="9">
        <v>44785.0</v>
      </c>
      <c r="H313" s="4">
        <v>49.99</v>
      </c>
      <c r="I313" s="5">
        <f t="shared" si="2"/>
        <v>1.16255814</v>
      </c>
      <c r="J313" s="6">
        <f t="shared" si="7"/>
        <v>44785</v>
      </c>
      <c r="K313" s="4">
        <v>18.0</v>
      </c>
      <c r="L313" s="4" t="s">
        <v>16</v>
      </c>
      <c r="M313" s="5">
        <f t="shared" si="8"/>
        <v>6.219959795</v>
      </c>
    </row>
    <row r="314">
      <c r="A314" s="7" t="s">
        <v>359</v>
      </c>
      <c r="B314" s="1">
        <v>25.0</v>
      </c>
      <c r="C314" s="8">
        <f t="shared" si="5"/>
        <v>4.019318584</v>
      </c>
      <c r="D314" s="1" t="s">
        <v>295</v>
      </c>
      <c r="E314" s="3" t="str">
        <f>IFERROR(__xludf.DUMMYFUNCTION("IFERROR(INDEX(IMPORTRANGE(""docs.google.com/spreadsheets/d/1Dz5m9yCjvG51SgZ1o2KfJUBBR9Y0WOI97noTgdya4Zs/edit#gid=709845608"", ""Game!$A$2:$P""), MATCH(A314,IMPORTRANGE(""docs.google.com/spreadsheets/d/1Dz5m9yCjvG51SgZ1o2KfJUBBR9Y0WOI97noTgdya4Zs/edit#gid="&amp;"709845608"", ""Game!$A$2:$A""),0),16),""Not Started"")"),"Compleat")</f>
        <v>Compleat</v>
      </c>
      <c r="F314" s="4" t="s">
        <v>20</v>
      </c>
      <c r="G314" s="9">
        <v>44816.0</v>
      </c>
      <c r="H314" s="17">
        <v>44.99</v>
      </c>
      <c r="I314" s="5">
        <f t="shared" si="2"/>
        <v>1.7996</v>
      </c>
      <c r="J314" s="6">
        <f t="shared" si="7"/>
        <v>44816</v>
      </c>
      <c r="K314" s="4">
        <v>18.0</v>
      </c>
      <c r="L314" s="4" t="s">
        <v>16</v>
      </c>
      <c r="M314" s="5">
        <f t="shared" si="8"/>
        <v>6.219959795</v>
      </c>
    </row>
    <row r="315">
      <c r="A315" s="7" t="s">
        <v>360</v>
      </c>
      <c r="B315" s="1">
        <v>23.0</v>
      </c>
      <c r="C315" s="8">
        <f t="shared" si="5"/>
        <v>3.697773098</v>
      </c>
      <c r="D315" s="1" t="s">
        <v>109</v>
      </c>
      <c r="E315" s="3" t="str">
        <f>IFERROR(__xludf.DUMMYFUNCTION("IFERROR(INDEX(IMPORTRANGE(""docs.google.com/spreadsheets/d/1Dz5m9yCjvG51SgZ1o2KfJUBBR9Y0WOI97noTgdya4Zs/edit#gid=709845608"", ""Game!$A$2:$P""), MATCH(A315,IMPORTRANGE(""docs.google.com/spreadsheets/d/1Dz5m9yCjvG51SgZ1o2KfJUBBR9Y0WOI97noTgdya4Zs/edit#gid="&amp;"709845608"", ""Game!$A$2:$A""),0),16),""Not Started"")"),"Not Started")</f>
        <v>Not Started</v>
      </c>
      <c r="F315" s="4" t="s">
        <v>20</v>
      </c>
      <c r="G315" s="9">
        <v>44824.0</v>
      </c>
      <c r="H315" s="4">
        <v>30.99</v>
      </c>
      <c r="I315" s="5">
        <f t="shared" si="2"/>
        <v>1.347391304</v>
      </c>
      <c r="J315" s="6">
        <f t="shared" si="7"/>
        <v>44824</v>
      </c>
      <c r="K315" s="4">
        <v>18.0</v>
      </c>
      <c r="L315" s="4" t="s">
        <v>16</v>
      </c>
      <c r="M315" s="5">
        <f t="shared" si="8"/>
        <v>6.219959795</v>
      </c>
    </row>
    <row r="316">
      <c r="A316" s="7" t="s">
        <v>361</v>
      </c>
      <c r="B316" s="1">
        <v>236.0</v>
      </c>
      <c r="C316" s="8">
        <f t="shared" si="5"/>
        <v>37.94236744</v>
      </c>
      <c r="D316" s="1" t="s">
        <v>194</v>
      </c>
      <c r="E316" s="3" t="str">
        <f>IFERROR(__xludf.DUMMYFUNCTION("IFERROR(INDEX(IMPORTRANGE(""docs.google.com/spreadsheets/d/1Dz5m9yCjvG51SgZ1o2KfJUBBR9Y0WOI97noTgdya4Zs/edit#gid=709845608"", ""Game!$A$2:$P""), MATCH(A316,IMPORTRANGE(""docs.google.com/spreadsheets/d/1Dz5m9yCjvG51SgZ1o2KfJUBBR9Y0WOI97noTgdya4Zs/edit#gid="&amp;"709845608"", ""Game!$A$2:$A""),0),16),""Not Started"")"),"Compleat")</f>
        <v>Compleat</v>
      </c>
      <c r="F316" s="4" t="s">
        <v>20</v>
      </c>
      <c r="G316" s="12">
        <v>44855.0</v>
      </c>
      <c r="H316" s="4">
        <v>49.99</v>
      </c>
      <c r="I316" s="5">
        <f t="shared" si="2"/>
        <v>0.2118220339</v>
      </c>
      <c r="J316" s="6">
        <f t="shared" si="7"/>
        <v>44855</v>
      </c>
      <c r="K316" s="4">
        <v>18.0</v>
      </c>
      <c r="L316" s="4" t="s">
        <v>16</v>
      </c>
      <c r="M316" s="5">
        <f t="shared" si="8"/>
        <v>6.219959795</v>
      </c>
    </row>
    <row r="317">
      <c r="A317" s="7" t="s">
        <v>362</v>
      </c>
      <c r="B317" s="1">
        <v>46.0</v>
      </c>
      <c r="C317" s="8">
        <f t="shared" si="5"/>
        <v>7.395546195</v>
      </c>
      <c r="D317" s="1" t="s">
        <v>194</v>
      </c>
      <c r="E317" s="3" t="str">
        <f>IFERROR(__xludf.DUMMYFUNCTION("IFERROR(INDEX(IMPORTRANGE(""docs.google.com/spreadsheets/d/1Dz5m9yCjvG51SgZ1o2KfJUBBR9Y0WOI97noTgdya4Zs/edit#gid=709845608"", ""Game!$A$2:$P""), MATCH(A317,IMPORTRANGE(""docs.google.com/spreadsheets/d/1Dz5m9yCjvG51SgZ1o2KfJUBBR9Y0WOI97noTgdya4Zs/edit#gid="&amp;"709845608"", ""Game!$A$2:$A""),0),16),""Not Started"")"),"Compleat")</f>
        <v>Compleat</v>
      </c>
      <c r="F317" s="4" t="s">
        <v>20</v>
      </c>
      <c r="G317" s="12">
        <v>44908.0</v>
      </c>
      <c r="H317" s="4">
        <v>39.99</v>
      </c>
      <c r="I317" s="5">
        <f t="shared" si="2"/>
        <v>0.8693478261</v>
      </c>
      <c r="J317" s="6">
        <f t="shared" si="7"/>
        <v>44908</v>
      </c>
      <c r="K317" s="4">
        <v>18.0</v>
      </c>
      <c r="L317" s="4" t="s">
        <v>16</v>
      </c>
      <c r="M317" s="5">
        <f t="shared" si="8"/>
        <v>6.219959795</v>
      </c>
    </row>
    <row r="318">
      <c r="A318" s="18" t="s">
        <v>363</v>
      </c>
      <c r="B318" s="14">
        <v>67.0</v>
      </c>
      <c r="C318" s="8">
        <f t="shared" si="5"/>
        <v>10.77177381</v>
      </c>
      <c r="D318" s="14" t="s">
        <v>44</v>
      </c>
      <c r="E318" s="3" t="str">
        <f>IFERROR(__xludf.DUMMYFUNCTION("IFERROR(INDEX(IMPORTRANGE(""docs.google.com/spreadsheets/d/1Dz5m9yCjvG51SgZ1o2KfJUBBR9Y0WOI97noTgdya4Zs/edit#gid=709845608"", ""Game!$A$2:$P""), MATCH(A318,IMPORTRANGE(""docs.google.com/spreadsheets/d/1Dz5m9yCjvG51SgZ1o2KfJUBBR9Y0WOI97noTgdya4Zs/edit#gid="&amp;"709845608"", ""Game!$A$2:$A""),0),16),""Not Started"")"),"Not Started")</f>
        <v>Not Started</v>
      </c>
      <c r="F318" s="4" t="s">
        <v>20</v>
      </c>
      <c r="G318" s="16">
        <v>44945.0</v>
      </c>
      <c r="H318" s="15">
        <v>3.74</v>
      </c>
      <c r="I318" s="5">
        <f t="shared" si="2"/>
        <v>0.05582089552</v>
      </c>
      <c r="J318" s="6">
        <f t="shared" si="7"/>
        <v>44945</v>
      </c>
      <c r="K318" s="4">
        <v>24.0</v>
      </c>
      <c r="L318" s="4" t="s">
        <v>16</v>
      </c>
      <c r="M318" s="5">
        <f t="shared" si="8"/>
        <v>6.219959795</v>
      </c>
    </row>
    <row r="319">
      <c r="A319" s="7" t="s">
        <v>364</v>
      </c>
      <c r="B319" s="1">
        <v>123.0</v>
      </c>
      <c r="C319" s="8">
        <f t="shared" si="5"/>
        <v>19.77504744</v>
      </c>
      <c r="D319" s="1" t="s">
        <v>194</v>
      </c>
      <c r="E319" s="3" t="str">
        <f>IFERROR(__xludf.DUMMYFUNCTION("IFERROR(INDEX(IMPORTRANGE(""docs.google.com/spreadsheets/d/1Dz5m9yCjvG51SgZ1o2KfJUBBR9Y0WOI97noTgdya4Zs/edit#gid=709845608"", ""Game!$A$2:$P""), MATCH(A319,IMPORTRANGE(""docs.google.com/spreadsheets/d/1Dz5m9yCjvG51SgZ1o2KfJUBBR9Y0WOI97noTgdya4Zs/edit#gid="&amp;"709845608"", ""Game!$A$2:$A""),0),16),""Not Started"")"),"Compleat")</f>
        <v>Compleat</v>
      </c>
      <c r="F319" s="4" t="s">
        <v>20</v>
      </c>
      <c r="G319" s="9">
        <v>44945.0</v>
      </c>
      <c r="H319" s="4">
        <v>17.99</v>
      </c>
      <c r="I319" s="5">
        <f t="shared" si="2"/>
        <v>0.1462601626</v>
      </c>
      <c r="J319" s="6">
        <f t="shared" si="7"/>
        <v>44945</v>
      </c>
      <c r="K319" s="4">
        <v>24.0</v>
      </c>
      <c r="L319" s="4" t="s">
        <v>16</v>
      </c>
      <c r="M319" s="5">
        <f t="shared" si="8"/>
        <v>6.219959795</v>
      </c>
    </row>
    <row r="320">
      <c r="A320" s="7" t="s">
        <v>365</v>
      </c>
      <c r="B320" s="1">
        <v>70.0</v>
      </c>
      <c r="C320" s="8">
        <f t="shared" si="5"/>
        <v>11.25409204</v>
      </c>
      <c r="D320" s="1" t="s">
        <v>194</v>
      </c>
      <c r="E320" s="3" t="str">
        <f>IFERROR(__xludf.DUMMYFUNCTION("IFERROR(INDEX(IMPORTRANGE(""docs.google.com/spreadsheets/d/1Dz5m9yCjvG51SgZ1o2KfJUBBR9Y0WOI97noTgdya4Zs/edit#gid=709845608"", ""Game!$A$2:$P""), MATCH(A320,IMPORTRANGE(""docs.google.com/spreadsheets/d/1Dz5m9yCjvG51SgZ1o2KfJUBBR9Y0WOI97noTgdya4Zs/edit#gid="&amp;"709845608"", ""Game!$A$2:$A""),0),16),""Not Started"")"),"Not Started")</f>
        <v>Not Started</v>
      </c>
      <c r="F320" s="4" t="s">
        <v>20</v>
      </c>
      <c r="G320" s="9">
        <v>44945.0</v>
      </c>
      <c r="H320" s="4">
        <v>24.69</v>
      </c>
      <c r="I320" s="5">
        <f t="shared" si="2"/>
        <v>0.3527142857</v>
      </c>
      <c r="J320" s="6">
        <f t="shared" si="7"/>
        <v>44945</v>
      </c>
      <c r="K320" s="4">
        <v>24.0</v>
      </c>
      <c r="L320" s="4" t="s">
        <v>16</v>
      </c>
      <c r="M320" s="5">
        <f t="shared" si="8"/>
        <v>6.219959795</v>
      </c>
    </row>
    <row r="321">
      <c r="A321" s="18" t="s">
        <v>366</v>
      </c>
      <c r="B321" s="14">
        <v>66.0</v>
      </c>
      <c r="C321" s="8">
        <f t="shared" si="5"/>
        <v>10.61100106</v>
      </c>
      <c r="D321" s="1" t="s">
        <v>18</v>
      </c>
      <c r="E321" s="3" t="str">
        <f>IFERROR(__xludf.DUMMYFUNCTION("IFERROR(INDEX(IMPORTRANGE(""docs.google.com/spreadsheets/d/1Dz5m9yCjvG51SgZ1o2KfJUBBR9Y0WOI97noTgdya4Zs/edit#gid=709845608"", ""Game!$A$2:$P""), MATCH(A321,IMPORTRANGE(""docs.google.com/spreadsheets/d/1Dz5m9yCjvG51SgZ1o2KfJUBBR9Y0WOI97noTgdya4Zs/edit#gid="&amp;"709845608"", ""Game!$A$2:$A""),0),16),""Not Started"")"),"Compleat")</f>
        <v>Compleat</v>
      </c>
      <c r="F321" s="4" t="s">
        <v>20</v>
      </c>
      <c r="G321" s="16">
        <v>44964.0</v>
      </c>
      <c r="H321" s="15">
        <v>59.99</v>
      </c>
      <c r="I321" s="5">
        <f t="shared" si="2"/>
        <v>0.9089393939</v>
      </c>
      <c r="J321" s="6">
        <f t="shared" si="7"/>
        <v>44964</v>
      </c>
      <c r="K321" s="4">
        <v>24.0</v>
      </c>
      <c r="L321" s="4" t="s">
        <v>16</v>
      </c>
      <c r="M321" s="5">
        <f t="shared" si="8"/>
        <v>6.219959795</v>
      </c>
    </row>
    <row r="322">
      <c r="A322" s="7" t="s">
        <v>367</v>
      </c>
      <c r="B322" s="1">
        <v>34.0</v>
      </c>
      <c r="C322" s="8">
        <f t="shared" si="5"/>
        <v>5.466273275</v>
      </c>
      <c r="D322" s="1" t="s">
        <v>368</v>
      </c>
      <c r="E322" s="3" t="str">
        <f>IFERROR(__xludf.DUMMYFUNCTION("IFERROR(INDEX(IMPORTRANGE(""docs.google.com/spreadsheets/d/1Dz5m9yCjvG51SgZ1o2KfJUBBR9Y0WOI97noTgdya4Zs/edit#gid=709845608"", ""Game!$A$2:$P""), MATCH(A322,IMPORTRANGE(""docs.google.com/spreadsheets/d/1Dz5m9yCjvG51SgZ1o2KfJUBBR9Y0WOI97noTgdya4Zs/edit#gid="&amp;"709845608"", ""Game!$A$2:$A""),0),16),""Not Started"")"),"Compleat")</f>
        <v>Compleat</v>
      </c>
      <c r="F322" s="4" t="s">
        <v>20</v>
      </c>
      <c r="G322" s="9">
        <v>44981.0</v>
      </c>
      <c r="H322" s="4">
        <f>55.99+35.99</f>
        <v>91.98</v>
      </c>
      <c r="I322" s="5">
        <f t="shared" si="2"/>
        <v>2.705294118</v>
      </c>
      <c r="J322" s="6">
        <f t="shared" si="7"/>
        <v>44981</v>
      </c>
      <c r="K322" s="4">
        <v>24.0</v>
      </c>
      <c r="L322" s="4" t="s">
        <v>16</v>
      </c>
      <c r="M322" s="5">
        <f t="shared" si="8"/>
        <v>6.219959795</v>
      </c>
    </row>
    <row r="323">
      <c r="A323" s="7" t="s">
        <v>369</v>
      </c>
      <c r="B323" s="1">
        <v>29.0</v>
      </c>
      <c r="C323" s="8">
        <f t="shared" si="5"/>
        <v>4.662409558</v>
      </c>
      <c r="D323" s="1" t="s">
        <v>38</v>
      </c>
      <c r="E323" s="3" t="str">
        <f>IFERROR(__xludf.DUMMYFUNCTION("IFERROR(INDEX(IMPORTRANGE(""docs.google.com/spreadsheets/d/1Dz5m9yCjvG51SgZ1o2KfJUBBR9Y0WOI97noTgdya4Zs/edit#gid=709845608"", ""Game!$A$2:$P""), MATCH(A323,IMPORTRANGE(""docs.google.com/spreadsheets/d/1Dz5m9yCjvG51SgZ1o2KfJUBBR9Y0WOI97noTgdya4Zs/edit#gid="&amp;"709845608"", ""Game!$A$2:$A""),0),16),""Not Started"")"),"Not Started")</f>
        <v>Not Started</v>
      </c>
      <c r="F323" s="4" t="s">
        <v>20</v>
      </c>
      <c r="G323" s="9">
        <v>45008.0</v>
      </c>
      <c r="H323" s="4">
        <v>9.18</v>
      </c>
      <c r="I323" s="5">
        <f t="shared" si="2"/>
        <v>0.3165517241</v>
      </c>
      <c r="J323" s="6">
        <f t="shared" si="7"/>
        <v>45008</v>
      </c>
      <c r="K323" s="4">
        <v>24.0</v>
      </c>
      <c r="L323" s="4" t="s">
        <v>16</v>
      </c>
      <c r="M323" s="5">
        <f t="shared" si="8"/>
        <v>6.219959795</v>
      </c>
    </row>
    <row r="324">
      <c r="A324" s="7" t="s">
        <v>370</v>
      </c>
      <c r="B324" s="1">
        <v>12.0</v>
      </c>
      <c r="C324" s="8">
        <f t="shared" si="5"/>
        <v>1.929272921</v>
      </c>
      <c r="D324" s="1" t="s">
        <v>38</v>
      </c>
      <c r="E324" s="3" t="str">
        <f>IFERROR(__xludf.DUMMYFUNCTION("IFERROR(INDEX(IMPORTRANGE(""docs.google.com/spreadsheets/d/1Dz5m9yCjvG51SgZ1o2KfJUBBR9Y0WOI97noTgdya4Zs/edit#gid=709845608"", ""Game!$A$2:$P""), MATCH(A324,IMPORTRANGE(""docs.google.com/spreadsheets/d/1Dz5m9yCjvG51SgZ1o2KfJUBBR9Y0WOI97noTgdya4Zs/edit#gid="&amp;"709845608"", ""Game!$A$2:$A""),0),16),""Not Started"")"),"Compleat")</f>
        <v>Compleat</v>
      </c>
      <c r="F324" s="4" t="s">
        <v>20</v>
      </c>
      <c r="G324" s="9">
        <v>45008.0</v>
      </c>
      <c r="H324" s="4">
        <v>14.39</v>
      </c>
      <c r="I324" s="5">
        <f t="shared" si="2"/>
        <v>1.199166667</v>
      </c>
      <c r="J324" s="6">
        <f t="shared" si="7"/>
        <v>45008</v>
      </c>
      <c r="K324" s="4">
        <v>24.0</v>
      </c>
      <c r="L324" s="4" t="s">
        <v>16</v>
      </c>
      <c r="M324" s="5">
        <f t="shared" si="8"/>
        <v>6.219959795</v>
      </c>
    </row>
    <row r="325">
      <c r="A325" s="18" t="s">
        <v>371</v>
      </c>
      <c r="B325" s="14">
        <v>23.0</v>
      </c>
      <c r="C325" s="8">
        <f t="shared" si="5"/>
        <v>3.697773098</v>
      </c>
      <c r="D325" s="1" t="s">
        <v>38</v>
      </c>
      <c r="E325" s="3" t="str">
        <f>IFERROR(__xludf.DUMMYFUNCTION("IFERROR(INDEX(IMPORTRANGE(""docs.google.com/spreadsheets/d/1Dz5m9yCjvG51SgZ1o2KfJUBBR9Y0WOI97noTgdya4Zs/edit#gid=709845608"", ""Game!$A$2:$P""), MATCH(A325,IMPORTRANGE(""docs.google.com/spreadsheets/d/1Dz5m9yCjvG51SgZ1o2KfJUBBR9Y0WOI97noTgdya4Zs/edit#gid="&amp;"709845608"", ""Game!$A$2:$A""),0),16),""UnCompleat"")"),"UnCompleat")</f>
        <v>UnCompleat</v>
      </c>
      <c r="F325" s="4" t="s">
        <v>20</v>
      </c>
      <c r="G325" s="9">
        <v>45009.0</v>
      </c>
      <c r="H325" s="4">
        <v>9.18</v>
      </c>
      <c r="I325" s="5">
        <f t="shared" si="2"/>
        <v>0.3991304348</v>
      </c>
      <c r="J325" s="6">
        <f t="shared" si="7"/>
        <v>45009</v>
      </c>
      <c r="K325" s="4">
        <v>24.0</v>
      </c>
      <c r="L325" s="4" t="s">
        <v>16</v>
      </c>
      <c r="M325" s="5">
        <f t="shared" si="8"/>
        <v>6.219959795</v>
      </c>
    </row>
    <row r="326">
      <c r="A326" s="7" t="s">
        <v>372</v>
      </c>
      <c r="B326" s="1">
        <v>35.0</v>
      </c>
      <c r="C326" s="8">
        <f t="shared" si="5"/>
        <v>5.627046018</v>
      </c>
      <c r="D326" s="1" t="s">
        <v>38</v>
      </c>
      <c r="E326" s="3" t="str">
        <f>IFERROR(__xludf.DUMMYFUNCTION("IFERROR(INDEX(IMPORTRANGE(""docs.google.com/spreadsheets/d/1Dz5m9yCjvG51SgZ1o2KfJUBBR9Y0WOI97noTgdya4Zs/edit#gid=709845608"", ""Game!$A$2:$P""), MATCH(A326,IMPORTRANGE(""docs.google.com/spreadsheets/d/1Dz5m9yCjvG51SgZ1o2KfJUBBR9Y0WOI97noTgdya4Zs/edit#gid="&amp;"709845608"", ""Game!$A$2:$A""),0),16),""Not Started"")"),"Not Started")</f>
        <v>Not Started</v>
      </c>
      <c r="F326" s="4" t="s">
        <v>20</v>
      </c>
      <c r="G326" s="9">
        <v>45010.0</v>
      </c>
      <c r="H326" s="4">
        <v>12.49</v>
      </c>
      <c r="I326" s="5">
        <f t="shared" si="2"/>
        <v>0.3568571429</v>
      </c>
      <c r="J326" s="6">
        <f t="shared" si="7"/>
        <v>45010</v>
      </c>
      <c r="K326" s="4">
        <v>24.0</v>
      </c>
      <c r="L326" s="4" t="s">
        <v>16</v>
      </c>
      <c r="M326" s="5">
        <f t="shared" si="8"/>
        <v>6.219959795</v>
      </c>
    </row>
    <row r="327">
      <c r="A327" s="7" t="s">
        <v>373</v>
      </c>
      <c r="B327" s="1">
        <v>20.0</v>
      </c>
      <c r="C327" s="8">
        <f t="shared" si="5"/>
        <v>3.215454868</v>
      </c>
      <c r="D327" s="1" t="s">
        <v>38</v>
      </c>
      <c r="E327" s="3" t="str">
        <f>IFERROR(__xludf.DUMMYFUNCTION("IFERROR(INDEX(IMPORTRANGE(""docs.google.com/spreadsheets/d/1Dz5m9yCjvG51SgZ1o2KfJUBBR9Y0WOI97noTgdya4Zs/edit#gid=709845608"", ""Game!$A$2:$P""), MATCH(A327,IMPORTRANGE(""docs.google.com/spreadsheets/d/1Dz5m9yCjvG51SgZ1o2KfJUBBR9Y0WOI97noTgdya4Zs/edit#gid="&amp;"709845608"", ""Game!$A$2:$A""),0),16),""Not Started"")"),"Not Started")</f>
        <v>Not Started</v>
      </c>
      <c r="F327" s="4" t="s">
        <v>20</v>
      </c>
      <c r="G327" s="9">
        <v>45011.0</v>
      </c>
      <c r="H327" s="4">
        <v>12.49</v>
      </c>
      <c r="I327" s="5">
        <f t="shared" si="2"/>
        <v>0.6245</v>
      </c>
      <c r="J327" s="6">
        <f t="shared" si="7"/>
        <v>45011</v>
      </c>
      <c r="K327" s="4">
        <v>24.0</v>
      </c>
      <c r="L327" s="4" t="s">
        <v>16</v>
      </c>
      <c r="M327" s="5">
        <f t="shared" si="8"/>
        <v>6.219959795</v>
      </c>
    </row>
    <row r="328">
      <c r="A328" s="7" t="s">
        <v>374</v>
      </c>
      <c r="B328" s="1">
        <v>31.0</v>
      </c>
      <c r="C328" s="8">
        <f t="shared" si="5"/>
        <v>4.983955045</v>
      </c>
      <c r="D328" s="1" t="s">
        <v>38</v>
      </c>
      <c r="E328" s="3" t="str">
        <f>IFERROR(__xludf.DUMMYFUNCTION("IFERROR(INDEX(IMPORTRANGE(""docs.google.com/spreadsheets/d/1Dz5m9yCjvG51SgZ1o2KfJUBBR9Y0WOI97noTgdya4Zs/edit#gid=709845608"", ""Game!$A$2:$P""), MATCH(A328,IMPORTRANGE(""docs.google.com/spreadsheets/d/1Dz5m9yCjvG51SgZ1o2KfJUBBR9Y0WOI97noTgdya4Zs/edit#gid="&amp;"709845608"", ""Game!$A$2:$A""),0),16),""Not Started"")"),"Not Started")</f>
        <v>Not Started</v>
      </c>
      <c r="F328" s="4" t="s">
        <v>20</v>
      </c>
      <c r="G328" s="9">
        <v>45012.0</v>
      </c>
      <c r="H328" s="4">
        <v>9.18</v>
      </c>
      <c r="I328" s="5">
        <f t="shared" si="2"/>
        <v>0.2961290323</v>
      </c>
      <c r="J328" s="6">
        <f t="shared" si="7"/>
        <v>45012</v>
      </c>
      <c r="K328" s="4">
        <v>24.0</v>
      </c>
      <c r="L328" s="4" t="s">
        <v>16</v>
      </c>
      <c r="M328" s="5">
        <f t="shared" si="8"/>
        <v>6.219959795</v>
      </c>
    </row>
    <row r="329">
      <c r="A329" s="7" t="s">
        <v>375</v>
      </c>
      <c r="B329" s="1">
        <v>34.0</v>
      </c>
      <c r="C329" s="8">
        <f t="shared" si="5"/>
        <v>5.466273275</v>
      </c>
      <c r="D329" s="1" t="s">
        <v>38</v>
      </c>
      <c r="E329" s="3" t="str">
        <f>IFERROR(__xludf.DUMMYFUNCTION("IFERROR(INDEX(IMPORTRANGE(""docs.google.com/spreadsheets/d/1Dz5m9yCjvG51SgZ1o2KfJUBBR9Y0WOI97noTgdya4Zs/edit#gid=709845608"", ""Game!$A$2:$P""), MATCH(A329,IMPORTRANGE(""docs.google.com/spreadsheets/d/1Dz5m9yCjvG51SgZ1o2KfJUBBR9Y0WOI97noTgdya4Zs/edit#gid="&amp;"709845608"", ""Game!$A$2:$A""),0),16),""Not Started"")"),"Not Started")</f>
        <v>Not Started</v>
      </c>
      <c r="F329" s="4" t="s">
        <v>20</v>
      </c>
      <c r="G329" s="9">
        <v>45013.0</v>
      </c>
      <c r="H329" s="4">
        <v>9.18</v>
      </c>
      <c r="I329" s="5">
        <f t="shared" si="2"/>
        <v>0.27</v>
      </c>
      <c r="J329" s="6">
        <f t="shared" si="7"/>
        <v>45013</v>
      </c>
      <c r="K329" s="4">
        <v>24.0</v>
      </c>
      <c r="L329" s="4" t="s">
        <v>16</v>
      </c>
      <c r="M329" s="5">
        <f t="shared" si="8"/>
        <v>6.219959795</v>
      </c>
    </row>
    <row r="330">
      <c r="A330" s="7" t="s">
        <v>376</v>
      </c>
      <c r="B330" s="1">
        <v>54.0</v>
      </c>
      <c r="C330" s="8">
        <f t="shared" si="5"/>
        <v>8.681728142</v>
      </c>
      <c r="D330" s="1" t="s">
        <v>38</v>
      </c>
      <c r="E330" s="3" t="str">
        <f>IFERROR(__xludf.DUMMYFUNCTION("IFERROR(INDEX(IMPORTRANGE(""docs.google.com/spreadsheets/d/1Dz5m9yCjvG51SgZ1o2KfJUBBR9Y0WOI97noTgdya4Zs/edit#gid=709845608"", ""Game!$A$2:$P""), MATCH(A330,IMPORTRANGE(""docs.google.com/spreadsheets/d/1Dz5m9yCjvG51SgZ1o2KfJUBBR9Y0WOI97noTgdya4Zs/edit#gid="&amp;"709845608"", ""Game!$A$2:$A""),0),16),""Not Started"")"),"Not Started")</f>
        <v>Not Started</v>
      </c>
      <c r="F330" s="4" t="s">
        <v>20</v>
      </c>
      <c r="G330" s="9">
        <v>45014.0</v>
      </c>
      <c r="H330" s="4">
        <v>4.08</v>
      </c>
      <c r="I330" s="5">
        <f t="shared" si="2"/>
        <v>0.07555555556</v>
      </c>
      <c r="J330" s="6">
        <f t="shared" si="7"/>
        <v>45014</v>
      </c>
      <c r="K330" s="4">
        <v>24.0</v>
      </c>
      <c r="L330" s="4" t="s">
        <v>16</v>
      </c>
      <c r="M330" s="5">
        <f t="shared" si="8"/>
        <v>6.219959795</v>
      </c>
    </row>
    <row r="331">
      <c r="A331" s="7" t="s">
        <v>377</v>
      </c>
      <c r="B331" s="1">
        <v>25.0</v>
      </c>
      <c r="C331" s="8">
        <f t="shared" si="5"/>
        <v>4.019318584</v>
      </c>
      <c r="D331" s="1" t="s">
        <v>38</v>
      </c>
      <c r="E331" s="3" t="str">
        <f>IFERROR(__xludf.DUMMYFUNCTION("IFERROR(INDEX(IMPORTRANGE(""docs.google.com/spreadsheets/d/1Dz5m9yCjvG51SgZ1o2KfJUBBR9Y0WOI97noTgdya4Zs/edit#gid=709845608"", ""Game!$A$2:$P""), MATCH(A331,IMPORTRANGE(""docs.google.com/spreadsheets/d/1Dz5m9yCjvG51SgZ1o2KfJUBBR9Y0WOI97noTgdya4Zs/edit#gid="&amp;"709845608"", ""Game!$A$2:$A""),0),16),""Not Started"")"),"Not Started")</f>
        <v>Not Started</v>
      </c>
      <c r="F331" s="4" t="s">
        <v>20</v>
      </c>
      <c r="G331" s="9">
        <v>45015.0</v>
      </c>
      <c r="H331" s="4">
        <v>9.18</v>
      </c>
      <c r="I331" s="5">
        <f t="shared" si="2"/>
        <v>0.3672</v>
      </c>
      <c r="J331" s="6">
        <f t="shared" si="7"/>
        <v>45015</v>
      </c>
      <c r="K331" s="4">
        <v>24.0</v>
      </c>
      <c r="L331" s="4" t="s">
        <v>16</v>
      </c>
      <c r="M331" s="5">
        <f t="shared" si="8"/>
        <v>6.219959795</v>
      </c>
    </row>
    <row r="332">
      <c r="A332" s="7" t="s">
        <v>378</v>
      </c>
      <c r="B332" s="1">
        <v>34.0</v>
      </c>
      <c r="C332" s="8">
        <f t="shared" si="5"/>
        <v>5.466273275</v>
      </c>
      <c r="D332" s="1" t="s">
        <v>38</v>
      </c>
      <c r="E332" s="3" t="str">
        <f>IFERROR(__xludf.DUMMYFUNCTION("IFERROR(INDEX(IMPORTRANGE(""docs.google.com/spreadsheets/d/1Dz5m9yCjvG51SgZ1o2KfJUBBR9Y0WOI97noTgdya4Zs/edit#gid=709845608"", ""Game!$A$2:$P""), MATCH(A332,IMPORTRANGE(""docs.google.com/spreadsheets/d/1Dz5m9yCjvG51SgZ1o2KfJUBBR9Y0WOI97noTgdya4Zs/edit#gid="&amp;"709845608"", ""Game!$A$2:$A""),0),16),""Not Started"")"),"Not Started")</f>
        <v>Not Started</v>
      </c>
      <c r="F332" s="4" t="s">
        <v>20</v>
      </c>
      <c r="G332" s="9">
        <v>45016.0</v>
      </c>
      <c r="H332" s="4">
        <v>9.18</v>
      </c>
      <c r="I332" s="5">
        <f t="shared" si="2"/>
        <v>0.27</v>
      </c>
      <c r="J332" s="6">
        <f t="shared" si="7"/>
        <v>45016</v>
      </c>
      <c r="K332" s="4">
        <v>24.0</v>
      </c>
      <c r="L332" s="4" t="s">
        <v>16</v>
      </c>
      <c r="M332" s="5">
        <f t="shared" si="8"/>
        <v>6.219959795</v>
      </c>
    </row>
    <row r="333">
      <c r="A333" s="18" t="s">
        <v>379</v>
      </c>
      <c r="B333" s="14">
        <v>38.0</v>
      </c>
      <c r="C333" s="8">
        <f t="shared" si="5"/>
        <v>6.109364248</v>
      </c>
      <c r="D333" s="14" t="s">
        <v>38</v>
      </c>
      <c r="E333" s="3" t="str">
        <f>IFERROR(__xludf.DUMMYFUNCTION("IFERROR(INDEX(IMPORTRANGE(""docs.google.com/spreadsheets/d/1Dz5m9yCjvG51SgZ1o2KfJUBBR9Y0WOI97noTgdya4Zs/edit#gid=709845608"", ""Game!$A$2:$P""), MATCH(A333,IMPORTRANGE(""docs.google.com/spreadsheets/d/1Dz5m9yCjvG51SgZ1o2KfJUBBR9Y0WOI97noTgdya4Zs/edit#gid="&amp;"709845608"", ""Game!$A$2:$A""),0),16),""Not Started"")"),"Not Started")</f>
        <v>Not Started</v>
      </c>
      <c r="F333" s="4" t="s">
        <v>20</v>
      </c>
      <c r="G333" s="9">
        <v>45017.0</v>
      </c>
      <c r="H333" s="4">
        <v>9.18</v>
      </c>
      <c r="I333" s="5">
        <f t="shared" si="2"/>
        <v>0.2415789474</v>
      </c>
      <c r="J333" s="6">
        <f t="shared" si="7"/>
        <v>45017</v>
      </c>
      <c r="K333" s="4">
        <v>24.0</v>
      </c>
      <c r="L333" s="4" t="s">
        <v>16</v>
      </c>
      <c r="M333" s="5">
        <f t="shared" si="8"/>
        <v>6.219959795</v>
      </c>
    </row>
    <row r="334">
      <c r="A334" s="7" t="s">
        <v>380</v>
      </c>
      <c r="B334" s="1">
        <v>36.0</v>
      </c>
      <c r="C334" s="8">
        <f t="shared" si="5"/>
        <v>5.787818762</v>
      </c>
      <c r="D334" s="1" t="s">
        <v>38</v>
      </c>
      <c r="E334" s="3" t="str">
        <f>IFERROR(__xludf.DUMMYFUNCTION("IFERROR(INDEX(IMPORTRANGE(""docs.google.com/spreadsheets/d/1Dz5m9yCjvG51SgZ1o2KfJUBBR9Y0WOI97noTgdya4Zs/edit#gid=709845608"", ""Game!$A$2:$P""), MATCH(A334,IMPORTRANGE(""docs.google.com/spreadsheets/d/1Dz5m9yCjvG51SgZ1o2KfJUBBR9Y0WOI97noTgdya4Zs/edit#gid="&amp;"709845608"", ""Game!$A$2:$A""),0),16),""Not Started"")"),"Not Started")</f>
        <v>Not Started</v>
      </c>
      <c r="F334" s="4" t="s">
        <v>20</v>
      </c>
      <c r="G334" s="9">
        <v>45018.0</v>
      </c>
      <c r="H334" s="4">
        <v>9.18</v>
      </c>
      <c r="I334" s="5">
        <f t="shared" si="2"/>
        <v>0.255</v>
      </c>
      <c r="J334" s="6">
        <f t="shared" si="7"/>
        <v>45018</v>
      </c>
      <c r="K334" s="4">
        <v>24.0</v>
      </c>
      <c r="L334" s="4" t="s">
        <v>16</v>
      </c>
      <c r="M334" s="5">
        <f t="shared" si="8"/>
        <v>6.219959795</v>
      </c>
    </row>
    <row r="335">
      <c r="A335" s="4" t="s">
        <v>381</v>
      </c>
      <c r="B335" s="4">
        <v>52.0</v>
      </c>
      <c r="C335" s="8">
        <f t="shared" si="5"/>
        <v>8.360182656</v>
      </c>
      <c r="D335" s="1" t="s">
        <v>18</v>
      </c>
      <c r="E335" s="3" t="str">
        <f>IFERROR(__xludf.DUMMYFUNCTION("IFERROR(INDEX(IMPORTRANGE(""docs.google.com/spreadsheets/d/1Dz5m9yCjvG51SgZ1o2KfJUBBR9Y0WOI97noTgdya4Zs/edit#gid=709845608"", ""Game!$A$2:$P""), MATCH(A335,IMPORTRANGE(""docs.google.com/spreadsheets/d/1Dz5m9yCjvG51SgZ1o2KfJUBBR9Y0WOI97noTgdya4Zs/edit#gid="&amp;"709845608"", ""Game!$A$2:$A""),0),16),""Not Started"")"),"Compleat")</f>
        <v>Compleat</v>
      </c>
      <c r="F335" s="4" t="s">
        <v>20</v>
      </c>
      <c r="G335" s="9">
        <v>45044.0</v>
      </c>
      <c r="H335" s="4">
        <v>59.99</v>
      </c>
      <c r="I335" s="10">
        <f t="shared" si="2"/>
        <v>1.153653846</v>
      </c>
      <c r="J335" s="11">
        <f t="shared" si="7"/>
        <v>45044</v>
      </c>
      <c r="K335" s="4">
        <v>24.0</v>
      </c>
      <c r="L335" s="4" t="s">
        <v>39</v>
      </c>
      <c r="M335" s="10">
        <f t="shared" si="8"/>
        <v>6.219959795</v>
      </c>
    </row>
    <row r="336">
      <c r="A336" s="4" t="s">
        <v>382</v>
      </c>
      <c r="B336" s="4">
        <v>17.0</v>
      </c>
      <c r="C336" s="8">
        <f t="shared" si="5"/>
        <v>2.733136637</v>
      </c>
      <c r="D336" s="4" t="s">
        <v>27</v>
      </c>
      <c r="E336" s="3" t="str">
        <f>IFERROR(__xludf.DUMMYFUNCTION("IFERROR(INDEX(IMPORTRANGE(""docs.google.com/spreadsheets/d/1Dz5m9yCjvG51SgZ1o2KfJUBBR9Y0WOI97noTgdya4Zs/edit#gid=709845608"", ""Game!$A$2:$P""), MATCH(A336,IMPORTRANGE(""docs.google.com/spreadsheets/d/1Dz5m9yCjvG51SgZ1o2KfJUBBR9Y0WOI97noTgdya4Zs/edit#gid="&amp;"709845608"", ""Game!$A$2:$A""),0),16),""Not Started"")"),"Compleat")</f>
        <v>Compleat</v>
      </c>
      <c r="F336" s="4" t="s">
        <v>20</v>
      </c>
      <c r="G336" s="9">
        <v>45069.0</v>
      </c>
      <c r="H336" s="4">
        <v>17.99</v>
      </c>
      <c r="I336" s="10">
        <f t="shared" si="2"/>
        <v>1.058235294</v>
      </c>
      <c r="J336" s="11">
        <f t="shared" si="7"/>
        <v>45069</v>
      </c>
      <c r="K336" s="4">
        <v>24.0</v>
      </c>
      <c r="L336" s="4" t="s">
        <v>16</v>
      </c>
      <c r="M336" s="10">
        <f t="shared" si="8"/>
        <v>6.219959795</v>
      </c>
    </row>
    <row r="337">
      <c r="A337" s="4" t="s">
        <v>383</v>
      </c>
      <c r="B337" s="4">
        <v>6.5</v>
      </c>
      <c r="C337" s="8">
        <f t="shared" si="5"/>
        <v>1.045022832</v>
      </c>
      <c r="D337" s="4" t="s">
        <v>44</v>
      </c>
      <c r="E337" s="3" t="str">
        <f>IFERROR(__xludf.DUMMYFUNCTION("IFERROR(INDEX(IMPORTRANGE(""docs.google.com/spreadsheets/d/1Dz5m9yCjvG51SgZ1o2KfJUBBR9Y0WOI97noTgdya4Zs/edit#gid=709845608"", ""Game!$A$2:$P""), MATCH(A337,IMPORTRANGE(""docs.google.com/spreadsheets/d/1Dz5m9yCjvG51SgZ1o2KfJUBBR9Y0WOI97noTgdya4Zs/edit#gid="&amp;"709845608"", ""Game!$A$2:$A""),0),16),""Not Started"")"),"Compleat")</f>
        <v>Compleat</v>
      </c>
      <c r="F337" s="4" t="s">
        <v>20</v>
      </c>
      <c r="G337" s="9">
        <v>45140.0</v>
      </c>
      <c r="H337" s="4">
        <f>2.12+3.19</f>
        <v>5.31</v>
      </c>
      <c r="I337" s="10">
        <f t="shared" si="2"/>
        <v>0.8169230769</v>
      </c>
      <c r="J337" s="11">
        <f t="shared" si="7"/>
        <v>45140</v>
      </c>
      <c r="K337" s="4">
        <v>24.0</v>
      </c>
      <c r="L337" s="4" t="s">
        <v>16</v>
      </c>
      <c r="M337" s="10">
        <f t="shared" si="8"/>
        <v>6.219959795</v>
      </c>
    </row>
    <row r="338">
      <c r="A338" s="4" t="s">
        <v>384</v>
      </c>
      <c r="B338" s="4">
        <v>40.0</v>
      </c>
      <c r="C338" s="8">
        <f t="shared" si="5"/>
        <v>6.430909735</v>
      </c>
      <c r="D338" s="1" t="s">
        <v>18</v>
      </c>
      <c r="E338" s="3" t="str">
        <f>IFERROR(__xludf.DUMMYFUNCTION("IFERROR(INDEX(IMPORTRANGE(""docs.google.com/spreadsheets/d/1Dz5m9yCjvG51SgZ1o2KfJUBBR9Y0WOI97noTgdya4Zs/edit#gid=709845608"", ""Game!$A$2:$P""), MATCH(A338,IMPORTRANGE(""docs.google.com/spreadsheets/d/1Dz5m9yCjvG51SgZ1o2KfJUBBR9Y0WOI97noTgdya4Zs/edit#gid="&amp;"709845608"", ""Game!$A$2:$A""),0),16),""Not Started"")"),"Not Started")</f>
        <v>Not Started</v>
      </c>
      <c r="F338" s="4" t="s">
        <v>20</v>
      </c>
      <c r="G338" s="9">
        <v>45140.0</v>
      </c>
      <c r="H338" s="4">
        <v>9.51</v>
      </c>
      <c r="I338" s="5">
        <f t="shared" si="2"/>
        <v>0.23775</v>
      </c>
      <c r="J338" s="6">
        <f t="shared" si="7"/>
        <v>45140</v>
      </c>
      <c r="K338" s="4">
        <v>24.0</v>
      </c>
      <c r="L338" s="4" t="s">
        <v>16</v>
      </c>
      <c r="M338" s="5">
        <f t="shared" si="8"/>
        <v>6.219959795</v>
      </c>
    </row>
    <row r="339">
      <c r="A339" s="4" t="s">
        <v>385</v>
      </c>
      <c r="B339" s="4">
        <v>144.0</v>
      </c>
      <c r="C339" s="8">
        <f t="shared" si="5"/>
        <v>23.15127505</v>
      </c>
      <c r="D339" s="1" t="s">
        <v>18</v>
      </c>
      <c r="E339" s="3" t="str">
        <f>IFERROR(__xludf.DUMMYFUNCTION("IFERROR(INDEX(IMPORTRANGE(""docs.google.com/spreadsheets/d/1Dz5m9yCjvG51SgZ1o2KfJUBBR9Y0WOI97noTgdya4Zs/edit#gid=709845608"", ""Game!$A$2:$P""), MATCH(A339,IMPORTRANGE(""docs.google.com/spreadsheets/d/1Dz5m9yCjvG51SgZ1o2KfJUBBR9Y0WOI97noTgdya4Zs/edit#gid="&amp;"709845608"", ""Game!$A$2:$A""),0),16),""Not Started"")"),"Compleat")</f>
        <v>Compleat</v>
      </c>
      <c r="F339" s="4" t="s">
        <v>20</v>
      </c>
      <c r="G339" s="9">
        <v>45170.0</v>
      </c>
      <c r="H339" s="4">
        <v>85.99</v>
      </c>
      <c r="I339" s="10">
        <f t="shared" si="2"/>
        <v>0.5971527778</v>
      </c>
      <c r="J339" s="11">
        <f t="shared" si="7"/>
        <v>45170</v>
      </c>
      <c r="K339" s="4">
        <v>24.0</v>
      </c>
      <c r="L339" s="4" t="s">
        <v>16</v>
      </c>
      <c r="M339" s="10">
        <f t="shared" si="8"/>
        <v>6.219959795</v>
      </c>
    </row>
    <row r="340">
      <c r="A340" s="4" t="s">
        <v>386</v>
      </c>
      <c r="B340" s="4">
        <v>40.0</v>
      </c>
      <c r="C340" s="8">
        <f t="shared" si="5"/>
        <v>6.430909735</v>
      </c>
      <c r="D340" s="1" t="s">
        <v>295</v>
      </c>
      <c r="E340" s="3" t="str">
        <f>IFERROR(__xludf.DUMMYFUNCTION("IFERROR(INDEX(IMPORTRANGE(""docs.google.com/spreadsheets/d/1Dz5m9yCjvG51SgZ1o2KfJUBBR9Y0WOI97noTgdya4Zs/edit#gid=709845608"", ""Game!$A$2:$P""), MATCH(A340,IMPORTRANGE(""docs.google.com/spreadsheets/d/1Dz5m9yCjvG51SgZ1o2KfJUBBR9Y0WOI97noTgdya4Zs/edit#gid="&amp;"709845608"", ""Game!$A$2:$A""),0),16),""Not Started"")"),"Compleat")</f>
        <v>Compleat</v>
      </c>
      <c r="F340" s="4" t="s">
        <v>20</v>
      </c>
      <c r="G340" s="9">
        <v>45184.0</v>
      </c>
      <c r="H340" s="35">
        <v>59.99</v>
      </c>
      <c r="I340" s="10">
        <f t="shared" si="2"/>
        <v>1.49975</v>
      </c>
      <c r="J340" s="11">
        <f t="shared" si="7"/>
        <v>45184</v>
      </c>
      <c r="K340" s="4">
        <v>24.0</v>
      </c>
      <c r="L340" s="4" t="s">
        <v>16</v>
      </c>
      <c r="M340" s="10">
        <f t="shared" si="8"/>
        <v>6.219959795</v>
      </c>
    </row>
    <row r="341">
      <c r="A341" s="4" t="s">
        <v>387</v>
      </c>
      <c r="B341" s="4">
        <v>70.0</v>
      </c>
      <c r="C341" s="8">
        <f t="shared" si="5"/>
        <v>11.25409204</v>
      </c>
      <c r="D341" s="1" t="s">
        <v>388</v>
      </c>
      <c r="E341" s="3" t="str">
        <f>IFERROR(__xludf.DUMMYFUNCTION("IFERROR(INDEX(IMPORTRANGE(""docs.google.com/spreadsheets/d/1Dz5m9yCjvG51SgZ1o2KfJUBBR9Y0WOI97noTgdya4Zs/edit#gid=709845608"", ""Game!$A$2:$P""), MATCH(A341,IMPORTRANGE(""docs.google.com/spreadsheets/d/1Dz5m9yCjvG51SgZ1o2KfJUBBR9Y0WOI97noTgdya4Zs/edit#gid="&amp;"709845608"", ""Game!$A$2:$A""),0),16),""Not Started"")"),"Compleat")</f>
        <v>Compleat</v>
      </c>
      <c r="F341" s="4" t="s">
        <v>20</v>
      </c>
      <c r="G341" s="9">
        <v>45247.0</v>
      </c>
      <c r="H341" s="35">
        <v>69.98</v>
      </c>
      <c r="I341" s="10">
        <f t="shared" si="2"/>
        <v>0.9997142857</v>
      </c>
      <c r="J341" s="11">
        <f t="shared" si="7"/>
        <v>45247</v>
      </c>
      <c r="K341" s="4">
        <v>24.0</v>
      </c>
      <c r="L341" s="4" t="s">
        <v>16</v>
      </c>
      <c r="M341" s="10">
        <f t="shared" si="8"/>
        <v>6.219959795</v>
      </c>
    </row>
    <row r="342">
      <c r="A342" s="4" t="s">
        <v>389</v>
      </c>
      <c r="B342" s="4">
        <v>170.0</v>
      </c>
      <c r="C342" s="8">
        <f t="shared" si="5"/>
        <v>27.33136637</v>
      </c>
      <c r="D342" s="36" t="s">
        <v>201</v>
      </c>
      <c r="E342" s="3" t="str">
        <f>IFERROR(__xludf.DUMMYFUNCTION("IFERROR(INDEX(IMPORTRANGE(""docs.google.com/spreadsheets/d/1Dz5m9yCjvG51SgZ1o2KfJUBBR9Y0WOI97noTgdya4Zs/edit#gid=709845608"", ""Game!$A$2:$P""), MATCH(A342,IMPORTRANGE(""docs.google.com/spreadsheets/d/1Dz5m9yCjvG51SgZ1o2KfJUBBR9Y0WOI97noTgdya4Zs/edit#gid="&amp;"709845608"", ""Game!$A$2:$A""),0),16),""Not Started"")"),"Compleat")</f>
        <v>Compleat</v>
      </c>
      <c r="F342" s="36" t="s">
        <v>20</v>
      </c>
      <c r="G342" s="37">
        <v>45267.0</v>
      </c>
      <c r="H342" s="38">
        <v>84.96</v>
      </c>
      <c r="I342" s="10">
        <f t="shared" si="2"/>
        <v>0.4997647059</v>
      </c>
      <c r="J342" s="11">
        <f t="shared" si="7"/>
        <v>45267</v>
      </c>
      <c r="K342" s="4">
        <v>24.0</v>
      </c>
      <c r="L342" s="4" t="s">
        <v>16</v>
      </c>
      <c r="M342" s="10">
        <f t="shared" si="8"/>
        <v>6.219959795</v>
      </c>
    </row>
  </sheetData>
  <autoFilter ref="$A$1:$M$342"/>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63"/>
    <col customWidth="1" min="2" max="2" width="16.25"/>
    <col customWidth="1" min="7" max="7" width="14.38"/>
  </cols>
  <sheetData>
    <row r="1">
      <c r="A1" s="1" t="s">
        <v>0</v>
      </c>
      <c r="B1" s="2" t="s">
        <v>1</v>
      </c>
      <c r="C1" s="2" t="s">
        <v>3</v>
      </c>
      <c r="D1" s="2" t="s">
        <v>4</v>
      </c>
      <c r="E1" s="39" t="s">
        <v>6</v>
      </c>
      <c r="F1" s="39" t="s">
        <v>390</v>
      </c>
      <c r="G1" s="39" t="s">
        <v>391</v>
      </c>
      <c r="H1" s="39" t="s">
        <v>392</v>
      </c>
      <c r="I1" s="39" t="s">
        <v>393</v>
      </c>
      <c r="J1" s="4" t="s">
        <v>394</v>
      </c>
    </row>
    <row r="2">
      <c r="A2" s="7" t="s">
        <v>32</v>
      </c>
      <c r="B2" s="40">
        <f t="array" ref="B2">INDEX(Backlog!$A$2:$E65,MATCH(A2,Backlog!$A$2:A65,0),2)</f>
        <v>10</v>
      </c>
      <c r="C2" s="40" t="str">
        <f t="array" ref="C2">INDEX(Backlog!$A$2:$E65,MATCH(A2,Backlog!$A$2:A65,0),4)</f>
        <v>FPS</v>
      </c>
      <c r="D2" s="40" t="str">
        <f t="array" ref="D2">INDEX(Backlog!$A$2:$E65,MATCH(A2,Backlog!$A$2:A65,0),5)</f>
        <v>Compleat</v>
      </c>
      <c r="E2" s="41">
        <f t="array" ref="E2">INDEX(Backlog!$A$2:$G65,MATCH(A2,Backlog!$A$2:A65,0),7)</f>
        <v>41102</v>
      </c>
      <c r="F2" s="42">
        <f>'Game Rate'!A$2</f>
        <v>6.219959795</v>
      </c>
      <c r="G2" s="43" t="str">
        <f>IFERROR(__xludf.DUMMYFUNCTION("IFERROR(INDEX(IMPORTRANGE(""docs.google.com/spreadsheets/d/1Dz5m9yCjvG51SgZ1o2KfJUBBR9Y0WOI97noTgdya4Zs/edit#gid=709845608"", ""Game!$A$2:$H""), MATCH(A2,IMPORTRANGE(""docs.google.com/spreadsheets/d/1Dz5m9yCjvG51SgZ1o2KfJUBBR9Y0WOI97noTgdya4Zs/edit#gid=70"&amp;"9845608"", ""Game!$A$2:$A""),0),8),""0"")"),"0")</f>
        <v>0</v>
      </c>
      <c r="H2" s="43" t="str">
        <f>IFERROR(__xludf.DUMMYFUNCTION("IFERROR(INDEX(IMPORTRANGE(""docs.google.com/spreadsheets/d/1Dz5m9yCjvG51SgZ1o2KfJUBBR9Y0WOI97noTgdya4Zs/edit#gid=709845608"", ""Game!$A$2:$H""), MATCH(A2,IMPORTRANGE(""docs.google.com/spreadsheets/d/1Dz5m9yCjvG51SgZ1o2KfJUBBR9Y0WOI97noTgdya4Zs/edit#gid=70"&amp;"9845608"", ""Game!$A$2:$A""),0),6),""0"")"),"0")</f>
        <v>0</v>
      </c>
      <c r="I2" s="43" t="str">
        <f>IFERROR(__xludf.DUMMYFUNCTION("IFERROR(INDEX(IMPORTRANGE(""docs.google.com/spreadsheets/d/1Dz5m9yCjvG51SgZ1o2KfJUBBR9Y0WOI97noTgdya4Zs/edit#gid=709845608"", ""Game!$A$2:$H""), MATCH(A2,IMPORTRANGE(""docs.google.com/spreadsheets/d/1Dz5m9yCjvG51SgZ1o2KfJUBBR9Y0WOI97noTgdya4Zs/edit#gid=70"&amp;"9845608"", ""Game!$A$2:$A""),0),7),""0"")"),"0")</f>
        <v>0</v>
      </c>
      <c r="J2" s="4" t="s">
        <v>395</v>
      </c>
    </row>
    <row r="3">
      <c r="A3" s="7" t="s">
        <v>105</v>
      </c>
      <c r="B3" s="40">
        <f t="array" ref="B3">INDEX(Backlog!$A$2:$E65,MATCH(A3,Backlog!$A$2:A65,0),2)</f>
        <v>47</v>
      </c>
      <c r="C3" s="40" t="str">
        <f t="array" ref="C3">INDEX(Backlog!$A$2:$E65,MATCH(A3,Backlog!$A$2:A65,0),4)</f>
        <v>Action
RPG</v>
      </c>
      <c r="D3" s="40" t="str">
        <f t="array" ref="D3">INDEX(Backlog!$A$2:$E65,MATCH(A3,Backlog!$A$2:A65,0),5)</f>
        <v>Compleat</v>
      </c>
      <c r="E3" s="41">
        <f t="array" ref="E3">INDEX(Backlog!$A$2:$G65,MATCH(A3,Backlog!$A$2:A65,0),7)</f>
        <v>41755</v>
      </c>
      <c r="F3" s="42">
        <f>'Game Rate'!A$2</f>
        <v>6.219959795</v>
      </c>
      <c r="G3" s="43" t="str">
        <f>IFERROR(__xludf.DUMMYFUNCTION("IFERROR(INDEX(IMPORTRANGE(""docs.google.com/spreadsheets/d/1Dz5m9yCjvG51SgZ1o2KfJUBBR9Y0WOI97noTgdya4Zs/edit#gid=709845608"", ""Game!$A$2:$H""), MATCH(A3,IMPORTRANGE(""docs.google.com/spreadsheets/d/1Dz5m9yCjvG51SgZ1o2KfJUBBR9Y0WOI97noTgdya4Zs/edit#gid=70"&amp;"9845608"", ""Game!$A$2:$A""),0),8),""0"")"),"0")</f>
        <v>0</v>
      </c>
      <c r="H3" s="43" t="str">
        <f>IFERROR(__xludf.DUMMYFUNCTION("IFERROR(INDEX(IMPORTRANGE(""docs.google.com/spreadsheets/d/1Dz5m9yCjvG51SgZ1o2KfJUBBR9Y0WOI97noTgdya4Zs/edit#gid=709845608"", ""Game!$A$2:$H""), MATCH(A3,IMPORTRANGE(""docs.google.com/spreadsheets/d/1Dz5m9yCjvG51SgZ1o2KfJUBBR9Y0WOI97noTgdya4Zs/edit#gid=70"&amp;"9845608"", ""Game!$A$2:$A""),0),6),""0"")"),"0")</f>
        <v>0</v>
      </c>
      <c r="I3" s="43" t="str">
        <f>IFERROR(__xludf.DUMMYFUNCTION("IFERROR(INDEX(IMPORTRANGE(""docs.google.com/spreadsheets/d/1Dz5m9yCjvG51SgZ1o2KfJUBBR9Y0WOI97noTgdya4Zs/edit#gid=709845608"", ""Game!$A$2:$H""), MATCH(A3,IMPORTRANGE(""docs.google.com/spreadsheets/d/1Dz5m9yCjvG51SgZ1o2KfJUBBR9Y0WOI97noTgdya4Zs/edit#gid=70"&amp;"9845608"", ""Game!$A$2:$A""),0),7),""0"")"),"0")</f>
        <v>0</v>
      </c>
      <c r="J3" s="4" t="s">
        <v>395</v>
      </c>
    </row>
    <row r="4">
      <c r="A4" s="7" t="s">
        <v>152</v>
      </c>
      <c r="B4" s="40">
        <f t="array" ref="B4">INDEX(Backlog!$A$2:$E65,MATCH(A4,Backlog!$A$2:A65,0),2)</f>
        <v>7</v>
      </c>
      <c r="C4" s="40" t="str">
        <f t="array" ref="C4">INDEX(Backlog!$A$2:$E65,MATCH(A4,Backlog!$A$2:A65,0),4)</f>
        <v>Racing</v>
      </c>
      <c r="D4" s="40" t="str">
        <f t="array" ref="D4">INDEX(Backlog!$A$2:$E65,MATCH(A4,Backlog!$A$2:A65,0),5)</f>
        <v>UnCompleat</v>
      </c>
      <c r="E4" s="41">
        <f t="array" ref="E4">INDEX(Backlog!$A$2:$G65,MATCH(A4,Backlog!$A$2:A65,0),7)</f>
        <v>42857</v>
      </c>
      <c r="F4" s="42">
        <f>'Game Rate'!A$2</f>
        <v>6.219959795</v>
      </c>
      <c r="G4" s="44">
        <f>IFERROR(__xludf.DUMMYFUNCTION("IFERROR(INDEX(IMPORTRANGE(""docs.google.com/spreadsheets/d/1Dz5m9yCjvG51SgZ1o2KfJUBBR9Y0WOI97noTgdya4Zs/edit#gid=709845608"", ""Game!$A$2:$H""), MATCH(A4,IMPORTRANGE(""docs.google.com/spreadsheets/d/1Dz5m9yCjvG51SgZ1o2KfJUBBR9Y0WOI97noTgdya4Zs/edit#gid=70"&amp;"9845608"", ""Game!$A$2:$A""),0),8),""0"")"),6.5)</f>
        <v>6.5</v>
      </c>
      <c r="H4" s="43">
        <f>IFERROR(__xludf.DUMMYFUNCTION("IFERROR(INDEX(IMPORTRANGE(""docs.google.com/spreadsheets/d/1Dz5m9yCjvG51SgZ1o2KfJUBBR9Y0WOI97noTgdya4Zs/edit#gid=709845608"", ""Game!$A$2:$H""), MATCH(A4,IMPORTRANGE(""docs.google.com/spreadsheets/d/1Dz5m9yCjvG51SgZ1o2KfJUBBR9Y0WOI97noTgdya4Zs/edit#gid=70"&amp;"9845608"", ""Game!$A$2:$A""),0),6),""0"")"),2.0)</f>
        <v>2</v>
      </c>
      <c r="I4" s="43">
        <f>IFERROR(__xludf.DUMMYFUNCTION("IFERROR(INDEX(IMPORTRANGE(""docs.google.com/spreadsheets/d/1Dz5m9yCjvG51SgZ1o2KfJUBBR9Y0WOI97noTgdya4Zs/edit#gid=709845608"", ""Game!$A$2:$H""), MATCH(A4,IMPORTRANGE(""docs.google.com/spreadsheets/d/1Dz5m9yCjvG51SgZ1o2KfJUBBR9Y0WOI97noTgdya4Zs/edit#gid=70"&amp;"9845608"", ""Game!$A$2:$A""),0),7),""0"")"),13.0)</f>
        <v>13</v>
      </c>
      <c r="J4" s="4" t="s">
        <v>395</v>
      </c>
    </row>
    <row r="5">
      <c r="A5" s="7" t="s">
        <v>154</v>
      </c>
      <c r="B5" s="40">
        <f t="array" ref="B5">INDEX(Backlog!$A$2:$E65,MATCH(A5,Backlog!$A$2:A65,0),2)</f>
        <v>12</v>
      </c>
      <c r="C5" s="40" t="str">
        <f t="array" ref="C5">INDEX(Backlog!$A$2:$E65,MATCH(A5,Backlog!$A$2:A65,0),4)</f>
        <v>FPS</v>
      </c>
      <c r="D5" s="40" t="str">
        <f t="array" ref="D5">INDEX(Backlog!$A$2:$E65,MATCH(A5,Backlog!$A$2:A65,0),5)</f>
        <v>Not Started</v>
      </c>
      <c r="E5" s="41">
        <f t="array" ref="E5">INDEX(Backlog!$A$2:$G65,MATCH(A5,Backlog!$A$2:A65,0),7)</f>
        <v>42857</v>
      </c>
      <c r="F5" s="42">
        <f>'Game Rate'!A$2</f>
        <v>6.219959795</v>
      </c>
      <c r="G5" s="43" t="str">
        <f>IFERROR(__xludf.DUMMYFUNCTION("IFERROR(INDEX(IMPORTRANGE(""docs.google.com/spreadsheets/d/1Dz5m9yCjvG51SgZ1o2KfJUBBR9Y0WOI97noTgdya4Zs/edit#gid=709845608"", ""Game!$A$2:$H""), MATCH(A5,IMPORTRANGE(""docs.google.com/spreadsheets/d/1Dz5m9yCjvG51SgZ1o2KfJUBBR9Y0WOI97noTgdya4Zs/edit#gid=70"&amp;"9845608"", ""Game!$A$2:$A""),0),8),""0"")"),"0")</f>
        <v>0</v>
      </c>
      <c r="H5" s="43" t="str">
        <f>IFERROR(__xludf.DUMMYFUNCTION("IFERROR(INDEX(IMPORTRANGE(""docs.google.com/spreadsheets/d/1Dz5m9yCjvG51SgZ1o2KfJUBBR9Y0WOI97noTgdya4Zs/edit#gid=709845608"", ""Game!$A$2:$H""), MATCH(A5,IMPORTRANGE(""docs.google.com/spreadsheets/d/1Dz5m9yCjvG51SgZ1o2KfJUBBR9Y0WOI97noTgdya4Zs/edit#gid=70"&amp;"9845608"", ""Game!$A$2:$A""),0),6),""0"")"),"0")</f>
        <v>0</v>
      </c>
      <c r="I5" s="43" t="str">
        <f>IFERROR(__xludf.DUMMYFUNCTION("IFERROR(INDEX(IMPORTRANGE(""docs.google.com/spreadsheets/d/1Dz5m9yCjvG51SgZ1o2KfJUBBR9Y0WOI97noTgdya4Zs/edit#gid=709845608"", ""Game!$A$2:$H""), MATCH(A5,IMPORTRANGE(""docs.google.com/spreadsheets/d/1Dz5m9yCjvG51SgZ1o2KfJUBBR9Y0WOI97noTgdya4Zs/edit#gid=70"&amp;"9845608"", ""Game!$A$2:$A""),0),7),""0"")"),"0")</f>
        <v>0</v>
      </c>
      <c r="J5" s="4" t="s">
        <v>395</v>
      </c>
    </row>
    <row r="6">
      <c r="A6" s="7" t="s">
        <v>175</v>
      </c>
      <c r="B6" s="40">
        <f t="array" ref="B6">INDEX(Backlog!$A$2:$E65,MATCH(A6,Backlog!$A$2:A65,0),2)</f>
        <v>18</v>
      </c>
      <c r="C6" s="40" t="str">
        <f t="array" ref="C6">INDEX(Backlog!$A$2:$E65,MATCH(A6,Backlog!$A$2:A65,0),4)</f>
        <v>FPS</v>
      </c>
      <c r="D6" s="40" t="str">
        <f t="array" ref="D6">INDEX(Backlog!$A$2:$E65,MATCH(A6,Backlog!$A$2:A65,0),5)</f>
        <v>Compleat</v>
      </c>
      <c r="E6" s="45">
        <f t="array" ref="E6">INDEX(Backlog!$A$2:$G65,MATCH(A6,Backlog!$A$2:A65,0),7)</f>
        <v>43083</v>
      </c>
      <c r="F6" s="42">
        <f>'Game Rate'!A$2</f>
        <v>6.219959795</v>
      </c>
      <c r="G6" s="43" t="str">
        <f>IFERROR(__xludf.DUMMYFUNCTION("IFERROR(INDEX(IMPORTRANGE(""docs.google.com/spreadsheets/d/1Dz5m9yCjvG51SgZ1o2KfJUBBR9Y0WOI97noTgdya4Zs/edit#gid=709845608"", ""Game!$A$2:$H""), MATCH(A6,IMPORTRANGE(""docs.google.com/spreadsheets/d/1Dz5m9yCjvG51SgZ1o2KfJUBBR9Y0WOI97noTgdya4Zs/edit#gid=70"&amp;"9845608"", ""Game!$A$2:$A""),0),8),""0"")"),"0")</f>
        <v>0</v>
      </c>
      <c r="H6" s="43" t="str">
        <f>IFERROR(__xludf.DUMMYFUNCTION("IFERROR(INDEX(IMPORTRANGE(""docs.google.com/spreadsheets/d/1Dz5m9yCjvG51SgZ1o2KfJUBBR9Y0WOI97noTgdya4Zs/edit#gid=709845608"", ""Game!$A$2:$H""), MATCH(A6,IMPORTRANGE(""docs.google.com/spreadsheets/d/1Dz5m9yCjvG51SgZ1o2KfJUBBR9Y0WOI97noTgdya4Zs/edit#gid=70"&amp;"9845608"", ""Game!$A$2:$A""),0),6),""0"")"),"0")</f>
        <v>0</v>
      </c>
      <c r="I6" s="43" t="str">
        <f>IFERROR(__xludf.DUMMYFUNCTION("IFERROR(INDEX(IMPORTRANGE(""docs.google.com/spreadsheets/d/1Dz5m9yCjvG51SgZ1o2KfJUBBR9Y0WOI97noTgdya4Zs/edit#gid=709845608"", ""Game!$A$2:$H""), MATCH(A6,IMPORTRANGE(""docs.google.com/spreadsheets/d/1Dz5m9yCjvG51SgZ1o2KfJUBBR9Y0WOI97noTgdya4Zs/edit#gid=70"&amp;"9845608"", ""Game!$A$2:$A""),0),7),""0"")"),"0")</f>
        <v>0</v>
      </c>
      <c r="J6" s="4" t="s">
        <v>395</v>
      </c>
    </row>
    <row r="7">
      <c r="A7" s="7" t="s">
        <v>176</v>
      </c>
      <c r="B7" s="40">
        <f t="array" ref="B7">INDEX(Backlog!$A$2:$E65,MATCH(A7,Backlog!$A$2:A65,0),2)</f>
        <v>18</v>
      </c>
      <c r="C7" s="40" t="str">
        <f t="array" ref="C7">INDEX(Backlog!$A$2:$E65,MATCH(A7,Backlog!$A$2:A65,0),4)</f>
        <v>FPS</v>
      </c>
      <c r="D7" s="40" t="str">
        <f t="array" ref="D7">INDEX(Backlog!$A$2:$E65,MATCH(A7,Backlog!$A$2:A65,0),5)</f>
        <v>Compleat</v>
      </c>
      <c r="E7" s="45">
        <f t="array" ref="E7">INDEX(Backlog!$A$2:$G65,MATCH(A7,Backlog!$A$2:A65,0),7)</f>
        <v>43083</v>
      </c>
      <c r="F7" s="42">
        <f>'Game Rate'!A$2</f>
        <v>6.219959795</v>
      </c>
      <c r="G7" s="43" t="str">
        <f>IFERROR(__xludf.DUMMYFUNCTION("IFERROR(INDEX(IMPORTRANGE(""docs.google.com/spreadsheets/d/1Dz5m9yCjvG51SgZ1o2KfJUBBR9Y0WOI97noTgdya4Zs/edit#gid=709845608"", ""Game!$A$2:$H""), MATCH(A7,IMPORTRANGE(""docs.google.com/spreadsheets/d/1Dz5m9yCjvG51SgZ1o2KfJUBBR9Y0WOI97noTgdya4Zs/edit#gid=70"&amp;"9845608"", ""Game!$A$2:$A""),0),8),""0"")"),"0")</f>
        <v>0</v>
      </c>
      <c r="H7" s="43" t="str">
        <f>IFERROR(__xludf.DUMMYFUNCTION("IFERROR(INDEX(IMPORTRANGE(""docs.google.com/spreadsheets/d/1Dz5m9yCjvG51SgZ1o2KfJUBBR9Y0WOI97noTgdya4Zs/edit#gid=709845608"", ""Game!$A$2:$H""), MATCH(A7,IMPORTRANGE(""docs.google.com/spreadsheets/d/1Dz5m9yCjvG51SgZ1o2KfJUBBR9Y0WOI97noTgdya4Zs/edit#gid=70"&amp;"9845608"", ""Game!$A$2:$A""),0),6),""0"")"),"0")</f>
        <v>0</v>
      </c>
      <c r="I7" s="43" t="str">
        <f>IFERROR(__xludf.DUMMYFUNCTION("IFERROR(INDEX(IMPORTRANGE(""docs.google.com/spreadsheets/d/1Dz5m9yCjvG51SgZ1o2KfJUBBR9Y0WOI97noTgdya4Zs/edit#gid=709845608"", ""Game!$A$2:$H""), MATCH(A7,IMPORTRANGE(""docs.google.com/spreadsheets/d/1Dz5m9yCjvG51SgZ1o2KfJUBBR9Y0WOI97noTgdya4Zs/edit#gid=70"&amp;"9845608"", ""Game!$A$2:$A""),0),7),""0"")"),"0")</f>
        <v>0</v>
      </c>
      <c r="J7" s="4" t="s">
        <v>395</v>
      </c>
    </row>
    <row r="8">
      <c r="A8" s="7" t="s">
        <v>177</v>
      </c>
      <c r="B8" s="40">
        <f t="array" ref="B8">INDEX(Backlog!$A$2:$E65,MATCH(A8,Backlog!$A$2:A65,0),2)</f>
        <v>14</v>
      </c>
      <c r="C8" s="40" t="str">
        <f t="array" ref="C8">INDEX(Backlog!$A$2:$E65,MATCH(A8,Backlog!$A$2:A65,0),4)</f>
        <v>Hack and Slash</v>
      </c>
      <c r="D8" s="40" t="str">
        <f t="array" ref="D8">INDEX(Backlog!$A$2:$E65,MATCH(A8,Backlog!$A$2:A65,0),5)</f>
        <v>Compleat</v>
      </c>
      <c r="E8" s="45">
        <f t="array" ref="E8">INDEX(Backlog!$A$2:$G65,MATCH(A8,Backlog!$A$2:A65,0),7)</f>
        <v>43083</v>
      </c>
      <c r="F8" s="42">
        <f>'Game Rate'!A$2</f>
        <v>6.219959795</v>
      </c>
      <c r="G8" s="43">
        <f>IFERROR(__xludf.DUMMYFUNCTION("IFERROR(INDEX(IMPORTRANGE(""docs.google.com/spreadsheets/d/1Dz5m9yCjvG51SgZ1o2KfJUBBR9Y0WOI97noTgdya4Zs/edit#gid=709845608"", ""Game!$A$2:$H""), MATCH(A8,IMPORTRANGE(""docs.google.com/spreadsheets/d/1Dz5m9yCjvG51SgZ1o2KfJUBBR9Y0WOI97noTgdya4Zs/edit#gid=70"&amp;"9845608"", ""Game!$A$2:$A""),0),8),""0"")"),3.5)</f>
        <v>3.5</v>
      </c>
      <c r="H8" s="43">
        <f>IFERROR(__xludf.DUMMYFUNCTION("IFERROR(INDEX(IMPORTRANGE(""docs.google.com/spreadsheets/d/1Dz5m9yCjvG51SgZ1o2KfJUBBR9Y0WOI97noTgdya4Zs/edit#gid=709845608"", ""Game!$A$2:$H""), MATCH(A8,IMPORTRANGE(""docs.google.com/spreadsheets/d/1Dz5m9yCjvG51SgZ1o2KfJUBBR9Y0WOI97noTgdya4Zs/edit#gid=70"&amp;"9845608"", ""Game!$A$2:$A""),0),6),""0"")"),6.0)</f>
        <v>6</v>
      </c>
      <c r="I8" s="43">
        <f>IFERROR(__xludf.DUMMYFUNCTION("IFERROR(INDEX(IMPORTRANGE(""docs.google.com/spreadsheets/d/1Dz5m9yCjvG51SgZ1o2KfJUBBR9Y0WOI97noTgdya4Zs/edit#gid=709845608"", ""Game!$A$2:$H""), MATCH(A8,IMPORTRANGE(""docs.google.com/spreadsheets/d/1Dz5m9yCjvG51SgZ1o2KfJUBBR9Y0WOI97noTgdya4Zs/edit#gid=70"&amp;"9845608"", ""Game!$A$2:$A""),0),7),""0"")"),21.0)</f>
        <v>21</v>
      </c>
      <c r="J8" s="4" t="s">
        <v>395</v>
      </c>
    </row>
    <row r="9">
      <c r="A9" s="7" t="s">
        <v>178</v>
      </c>
      <c r="B9" s="40">
        <f t="array" ref="B9">INDEX(Backlog!$A$2:$E65,MATCH(A9,Backlog!$A$2:A65,0),2)</f>
        <v>10</v>
      </c>
      <c r="C9" s="40" t="str">
        <f t="array" ref="C9">INDEX(Backlog!$A$2:$E65,MATCH(A9,Backlog!$A$2:A65,0),4)</f>
        <v>FPS</v>
      </c>
      <c r="D9" s="40" t="str">
        <f t="array" ref="D9">INDEX(Backlog!$A$2:$E65,MATCH(A9,Backlog!$A$2:A65,0),5)</f>
        <v>Compleat</v>
      </c>
      <c r="E9" s="45">
        <f t="array" ref="E9">INDEX(Backlog!$A$2:$G65,MATCH(A9,Backlog!$A$2:A65,0),7)</f>
        <v>43083</v>
      </c>
      <c r="F9" s="42">
        <f>'Game Rate'!A$2</f>
        <v>6.219959795</v>
      </c>
      <c r="G9" s="43" t="str">
        <f>IFERROR(__xludf.DUMMYFUNCTION("IFERROR(INDEX(IMPORTRANGE(""docs.google.com/spreadsheets/d/1Dz5m9yCjvG51SgZ1o2KfJUBBR9Y0WOI97noTgdya4Zs/edit#gid=709845608"", ""Game!$A$2:$H""), MATCH(A9,IMPORTRANGE(""docs.google.com/spreadsheets/d/1Dz5m9yCjvG51SgZ1o2KfJUBBR9Y0WOI97noTgdya4Zs/edit#gid=70"&amp;"9845608"", ""Game!$A$2:$A""),0),8),""0"")"),"0")</f>
        <v>0</v>
      </c>
      <c r="H9" s="43" t="str">
        <f>IFERROR(__xludf.DUMMYFUNCTION("IFERROR(INDEX(IMPORTRANGE(""docs.google.com/spreadsheets/d/1Dz5m9yCjvG51SgZ1o2KfJUBBR9Y0WOI97noTgdya4Zs/edit#gid=709845608"", ""Game!$A$2:$H""), MATCH(A9,IMPORTRANGE(""docs.google.com/spreadsheets/d/1Dz5m9yCjvG51SgZ1o2KfJUBBR9Y0WOI97noTgdya4Zs/edit#gid=70"&amp;"9845608"", ""Game!$A$2:$A""),0),6),""0"")"),"0")</f>
        <v>0</v>
      </c>
      <c r="I9" s="43" t="str">
        <f>IFERROR(__xludf.DUMMYFUNCTION("IFERROR(INDEX(IMPORTRANGE(""docs.google.com/spreadsheets/d/1Dz5m9yCjvG51SgZ1o2KfJUBBR9Y0WOI97noTgdya4Zs/edit#gid=709845608"", ""Game!$A$2:$H""), MATCH(A9,IMPORTRANGE(""docs.google.com/spreadsheets/d/1Dz5m9yCjvG51SgZ1o2KfJUBBR9Y0WOI97noTgdya4Zs/edit#gid=70"&amp;"9845608"", ""Game!$A$2:$A""),0),7),""0"")"),"0")</f>
        <v>0</v>
      </c>
      <c r="J9" s="4" t="s">
        <v>395</v>
      </c>
    </row>
    <row r="10">
      <c r="A10" s="7" t="s">
        <v>179</v>
      </c>
      <c r="B10" s="40">
        <f t="array" ref="B10">INDEX(Backlog!$A$2:$E65,MATCH(A10,Backlog!$A$2:A65,0),2)</f>
        <v>53</v>
      </c>
      <c r="C10" s="40" t="str">
        <f t="array" ref="C10">INDEX(Backlog!$A$2:$E65,MATCH(A10,Backlog!$A$2:A65,0),4)</f>
        <v>Action
RPG</v>
      </c>
      <c r="D10" s="40" t="str">
        <f t="array" ref="D10">INDEX(Backlog!$A$2:$E65,MATCH(A10,Backlog!$A$2:A65,0),5)</f>
        <v>Compleat</v>
      </c>
      <c r="E10" s="45">
        <f t="array" ref="E10">INDEX(Backlog!$A$2:$G65,MATCH(A10,Backlog!$A$2:A65,0),7)</f>
        <v>43083</v>
      </c>
      <c r="F10" s="42">
        <f>'Game Rate'!A$2</f>
        <v>6.219959795</v>
      </c>
      <c r="G10" s="43" t="str">
        <f>IFERROR(__xludf.DUMMYFUNCTION("IFERROR(INDEX(IMPORTRANGE(""docs.google.com/spreadsheets/d/1Dz5m9yCjvG51SgZ1o2KfJUBBR9Y0WOI97noTgdya4Zs/edit#gid=709845608"", ""Game!$A$2:$H""), MATCH(A10,IMPORTRANGE(""docs.google.com/spreadsheets/d/1Dz5m9yCjvG51SgZ1o2KfJUBBR9Y0WOI97noTgdya4Zs/edit#gid=7"&amp;"09845608"", ""Game!$A$2:$A""),0),8),""0"")"),"0")</f>
        <v>0</v>
      </c>
      <c r="H10" s="43" t="str">
        <f>IFERROR(__xludf.DUMMYFUNCTION("IFERROR(INDEX(IMPORTRANGE(""docs.google.com/spreadsheets/d/1Dz5m9yCjvG51SgZ1o2KfJUBBR9Y0WOI97noTgdya4Zs/edit#gid=709845608"", ""Game!$A$2:$H""), MATCH(A10,IMPORTRANGE(""docs.google.com/spreadsheets/d/1Dz5m9yCjvG51SgZ1o2KfJUBBR9Y0WOI97noTgdya4Zs/edit#gid=7"&amp;"09845608"", ""Game!$A$2:$A""),0),6),""0"")"),"0")</f>
        <v>0</v>
      </c>
      <c r="I10" s="43" t="str">
        <f>IFERROR(__xludf.DUMMYFUNCTION("IFERROR(INDEX(IMPORTRANGE(""docs.google.com/spreadsheets/d/1Dz5m9yCjvG51SgZ1o2KfJUBBR9Y0WOI97noTgdya4Zs/edit#gid=709845608"", ""Game!$A$2:$H""), MATCH(A10,IMPORTRANGE(""docs.google.com/spreadsheets/d/1Dz5m9yCjvG51SgZ1o2KfJUBBR9Y0WOI97noTgdya4Zs/edit#gid=7"&amp;"09845608"", ""Game!$A$2:$A""),0),7),""0"")"),"0")</f>
        <v>0</v>
      </c>
      <c r="J10" s="4" t="s">
        <v>395</v>
      </c>
    </row>
    <row r="11">
      <c r="A11" s="7" t="s">
        <v>180</v>
      </c>
      <c r="B11" s="40">
        <f t="array" ref="B11">INDEX(Backlog!$A$2:$E65,MATCH(A11,Backlog!$A$2:A65,0),2)</f>
        <v>15.5</v>
      </c>
      <c r="C11" s="40" t="str">
        <f t="array" ref="C11">INDEX(Backlog!$A$2:$E65,MATCH(A11,Backlog!$A$2:A65,0),4)</f>
        <v>FPS</v>
      </c>
      <c r="D11" s="40" t="str">
        <f t="array" ref="D11">INDEX(Backlog!$A$2:$E65,MATCH(A11,Backlog!$A$2:A65,0),5)</f>
        <v>UnCompleat</v>
      </c>
      <c r="E11" s="45">
        <f t="array" ref="E11">INDEX(Backlog!$A$2:$G65,MATCH(A11,Backlog!$A$2:A65,0),7)</f>
        <v>43083</v>
      </c>
      <c r="F11" s="42">
        <f>'Game Rate'!A$2</f>
        <v>6.219959795</v>
      </c>
      <c r="G11" s="43" t="str">
        <f>IFERROR(__xludf.DUMMYFUNCTION("IFERROR(INDEX(IMPORTRANGE(""docs.google.com/spreadsheets/d/1Dz5m9yCjvG51SgZ1o2KfJUBBR9Y0WOI97noTgdya4Zs/edit#gid=709845608"", ""Game!$A$2:$H""), MATCH(A11,IMPORTRANGE(""docs.google.com/spreadsheets/d/1Dz5m9yCjvG51SgZ1o2KfJUBBR9Y0WOI97noTgdya4Zs/edit#gid=7"&amp;"09845608"", ""Game!$A$2:$A""),0),8),""0"")"),"0")</f>
        <v>0</v>
      </c>
      <c r="H11" s="43" t="str">
        <f>IFERROR(__xludf.DUMMYFUNCTION("IFERROR(INDEX(IMPORTRANGE(""docs.google.com/spreadsheets/d/1Dz5m9yCjvG51SgZ1o2KfJUBBR9Y0WOI97noTgdya4Zs/edit#gid=709845608"", ""Game!$A$2:$H""), MATCH(A11,IMPORTRANGE(""docs.google.com/spreadsheets/d/1Dz5m9yCjvG51SgZ1o2KfJUBBR9Y0WOI97noTgdya4Zs/edit#gid=7"&amp;"09845608"", ""Game!$A$2:$A""),0),6),""0"")"),"0")</f>
        <v>0</v>
      </c>
      <c r="I11" s="43" t="str">
        <f>IFERROR(__xludf.DUMMYFUNCTION("IFERROR(INDEX(IMPORTRANGE(""docs.google.com/spreadsheets/d/1Dz5m9yCjvG51SgZ1o2KfJUBBR9Y0WOI97noTgdya4Zs/edit#gid=709845608"", ""Game!$A$2:$H""), MATCH(A11,IMPORTRANGE(""docs.google.com/spreadsheets/d/1Dz5m9yCjvG51SgZ1o2KfJUBBR9Y0WOI97noTgdya4Zs/edit#gid=7"&amp;"09845608"", ""Game!$A$2:$A""),0),7),""0"")"),"0")</f>
        <v>0</v>
      </c>
      <c r="J11" s="4" t="s">
        <v>395</v>
      </c>
    </row>
    <row r="12">
      <c r="A12" s="7" t="s">
        <v>181</v>
      </c>
      <c r="B12" s="40">
        <f t="array" ref="B12">INDEX(Backlog!$A$2:$E65,MATCH(A12,Backlog!$A$2:A65,0),2)</f>
        <v>11</v>
      </c>
      <c r="C12" s="40" t="str">
        <f t="array" ref="C12">INDEX(Backlog!$A$2:$E65,MATCH(A12,Backlog!$A$2:A65,0),4)</f>
        <v>Space Sim</v>
      </c>
      <c r="D12" s="40" t="str">
        <f t="array" ref="D12">INDEX(Backlog!$A$2:$E65,MATCH(A12,Backlog!$A$2:A65,0),5)</f>
        <v>UnCompleat</v>
      </c>
      <c r="E12" s="45">
        <f t="array" ref="E12">INDEX(Backlog!$A$2:$G65,MATCH(A12,Backlog!$A$2:A65,0),7)</f>
        <v>43083</v>
      </c>
      <c r="F12" s="42">
        <f>'Game Rate'!A$2</f>
        <v>6.219959795</v>
      </c>
      <c r="G12" s="43" t="str">
        <f>IFERROR(__xludf.DUMMYFUNCTION("IFERROR(INDEX(IMPORTRANGE(""docs.google.com/spreadsheets/d/1Dz5m9yCjvG51SgZ1o2KfJUBBR9Y0WOI97noTgdya4Zs/edit#gid=709845608"", ""Game!$A$2:$H""), MATCH(A12,IMPORTRANGE(""docs.google.com/spreadsheets/d/1Dz5m9yCjvG51SgZ1o2KfJUBBR9Y0WOI97noTgdya4Zs/edit#gid=7"&amp;"09845608"", ""Game!$A$2:$A""),0),8),""0"")"),"0")</f>
        <v>0</v>
      </c>
      <c r="H12" s="43" t="str">
        <f>IFERROR(__xludf.DUMMYFUNCTION("IFERROR(INDEX(IMPORTRANGE(""docs.google.com/spreadsheets/d/1Dz5m9yCjvG51SgZ1o2KfJUBBR9Y0WOI97noTgdya4Zs/edit#gid=709845608"", ""Game!$A$2:$H""), MATCH(A12,IMPORTRANGE(""docs.google.com/spreadsheets/d/1Dz5m9yCjvG51SgZ1o2KfJUBBR9Y0WOI97noTgdya4Zs/edit#gid=7"&amp;"09845608"", ""Game!$A$2:$A""),0),6),""0"")"),"0")</f>
        <v>0</v>
      </c>
      <c r="I12" s="43" t="str">
        <f>IFERROR(__xludf.DUMMYFUNCTION("IFERROR(INDEX(IMPORTRANGE(""docs.google.com/spreadsheets/d/1Dz5m9yCjvG51SgZ1o2KfJUBBR9Y0WOI97noTgdya4Zs/edit#gid=709845608"", ""Game!$A$2:$H""), MATCH(A12,IMPORTRANGE(""docs.google.com/spreadsheets/d/1Dz5m9yCjvG51SgZ1o2KfJUBBR9Y0WOI97noTgdya4Zs/edit#gid=7"&amp;"09845608"", ""Game!$A$2:$A""),0),7),""0"")"),"0")</f>
        <v>0</v>
      </c>
      <c r="J12" s="4" t="s">
        <v>395</v>
      </c>
    </row>
    <row r="13">
      <c r="A13" s="7" t="s">
        <v>182</v>
      </c>
      <c r="B13" s="40">
        <f t="array" ref="B13">INDEX(Backlog!$A$2:$E65,MATCH(A13,Backlog!$A$2:A65,0),2)</f>
        <v>64</v>
      </c>
      <c r="C13" s="40" t="str">
        <f t="array" ref="C13">INDEX(Backlog!$A$2:$E65,MATCH(A13,Backlog!$A$2:A65,0),4)</f>
        <v>Grand Strategy</v>
      </c>
      <c r="D13" s="40" t="str">
        <f t="array" ref="D13">INDEX(Backlog!$A$2:$E65,MATCH(A13,Backlog!$A$2:A65,0),5)</f>
        <v>Not Started</v>
      </c>
      <c r="E13" s="45">
        <f t="array" ref="E13">INDEX(Backlog!$A$2:$G65,MATCH(A13,Backlog!$A$2:A65,0),7)</f>
        <v>43089</v>
      </c>
      <c r="F13" s="42">
        <f>'Game Rate'!A$2</f>
        <v>6.219959795</v>
      </c>
      <c r="G13" s="43" t="str">
        <f>IFERROR(__xludf.DUMMYFUNCTION("IFERROR(INDEX(IMPORTRANGE(""docs.google.com/spreadsheets/d/1Dz5m9yCjvG51SgZ1o2KfJUBBR9Y0WOI97noTgdya4Zs/edit#gid=709845608"", ""Game!$A$2:$H""), MATCH(A13,IMPORTRANGE(""docs.google.com/spreadsheets/d/1Dz5m9yCjvG51SgZ1o2KfJUBBR9Y0WOI97noTgdya4Zs/edit#gid=7"&amp;"09845608"", ""Game!$A$2:$A""),0),8),""0"")"),"0")</f>
        <v>0</v>
      </c>
      <c r="H13" s="43" t="str">
        <f>IFERROR(__xludf.DUMMYFUNCTION("IFERROR(INDEX(IMPORTRANGE(""docs.google.com/spreadsheets/d/1Dz5m9yCjvG51SgZ1o2KfJUBBR9Y0WOI97noTgdya4Zs/edit#gid=709845608"", ""Game!$A$2:$H""), MATCH(A13,IMPORTRANGE(""docs.google.com/spreadsheets/d/1Dz5m9yCjvG51SgZ1o2KfJUBBR9Y0WOI97noTgdya4Zs/edit#gid=7"&amp;"09845608"", ""Game!$A$2:$A""),0),6),""0"")"),"0")</f>
        <v>0</v>
      </c>
      <c r="I13" s="43" t="str">
        <f>IFERROR(__xludf.DUMMYFUNCTION("IFERROR(INDEX(IMPORTRANGE(""docs.google.com/spreadsheets/d/1Dz5m9yCjvG51SgZ1o2KfJUBBR9Y0WOI97noTgdya4Zs/edit#gid=709845608"", ""Game!$A$2:$H""), MATCH(A13,IMPORTRANGE(""docs.google.com/spreadsheets/d/1Dz5m9yCjvG51SgZ1o2KfJUBBR9Y0WOI97noTgdya4Zs/edit#gid=7"&amp;"09845608"", ""Game!$A$2:$A""),0),7),""0"")"),"0")</f>
        <v>0</v>
      </c>
      <c r="J13" s="4" t="s">
        <v>395</v>
      </c>
    </row>
    <row r="14">
      <c r="A14" s="22" t="s">
        <v>183</v>
      </c>
      <c r="B14" s="40">
        <f t="array" ref="B14">INDEX(Backlog!$A$2:$E65,MATCH(A14,Backlog!$A$2:A65,0),2)</f>
        <v>43</v>
      </c>
      <c r="C14" s="40" t="str">
        <f t="array" ref="C14">INDEX(Backlog!$A$2:$E65,MATCH(A14,Backlog!$A$2:A65,0),4)</f>
        <v>Grand Strategy</v>
      </c>
      <c r="D14" s="40" t="str">
        <f t="array" ref="D14">INDEX(Backlog!$A$2:$E65,MATCH(A14,Backlog!$A$2:A65,0),5)</f>
        <v>Not Started</v>
      </c>
      <c r="E14" s="45">
        <f t="array" ref="E14">INDEX(Backlog!$A$2:$G65,MATCH(A14,Backlog!$A$2:A65,0),7)</f>
        <v>43089</v>
      </c>
      <c r="F14" s="42">
        <f>'Game Rate'!A$2</f>
        <v>6.219959795</v>
      </c>
      <c r="G14" s="43" t="str">
        <f>IFERROR(__xludf.DUMMYFUNCTION("IFERROR(INDEX(IMPORTRANGE(""docs.google.com/spreadsheets/d/1Dz5m9yCjvG51SgZ1o2KfJUBBR9Y0WOI97noTgdya4Zs/edit#gid=709845608"", ""Game!$A$2:$H""), MATCH(A14,IMPORTRANGE(""docs.google.com/spreadsheets/d/1Dz5m9yCjvG51SgZ1o2KfJUBBR9Y0WOI97noTgdya4Zs/edit#gid=7"&amp;"09845608"", ""Game!$A$2:$A""),0),8),""0"")"),"0")</f>
        <v>0</v>
      </c>
      <c r="H14" s="43" t="str">
        <f>IFERROR(__xludf.DUMMYFUNCTION("IFERROR(INDEX(IMPORTRANGE(""docs.google.com/spreadsheets/d/1Dz5m9yCjvG51SgZ1o2KfJUBBR9Y0WOI97noTgdya4Zs/edit#gid=709845608"", ""Game!$A$2:$H""), MATCH(A14,IMPORTRANGE(""docs.google.com/spreadsheets/d/1Dz5m9yCjvG51SgZ1o2KfJUBBR9Y0WOI97noTgdya4Zs/edit#gid=7"&amp;"09845608"", ""Game!$A$2:$A""),0),6),""0"")"),"0")</f>
        <v>0</v>
      </c>
      <c r="I14" s="43" t="str">
        <f>IFERROR(__xludf.DUMMYFUNCTION("IFERROR(INDEX(IMPORTRANGE(""docs.google.com/spreadsheets/d/1Dz5m9yCjvG51SgZ1o2KfJUBBR9Y0WOI97noTgdya4Zs/edit#gid=709845608"", ""Game!$A$2:$H""), MATCH(A14,IMPORTRANGE(""docs.google.com/spreadsheets/d/1Dz5m9yCjvG51SgZ1o2KfJUBBR9Y0WOI97noTgdya4Zs/edit#gid=7"&amp;"09845608"", ""Game!$A$2:$A""),0),7),""0"")"),"0")</f>
        <v>0</v>
      </c>
      <c r="J14" s="4" t="s">
        <v>395</v>
      </c>
    </row>
    <row r="15">
      <c r="A15" s="7" t="s">
        <v>184</v>
      </c>
      <c r="B15" s="40">
        <f t="array" ref="B15">INDEX(Backlog!$A$2:$E65,MATCH(A15,Backlog!$A$2:A65,0),2)</f>
        <v>7</v>
      </c>
      <c r="C15" s="40" t="str">
        <f t="array" ref="C15">INDEX(Backlog!$A$2:$E65,MATCH(A15,Backlog!$A$2:A65,0),4)</f>
        <v>Space Sim</v>
      </c>
      <c r="D15" s="40" t="str">
        <f t="array" ref="D15">INDEX(Backlog!$A$2:$E65,MATCH(A15,Backlog!$A$2:A65,0),5)</f>
        <v>Compleat</v>
      </c>
      <c r="E15" s="45">
        <f t="array" ref="E15">INDEX(Backlog!$A$2:$G65,MATCH(A15,Backlog!$A$2:A65,0),7)</f>
        <v>43089</v>
      </c>
      <c r="F15" s="42">
        <f>'Game Rate'!A$2</f>
        <v>6.219959795</v>
      </c>
      <c r="G15" s="43">
        <f>IFERROR(__xludf.DUMMYFUNCTION("IFERROR(INDEX(IMPORTRANGE(""docs.google.com/spreadsheets/d/1Dz5m9yCjvG51SgZ1o2KfJUBBR9Y0WOI97noTgdya4Zs/edit#gid=709845608"", ""Game!$A$2:$H""), MATCH(A15,IMPORTRANGE(""docs.google.com/spreadsheets/d/1Dz5m9yCjvG51SgZ1o2KfJUBBR9Y0WOI97noTgdya4Zs/edit#gid=7"&amp;"09845608"", ""Game!$A$2:$A""),0),8),""0"")"),8.8)</f>
        <v>8.8</v>
      </c>
      <c r="H15" s="43">
        <f>IFERROR(__xludf.DUMMYFUNCTION("IFERROR(INDEX(IMPORTRANGE(""docs.google.com/spreadsheets/d/1Dz5m9yCjvG51SgZ1o2KfJUBBR9Y0WOI97noTgdya4Zs/edit#gid=709845608"", ""Game!$A$2:$H""), MATCH(A15,IMPORTRANGE(""docs.google.com/spreadsheets/d/1Dz5m9yCjvG51SgZ1o2KfJUBBR9Y0WOI97noTgdya4Zs/edit#gid=7"&amp;"09845608"", ""Game!$A$2:$A""),0),6),""0"")"),1.0)</f>
        <v>1</v>
      </c>
      <c r="I15" s="43">
        <f>IFERROR(__xludf.DUMMYFUNCTION("IFERROR(INDEX(IMPORTRANGE(""docs.google.com/spreadsheets/d/1Dz5m9yCjvG51SgZ1o2KfJUBBR9Y0WOI97noTgdya4Zs/edit#gid=709845608"", ""Game!$A$2:$H""), MATCH(A15,IMPORTRANGE(""docs.google.com/spreadsheets/d/1Dz5m9yCjvG51SgZ1o2KfJUBBR9Y0WOI97noTgdya4Zs/edit#gid=7"&amp;"09845608"", ""Game!$A$2:$A""),0),7),""0"")"),8.8)</f>
        <v>8.8</v>
      </c>
      <c r="J15" s="4" t="s">
        <v>395</v>
      </c>
    </row>
    <row r="16">
      <c r="A16" s="7" t="s">
        <v>185</v>
      </c>
      <c r="B16" s="40">
        <f t="array" ref="B16">INDEX(Backlog!$A$2:$E65,MATCH(A16,Backlog!$A$2:A65,0),2)</f>
        <v>26</v>
      </c>
      <c r="C16" s="40" t="str">
        <f t="array" ref="C16">INDEX(Backlog!$A$2:$E65,MATCH(A16,Backlog!$A$2:A65,0),4)</f>
        <v>Space Sim</v>
      </c>
      <c r="D16" s="40" t="str">
        <f t="array" ref="D16">INDEX(Backlog!$A$2:$E65,MATCH(A16,Backlog!$A$2:A65,0),5)</f>
        <v>Not Started</v>
      </c>
      <c r="E16" s="45">
        <f t="array" ref="E16">INDEX(Backlog!$A$2:$G65,MATCH(A16,Backlog!$A$2:A65,0),7)</f>
        <v>43089</v>
      </c>
      <c r="F16" s="42">
        <f>'Game Rate'!A$2</f>
        <v>6.219959795</v>
      </c>
      <c r="G16" s="43" t="str">
        <f>IFERROR(__xludf.DUMMYFUNCTION("IFERROR(INDEX(IMPORTRANGE(""docs.google.com/spreadsheets/d/1Dz5m9yCjvG51SgZ1o2KfJUBBR9Y0WOI97noTgdya4Zs/edit#gid=709845608"", ""Game!$A$2:$H""), MATCH(A16,IMPORTRANGE(""docs.google.com/spreadsheets/d/1Dz5m9yCjvG51SgZ1o2KfJUBBR9Y0WOI97noTgdya4Zs/edit#gid=7"&amp;"09845608"", ""Game!$A$2:$A""),0),8),""0"")"),"0")</f>
        <v>0</v>
      </c>
      <c r="H16" s="43" t="str">
        <f>IFERROR(__xludf.DUMMYFUNCTION("IFERROR(INDEX(IMPORTRANGE(""docs.google.com/spreadsheets/d/1Dz5m9yCjvG51SgZ1o2KfJUBBR9Y0WOI97noTgdya4Zs/edit#gid=709845608"", ""Game!$A$2:$H""), MATCH(A16,IMPORTRANGE(""docs.google.com/spreadsheets/d/1Dz5m9yCjvG51SgZ1o2KfJUBBR9Y0WOI97noTgdya4Zs/edit#gid=7"&amp;"09845608"", ""Game!$A$2:$A""),0),6),""0"")"),"0")</f>
        <v>0</v>
      </c>
      <c r="I16" s="43" t="str">
        <f>IFERROR(__xludf.DUMMYFUNCTION("IFERROR(INDEX(IMPORTRANGE(""docs.google.com/spreadsheets/d/1Dz5m9yCjvG51SgZ1o2KfJUBBR9Y0WOI97noTgdya4Zs/edit#gid=709845608"", ""Game!$A$2:$H""), MATCH(A16,IMPORTRANGE(""docs.google.com/spreadsheets/d/1Dz5m9yCjvG51SgZ1o2KfJUBBR9Y0WOI97noTgdya4Zs/edit#gid=7"&amp;"09845608"", ""Game!$A$2:$A""),0),7),""0"")"),"0")</f>
        <v>0</v>
      </c>
      <c r="J16" s="4" t="s">
        <v>395</v>
      </c>
    </row>
    <row r="17">
      <c r="A17" s="7" t="s">
        <v>186</v>
      </c>
      <c r="B17" s="40">
        <f t="array" ref="B17">INDEX(Backlog!$A$2:$E65,MATCH(A17,Backlog!$A$2:A65,0),2)</f>
        <v>16</v>
      </c>
      <c r="C17" s="40" t="str">
        <f t="array" ref="C17">INDEX(Backlog!$A$2:$E65,MATCH(A17,Backlog!$A$2:A65,0),4)</f>
        <v>Hack and Slash</v>
      </c>
      <c r="D17" s="40" t="str">
        <f t="array" ref="D17">INDEX(Backlog!$A$2:$E65,MATCH(A17,Backlog!$A$2:A65,0),5)</f>
        <v>Compleat</v>
      </c>
      <c r="E17" s="45">
        <f t="array" ref="E17">INDEX(Backlog!$A$2:$G65,MATCH(A17,Backlog!$A$2:A65,0),7)</f>
        <v>43089</v>
      </c>
      <c r="F17" s="42">
        <f>'Game Rate'!A$2</f>
        <v>6.219959795</v>
      </c>
      <c r="G17" s="43" t="str">
        <f>IFERROR(__xludf.DUMMYFUNCTION("IFERROR(INDEX(IMPORTRANGE(""docs.google.com/spreadsheets/d/1Dz5m9yCjvG51SgZ1o2KfJUBBR9Y0WOI97noTgdya4Zs/edit#gid=709845608"", ""Game!$A$2:$H""), MATCH(A17,IMPORTRANGE(""docs.google.com/spreadsheets/d/1Dz5m9yCjvG51SgZ1o2KfJUBBR9Y0WOI97noTgdya4Zs/edit#gid=7"&amp;"09845608"", ""Game!$A$2:$A""),0),8),""0"")"),"0")</f>
        <v>0</v>
      </c>
      <c r="H17" s="43" t="str">
        <f>IFERROR(__xludf.DUMMYFUNCTION("IFERROR(INDEX(IMPORTRANGE(""docs.google.com/spreadsheets/d/1Dz5m9yCjvG51SgZ1o2KfJUBBR9Y0WOI97noTgdya4Zs/edit#gid=709845608"", ""Game!$A$2:$H""), MATCH(A17,IMPORTRANGE(""docs.google.com/spreadsheets/d/1Dz5m9yCjvG51SgZ1o2KfJUBBR9Y0WOI97noTgdya4Zs/edit#gid=7"&amp;"09845608"", ""Game!$A$2:$A""),0),6),""0"")"),"0")</f>
        <v>0</v>
      </c>
      <c r="I17" s="43" t="str">
        <f>IFERROR(__xludf.DUMMYFUNCTION("IFERROR(INDEX(IMPORTRANGE(""docs.google.com/spreadsheets/d/1Dz5m9yCjvG51SgZ1o2KfJUBBR9Y0WOI97noTgdya4Zs/edit#gid=709845608"", ""Game!$A$2:$H""), MATCH(A17,IMPORTRANGE(""docs.google.com/spreadsheets/d/1Dz5m9yCjvG51SgZ1o2KfJUBBR9Y0WOI97noTgdya4Zs/edit#gid=7"&amp;"09845608"", ""Game!$A$2:$A""),0),7),""0"")"),"0")</f>
        <v>0</v>
      </c>
      <c r="J17" s="4" t="s">
        <v>395</v>
      </c>
    </row>
    <row r="18">
      <c r="A18" s="7" t="s">
        <v>187</v>
      </c>
      <c r="B18" s="40">
        <f t="array" ref="B18">INDEX(Backlog!$A$2:$E65,MATCH(A18,Backlog!$A$2:A65,0),2)</f>
        <v>12</v>
      </c>
      <c r="C18" s="40" t="str">
        <f t="array" ref="C18">INDEX(Backlog!$A$2:$E65,MATCH(A18,Backlog!$A$2:A65,0),4)</f>
        <v>Hack and Slash</v>
      </c>
      <c r="D18" s="40" t="str">
        <f t="array" ref="D18">INDEX(Backlog!$A$2:$E65,MATCH(A18,Backlog!$A$2:A65,0),5)</f>
        <v>Compleat</v>
      </c>
      <c r="E18" s="45">
        <f t="array" ref="E18">INDEX(Backlog!$A$2:$G65,MATCH(A18,Backlog!$A$2:A65,0),7)</f>
        <v>43089</v>
      </c>
      <c r="F18" s="42">
        <f>'Game Rate'!A$2</f>
        <v>6.219959795</v>
      </c>
      <c r="G18" s="43" t="str">
        <f>IFERROR(__xludf.DUMMYFUNCTION("IFERROR(INDEX(IMPORTRANGE(""docs.google.com/spreadsheets/d/1Dz5m9yCjvG51SgZ1o2KfJUBBR9Y0WOI97noTgdya4Zs/edit#gid=709845608"", ""Game!$A$2:$H""), MATCH(A18,IMPORTRANGE(""docs.google.com/spreadsheets/d/1Dz5m9yCjvG51SgZ1o2KfJUBBR9Y0WOI97noTgdya4Zs/edit#gid=7"&amp;"09845608"", ""Game!$A$2:$A""),0),8),""0"")"),"0")</f>
        <v>0</v>
      </c>
      <c r="H18" s="43" t="str">
        <f>IFERROR(__xludf.DUMMYFUNCTION("IFERROR(INDEX(IMPORTRANGE(""docs.google.com/spreadsheets/d/1Dz5m9yCjvG51SgZ1o2KfJUBBR9Y0WOI97noTgdya4Zs/edit#gid=709845608"", ""Game!$A$2:$H""), MATCH(A18,IMPORTRANGE(""docs.google.com/spreadsheets/d/1Dz5m9yCjvG51SgZ1o2KfJUBBR9Y0WOI97noTgdya4Zs/edit#gid=7"&amp;"09845608"", ""Game!$A$2:$A""),0),6),""0"")"),"0")</f>
        <v>0</v>
      </c>
      <c r="I18" s="43" t="str">
        <f>IFERROR(__xludf.DUMMYFUNCTION("IFERROR(INDEX(IMPORTRANGE(""docs.google.com/spreadsheets/d/1Dz5m9yCjvG51SgZ1o2KfJUBBR9Y0WOI97noTgdya4Zs/edit#gid=709845608"", ""Game!$A$2:$H""), MATCH(A18,IMPORTRANGE(""docs.google.com/spreadsheets/d/1Dz5m9yCjvG51SgZ1o2KfJUBBR9Y0WOI97noTgdya4Zs/edit#gid=7"&amp;"09845608"", ""Game!$A$2:$A""),0),7),""0"")"),"0")</f>
        <v>0</v>
      </c>
      <c r="J18" s="4" t="s">
        <v>395</v>
      </c>
    </row>
    <row r="19">
      <c r="A19" s="7" t="s">
        <v>188</v>
      </c>
      <c r="B19" s="40">
        <f t="array" ref="B19">INDEX(Backlog!$A$2:$E65,MATCH(A19,Backlog!$A$2:A65,0),2)</f>
        <v>57</v>
      </c>
      <c r="C19" s="40" t="str">
        <f t="array" ref="C19">INDEX(Backlog!$A$2:$E65,MATCH(A19,Backlog!$A$2:A65,0),4)</f>
        <v>Space Sim</v>
      </c>
      <c r="D19" s="40" t="str">
        <f t="array" ref="D19">INDEX(Backlog!$A$2:$E65,MATCH(A19,Backlog!$A$2:A65,0),5)</f>
        <v>Not Started</v>
      </c>
      <c r="E19" s="45">
        <f t="array" ref="E19">INDEX(Backlog!$A$2:$G65,MATCH(A19,Backlog!$A$2:A65,0),7)</f>
        <v>43089</v>
      </c>
      <c r="F19" s="42">
        <f>'Game Rate'!A$2</f>
        <v>6.219959795</v>
      </c>
      <c r="G19" s="43" t="str">
        <f>IFERROR(__xludf.DUMMYFUNCTION("IFERROR(INDEX(IMPORTRANGE(""docs.google.com/spreadsheets/d/1Dz5m9yCjvG51SgZ1o2KfJUBBR9Y0WOI97noTgdya4Zs/edit#gid=709845608"", ""Game!$A$2:$H""), MATCH(A19,IMPORTRANGE(""docs.google.com/spreadsheets/d/1Dz5m9yCjvG51SgZ1o2KfJUBBR9Y0WOI97noTgdya4Zs/edit#gid=7"&amp;"09845608"", ""Game!$A$2:$A""),0),8),""0"")"),"0")</f>
        <v>0</v>
      </c>
      <c r="H19" s="43" t="str">
        <f>IFERROR(__xludf.DUMMYFUNCTION("IFERROR(INDEX(IMPORTRANGE(""docs.google.com/spreadsheets/d/1Dz5m9yCjvG51SgZ1o2KfJUBBR9Y0WOI97noTgdya4Zs/edit#gid=709845608"", ""Game!$A$2:$H""), MATCH(A19,IMPORTRANGE(""docs.google.com/spreadsheets/d/1Dz5m9yCjvG51SgZ1o2KfJUBBR9Y0WOI97noTgdya4Zs/edit#gid=7"&amp;"09845608"", ""Game!$A$2:$A""),0),6),""0"")"),"0")</f>
        <v>0</v>
      </c>
      <c r="I19" s="43" t="str">
        <f>IFERROR(__xludf.DUMMYFUNCTION("IFERROR(INDEX(IMPORTRANGE(""docs.google.com/spreadsheets/d/1Dz5m9yCjvG51SgZ1o2KfJUBBR9Y0WOI97noTgdya4Zs/edit#gid=709845608"", ""Game!$A$2:$H""), MATCH(A19,IMPORTRANGE(""docs.google.com/spreadsheets/d/1Dz5m9yCjvG51SgZ1o2KfJUBBR9Y0WOI97noTgdya4Zs/edit#gid=7"&amp;"09845608"", ""Game!$A$2:$A""),0),7),""0"")"),"0")</f>
        <v>0</v>
      </c>
      <c r="J19" s="4" t="s">
        <v>395</v>
      </c>
    </row>
    <row r="20">
      <c r="A20" s="7" t="s">
        <v>189</v>
      </c>
      <c r="B20" s="40">
        <f t="array" ref="B20">INDEX(Backlog!$A$2:$E65,MATCH(A20,Backlog!$A$2:A65,0),2)</f>
        <v>22</v>
      </c>
      <c r="C20" s="40" t="str">
        <f t="array" ref="C20">INDEX(Backlog!$A$2:$E65,MATCH(A20,Backlog!$A$2:A65,0),4)</f>
        <v>Space Sim</v>
      </c>
      <c r="D20" s="40" t="str">
        <f t="array" ref="D20">INDEX(Backlog!$A$2:$E65,MATCH(A20,Backlog!$A$2:A65,0),5)</f>
        <v>Not Started</v>
      </c>
      <c r="E20" s="45">
        <f t="array" ref="E20">INDEX(Backlog!$A$2:$G65,MATCH(A20,Backlog!$A$2:A65,0),7)</f>
        <v>43089</v>
      </c>
      <c r="F20" s="42">
        <f>'Game Rate'!A$2</f>
        <v>6.219959795</v>
      </c>
      <c r="G20" s="43" t="str">
        <f>IFERROR(__xludf.DUMMYFUNCTION("IFERROR(INDEX(IMPORTRANGE(""docs.google.com/spreadsheets/d/1Dz5m9yCjvG51SgZ1o2KfJUBBR9Y0WOI97noTgdya4Zs/edit#gid=709845608"", ""Game!$A$2:$H""), MATCH(A20,IMPORTRANGE(""docs.google.com/spreadsheets/d/1Dz5m9yCjvG51SgZ1o2KfJUBBR9Y0WOI97noTgdya4Zs/edit#gid=7"&amp;"09845608"", ""Game!$A$2:$A""),0),8),""0"")"),"0")</f>
        <v>0</v>
      </c>
      <c r="H20" s="43" t="str">
        <f>IFERROR(__xludf.DUMMYFUNCTION("IFERROR(INDEX(IMPORTRANGE(""docs.google.com/spreadsheets/d/1Dz5m9yCjvG51SgZ1o2KfJUBBR9Y0WOI97noTgdya4Zs/edit#gid=709845608"", ""Game!$A$2:$H""), MATCH(A20,IMPORTRANGE(""docs.google.com/spreadsheets/d/1Dz5m9yCjvG51SgZ1o2KfJUBBR9Y0WOI97noTgdya4Zs/edit#gid=7"&amp;"09845608"", ""Game!$A$2:$A""),0),6),""0"")"),"0")</f>
        <v>0</v>
      </c>
      <c r="I20" s="43" t="str">
        <f>IFERROR(__xludf.DUMMYFUNCTION("IFERROR(INDEX(IMPORTRANGE(""docs.google.com/spreadsheets/d/1Dz5m9yCjvG51SgZ1o2KfJUBBR9Y0WOI97noTgdya4Zs/edit#gid=709845608"", ""Game!$A$2:$H""), MATCH(A20,IMPORTRANGE(""docs.google.com/spreadsheets/d/1Dz5m9yCjvG51SgZ1o2KfJUBBR9Y0WOI97noTgdya4Zs/edit#gid=7"&amp;"09845608"", ""Game!$A$2:$A""),0),7),""0"")"),"0")</f>
        <v>0</v>
      </c>
      <c r="J20" s="4" t="s">
        <v>395</v>
      </c>
    </row>
    <row r="21">
      <c r="A21" s="7" t="s">
        <v>190</v>
      </c>
      <c r="B21" s="40">
        <f t="array" ref="B21">INDEX(Backlog!$A$2:$E65,MATCH(A21,Backlog!$A$2:A65,0),2)</f>
        <v>46</v>
      </c>
      <c r="C21" s="40" t="str">
        <f t="array" ref="C21">INDEX(Backlog!$A$2:$E65,MATCH(A21,Backlog!$A$2:A65,0),4)</f>
        <v>Space Sim</v>
      </c>
      <c r="D21" s="40" t="str">
        <f t="array" ref="D21">INDEX(Backlog!$A$2:$E65,MATCH(A21,Backlog!$A$2:A65,0),5)</f>
        <v>Not Started</v>
      </c>
      <c r="E21" s="45">
        <f t="array" ref="E21">INDEX(Backlog!$A$2:$G65,MATCH(A21,Backlog!$A$2:A65,0),7)</f>
        <v>43089</v>
      </c>
      <c r="F21" s="42">
        <f>'Game Rate'!A$2</f>
        <v>6.219959795</v>
      </c>
      <c r="G21" s="43" t="str">
        <f>IFERROR(__xludf.DUMMYFUNCTION("IFERROR(INDEX(IMPORTRANGE(""docs.google.com/spreadsheets/d/1Dz5m9yCjvG51SgZ1o2KfJUBBR9Y0WOI97noTgdya4Zs/edit#gid=709845608"", ""Game!$A$2:$H""), MATCH(A21,IMPORTRANGE(""docs.google.com/spreadsheets/d/1Dz5m9yCjvG51SgZ1o2KfJUBBR9Y0WOI97noTgdya4Zs/edit#gid=7"&amp;"09845608"", ""Game!$A$2:$A""),0),8),""0"")"),"0")</f>
        <v>0</v>
      </c>
      <c r="H21" s="43" t="str">
        <f>IFERROR(__xludf.DUMMYFUNCTION("IFERROR(INDEX(IMPORTRANGE(""docs.google.com/spreadsheets/d/1Dz5m9yCjvG51SgZ1o2KfJUBBR9Y0WOI97noTgdya4Zs/edit#gid=709845608"", ""Game!$A$2:$H""), MATCH(A21,IMPORTRANGE(""docs.google.com/spreadsheets/d/1Dz5m9yCjvG51SgZ1o2KfJUBBR9Y0WOI97noTgdya4Zs/edit#gid=7"&amp;"09845608"", ""Game!$A$2:$A""),0),6),""0"")"),"0")</f>
        <v>0</v>
      </c>
      <c r="I21" s="43" t="str">
        <f>IFERROR(__xludf.DUMMYFUNCTION("IFERROR(INDEX(IMPORTRANGE(""docs.google.com/spreadsheets/d/1Dz5m9yCjvG51SgZ1o2KfJUBBR9Y0WOI97noTgdya4Zs/edit#gid=709845608"", ""Game!$A$2:$H""), MATCH(A21,IMPORTRANGE(""docs.google.com/spreadsheets/d/1Dz5m9yCjvG51SgZ1o2KfJUBBR9Y0WOI97noTgdya4Zs/edit#gid=7"&amp;"09845608"", ""Game!$A$2:$A""),0),7),""0"")"),"0")</f>
        <v>0</v>
      </c>
      <c r="J21" s="4" t="s">
        <v>395</v>
      </c>
    </row>
    <row r="22">
      <c r="A22" s="7" t="s">
        <v>220</v>
      </c>
      <c r="B22" s="40">
        <f t="array" ref="B22">INDEX(Backlog!$A$2:$E65,MATCH(A22,Backlog!$A$2:A65,0),2)</f>
        <v>20</v>
      </c>
      <c r="C22" s="40" t="str">
        <f t="array" ref="C22">INDEX(Backlog!$A$2:$E65,MATCH(A22,Backlog!$A$2:A65,0),4)</f>
        <v>FPS</v>
      </c>
      <c r="D22" s="40" t="str">
        <f t="array" ref="D22">INDEX(Backlog!$A$2:$E65,MATCH(A22,Backlog!$A$2:A65,0),5)</f>
        <v>Not Started</v>
      </c>
      <c r="E22" s="41">
        <f t="array" ref="E22">INDEX(Backlog!$A$2:$G65,MATCH(A22,Backlog!$A$2:A65,0),7)</f>
        <v>43222</v>
      </c>
      <c r="F22" s="42">
        <f>'Game Rate'!A$2</f>
        <v>6.219959795</v>
      </c>
      <c r="G22" s="43" t="str">
        <f>IFERROR(__xludf.DUMMYFUNCTION("IFERROR(INDEX(IMPORTRANGE(""docs.google.com/spreadsheets/d/1Dz5m9yCjvG51SgZ1o2KfJUBBR9Y0WOI97noTgdya4Zs/edit#gid=709845608"", ""Game!$A$2:$H""), MATCH(A22,IMPORTRANGE(""docs.google.com/spreadsheets/d/1Dz5m9yCjvG51SgZ1o2KfJUBBR9Y0WOI97noTgdya4Zs/edit#gid=7"&amp;"09845608"", ""Game!$A$2:$A""),0),8),""0"")"),"0")</f>
        <v>0</v>
      </c>
      <c r="H22" s="43" t="str">
        <f>IFERROR(__xludf.DUMMYFUNCTION("IFERROR(INDEX(IMPORTRANGE(""docs.google.com/spreadsheets/d/1Dz5m9yCjvG51SgZ1o2KfJUBBR9Y0WOI97noTgdya4Zs/edit#gid=709845608"", ""Game!$A$2:$H""), MATCH(A22,IMPORTRANGE(""docs.google.com/spreadsheets/d/1Dz5m9yCjvG51SgZ1o2KfJUBBR9Y0WOI97noTgdya4Zs/edit#gid=7"&amp;"09845608"", ""Game!$A$2:$A""),0),6),""0"")"),"0")</f>
        <v>0</v>
      </c>
      <c r="I22" s="43" t="str">
        <f>IFERROR(__xludf.DUMMYFUNCTION("IFERROR(INDEX(IMPORTRANGE(""docs.google.com/spreadsheets/d/1Dz5m9yCjvG51SgZ1o2KfJUBBR9Y0WOI97noTgdya4Zs/edit#gid=709845608"", ""Game!$A$2:$H""), MATCH(A22,IMPORTRANGE(""docs.google.com/spreadsheets/d/1Dz5m9yCjvG51SgZ1o2KfJUBBR9Y0WOI97noTgdya4Zs/edit#gid=7"&amp;"09845608"", ""Game!$A$2:$A""),0),7),""0"")"),"0")</f>
        <v>0</v>
      </c>
      <c r="J22" s="4" t="s">
        <v>395</v>
      </c>
    </row>
    <row r="23">
      <c r="A23" s="7" t="s">
        <v>289</v>
      </c>
      <c r="B23" s="40">
        <f t="array" ref="B23">INDEX(Backlog!$A$2:$E65,MATCH(A23,Backlog!$A$2:A65,0),2)</f>
        <v>54</v>
      </c>
      <c r="C23" s="40" t="str">
        <f t="array" ref="C23">INDEX(Backlog!$A$2:$E65,MATCH(A23,Backlog!$A$2:A65,0),4)</f>
        <v>FPS</v>
      </c>
      <c r="D23" s="40" t="str">
        <f t="array" ref="D23">INDEX(Backlog!$A$2:$E65,MATCH(A23,Backlog!$A$2:A65,0),5)</f>
        <v>Not Started</v>
      </c>
      <c r="E23" s="41">
        <f t="array" ref="E23">INDEX(Backlog!$A$2:$G65,MATCH(A23,Backlog!$A$2:A65,0),7)</f>
        <v>43604</v>
      </c>
      <c r="F23" s="42">
        <f>'Game Rate'!A$2</f>
        <v>6.219959795</v>
      </c>
      <c r="G23" s="43" t="str">
        <f>IFERROR(__xludf.DUMMYFUNCTION("IFERROR(INDEX(IMPORTRANGE(""docs.google.com/spreadsheets/d/1Dz5m9yCjvG51SgZ1o2KfJUBBR9Y0WOI97noTgdya4Zs/edit#gid=709845608"", ""Game!$A$2:$H""), MATCH(A23,IMPORTRANGE(""docs.google.com/spreadsheets/d/1Dz5m9yCjvG51SgZ1o2KfJUBBR9Y0WOI97noTgdya4Zs/edit#gid=7"&amp;"09845608"", ""Game!$A$2:$A""),0),8),""0"")"),"0")</f>
        <v>0</v>
      </c>
      <c r="H23" s="43" t="str">
        <f>IFERROR(__xludf.DUMMYFUNCTION("IFERROR(INDEX(IMPORTRANGE(""docs.google.com/spreadsheets/d/1Dz5m9yCjvG51SgZ1o2KfJUBBR9Y0WOI97noTgdya4Zs/edit#gid=709845608"", ""Game!$A$2:$H""), MATCH(A23,IMPORTRANGE(""docs.google.com/spreadsheets/d/1Dz5m9yCjvG51SgZ1o2KfJUBBR9Y0WOI97noTgdya4Zs/edit#gid=7"&amp;"09845608"", ""Game!$A$2:$A""),0),6),""0"")"),"0")</f>
        <v>0</v>
      </c>
      <c r="I23" s="43" t="str">
        <f>IFERROR(__xludf.DUMMYFUNCTION("IFERROR(INDEX(IMPORTRANGE(""docs.google.com/spreadsheets/d/1Dz5m9yCjvG51SgZ1o2KfJUBBR9Y0WOI97noTgdya4Zs/edit#gid=709845608"", ""Game!$A$2:$H""), MATCH(A23,IMPORTRANGE(""docs.google.com/spreadsheets/d/1Dz5m9yCjvG51SgZ1o2KfJUBBR9Y0WOI97noTgdya4Zs/edit#gid=7"&amp;"09845608"", ""Game!$A$2:$A""),0),7),""0"")"),"0")</f>
        <v>0</v>
      </c>
      <c r="J23" s="4" t="s">
        <v>395</v>
      </c>
    </row>
    <row r="24">
      <c r="A24" s="7" t="s">
        <v>322</v>
      </c>
      <c r="B24" s="40">
        <f t="array" ref="B24">INDEX(Backlog!$A$2:$E65,MATCH(A24,Backlog!$A$2:A65,0),2)</f>
        <v>15</v>
      </c>
      <c r="C24" s="40" t="str">
        <f t="array" ref="C24">INDEX(Backlog!$A$2:$E65,MATCH(A24,Backlog!$A$2:A65,0),4)</f>
        <v>Space Sim</v>
      </c>
      <c r="D24" s="40" t="str">
        <f t="array" ref="D24">INDEX(Backlog!$A$2:$E65,MATCH(A24,Backlog!$A$2:A65,0),5)</f>
        <v>UnCompleat</v>
      </c>
      <c r="E24" s="41">
        <f t="array" ref="E24">INDEX(Backlog!$A$2:$G65,MATCH(A24,Backlog!$A$2:A65,0),7)</f>
        <v>44105</v>
      </c>
      <c r="F24" s="42">
        <f>'Game Rate'!A$2</f>
        <v>6.219959795</v>
      </c>
      <c r="G24" s="43" t="str">
        <f>IFERROR(__xludf.DUMMYFUNCTION("IFERROR(INDEX(IMPORTRANGE(""docs.google.com/spreadsheets/d/1Dz5m9yCjvG51SgZ1o2KfJUBBR9Y0WOI97noTgdya4Zs/edit#gid=709845608"", ""Game!$A$2:$H""), MATCH(A24,IMPORTRANGE(""docs.google.com/spreadsheets/d/1Dz5m9yCjvG51SgZ1o2KfJUBBR9Y0WOI97noTgdya4Zs/edit#gid=7"&amp;"09845608"", ""Game!$A$2:$A""),0),8),""0"")"),"0")</f>
        <v>0</v>
      </c>
      <c r="H24" s="43" t="str">
        <f>IFERROR(__xludf.DUMMYFUNCTION("IFERROR(INDEX(IMPORTRANGE(""docs.google.com/spreadsheets/d/1Dz5m9yCjvG51SgZ1o2KfJUBBR9Y0WOI97noTgdya4Zs/edit#gid=709845608"", ""Game!$A$2:$H""), MATCH(A24,IMPORTRANGE(""docs.google.com/spreadsheets/d/1Dz5m9yCjvG51SgZ1o2KfJUBBR9Y0WOI97noTgdya4Zs/edit#gid=7"&amp;"09845608"", ""Game!$A$2:$A""),0),6),""0"")"),"0")</f>
        <v>0</v>
      </c>
      <c r="I24" s="43" t="str">
        <f>IFERROR(__xludf.DUMMYFUNCTION("IFERROR(INDEX(IMPORTRANGE(""docs.google.com/spreadsheets/d/1Dz5m9yCjvG51SgZ1o2KfJUBBR9Y0WOI97noTgdya4Zs/edit#gid=709845608"", ""Game!$A$2:$H""), MATCH(A24,IMPORTRANGE(""docs.google.com/spreadsheets/d/1Dz5m9yCjvG51SgZ1o2KfJUBBR9Y0WOI97noTgdya4Zs/edit#gid=7"&amp;"09845608"", ""Game!$A$2:$A""),0),7),""0"")"),"0")</f>
        <v>0</v>
      </c>
      <c r="J24" s="4" t="s">
        <v>395</v>
      </c>
    </row>
    <row r="25">
      <c r="A25" s="7" t="s">
        <v>329</v>
      </c>
      <c r="B25" s="40">
        <f t="array" ref="B25">INDEX(Backlog!$A$2:$E65,MATCH(A25,Backlog!$A$2:A65,0),2)</f>
        <v>31</v>
      </c>
      <c r="C25" s="40" t="str">
        <f t="array" ref="C25">INDEX(Backlog!$A$2:$E65,MATCH(A25,Backlog!$A$2:A65,0),4)</f>
        <v>Action &amp;
Adventure</v>
      </c>
      <c r="D25" s="40" t="str">
        <f t="array" ref="D25">INDEX(Backlog!$A$2:$E65,MATCH(A25,Backlog!$A$2:A65,0),5)</f>
        <v>Compleat</v>
      </c>
      <c r="E25" s="45">
        <f t="array" ref="E25">INDEX(Backlog!$A$2:$G65,MATCH(A25,Backlog!$A$2:A65,0),7)</f>
        <v>44135</v>
      </c>
      <c r="F25" s="42">
        <f>'Game Rate'!A$2</f>
        <v>6.219959795</v>
      </c>
      <c r="G25" s="43">
        <f>IFERROR(__xludf.DUMMYFUNCTION("IFERROR(INDEX(IMPORTRANGE(""docs.google.com/spreadsheets/d/1Dz5m9yCjvG51SgZ1o2KfJUBBR9Y0WOI97noTgdya4Zs/edit#gid=709845608"", ""Game!$A$2:$H""), MATCH(A25,IMPORTRANGE(""docs.google.com/spreadsheets/d/1Dz5m9yCjvG51SgZ1o2KfJUBBR9Y0WOI97noTgdya4Zs/edit#gid=7"&amp;"09845608"", ""Game!$A$2:$A""),0),8),""0"")"),6.666666666666667)</f>
        <v>6.666666667</v>
      </c>
      <c r="H25" s="43">
        <f>IFERROR(__xludf.DUMMYFUNCTION("IFERROR(INDEX(IMPORTRANGE(""docs.google.com/spreadsheets/d/1Dz5m9yCjvG51SgZ1o2KfJUBBR9Y0WOI97noTgdya4Zs/edit#gid=709845608"", ""Game!$A$2:$H""), MATCH(A25,IMPORTRANGE(""docs.google.com/spreadsheets/d/1Dz5m9yCjvG51SgZ1o2KfJUBBR9Y0WOI97noTgdya4Zs/edit#gid=7"&amp;"09845608"", ""Game!$A$2:$A""),0),6),""0"")"),6.0)</f>
        <v>6</v>
      </c>
      <c r="I25" s="43">
        <f>IFERROR(__xludf.DUMMYFUNCTION("IFERROR(INDEX(IMPORTRANGE(""docs.google.com/spreadsheets/d/1Dz5m9yCjvG51SgZ1o2KfJUBBR9Y0WOI97noTgdya4Zs/edit#gid=709845608"", ""Game!$A$2:$H""), MATCH(A25,IMPORTRANGE(""docs.google.com/spreadsheets/d/1Dz5m9yCjvG51SgZ1o2KfJUBBR9Y0WOI97noTgdya4Zs/edit#gid=7"&amp;"09845608"", ""Game!$A$2:$A""),0),7),""0"")"),40.0)</f>
        <v>40</v>
      </c>
      <c r="J25" s="4" t="s">
        <v>395</v>
      </c>
    </row>
    <row r="26">
      <c r="A26" s="4" t="s">
        <v>381</v>
      </c>
      <c r="B26" s="40">
        <f t="array" ref="B26">INDEX(Backlog!$A$2:$E65,MATCH(A26,Backlog!$A$2:A65,0),2)</f>
        <v>52</v>
      </c>
      <c r="C26" s="40" t="str">
        <f t="array" ref="C26">INDEX(Backlog!$A$2:$E65,MATCH(A26,Backlog!$A$2:A65,0),4)</f>
        <v>Action &amp;
Adventure</v>
      </c>
      <c r="D26" s="40" t="str">
        <f t="array" ref="D26">INDEX(Backlog!$A$2:$E65,MATCH(A26,Backlog!$A$2:A65,0),5)</f>
        <v>Compleat</v>
      </c>
      <c r="E26" s="41">
        <f t="array" ref="E26">INDEX(Backlog!$A$2:$G65,MATCH(A26,Backlog!$A$2:A65,0),7)</f>
        <v>45044</v>
      </c>
      <c r="F26" s="42">
        <f>'Game Rate'!A$2</f>
        <v>6.219959795</v>
      </c>
      <c r="G26" s="43">
        <f>IFERROR(__xludf.DUMMYFUNCTION("IFERROR(INDEX(IMPORTRANGE(""docs.google.com/spreadsheets/d/1Dz5m9yCjvG51SgZ1o2KfJUBBR9Y0WOI97noTgdya4Zs/edit#gid=709845608"", ""Game!$A$2:$H""), MATCH(A26,IMPORTRANGE(""docs.google.com/spreadsheets/d/1Dz5m9yCjvG51SgZ1o2KfJUBBR9Y0WOI97noTgdya4Zs/edit#gid=7"&amp;"09845608"", ""Game!$A$2:$A""),0),8),""0"")"),6.0)</f>
        <v>6</v>
      </c>
      <c r="H26" s="43">
        <f>IFERROR(__xludf.DUMMYFUNCTION("IFERROR(INDEX(IMPORTRANGE(""docs.google.com/spreadsheets/d/1Dz5m9yCjvG51SgZ1o2KfJUBBR9Y0WOI97noTgdya4Zs/edit#gid=709845608"", ""Game!$A$2:$H""), MATCH(A26,IMPORTRANGE(""docs.google.com/spreadsheets/d/1Dz5m9yCjvG51SgZ1o2KfJUBBR9Y0WOI97noTgdya4Zs/edit#gid=7"&amp;"09845608"", ""Game!$A$2:$A""),0),6),""0"")"),13.0)</f>
        <v>13</v>
      </c>
      <c r="I26" s="43">
        <f>IFERROR(__xludf.DUMMYFUNCTION("IFERROR(INDEX(IMPORTRANGE(""docs.google.com/spreadsheets/d/1Dz5m9yCjvG51SgZ1o2KfJUBBR9Y0WOI97noTgdya4Zs/edit#gid=709845608"", ""Game!$A$2:$H""), MATCH(A26,IMPORTRANGE(""docs.google.com/spreadsheets/d/1Dz5m9yCjvG51SgZ1o2KfJUBBR9Y0WOI97noTgdya4Zs/edit#gid=7"&amp;"09845608"", ""Game!$A$2:$A""),0),7),""0"")"),78.0)</f>
        <v>78</v>
      </c>
      <c r="J26" s="4" t="s">
        <v>395</v>
      </c>
    </row>
    <row r="27" hidden="1">
      <c r="A27" s="19" t="s">
        <v>149</v>
      </c>
      <c r="B27" s="40">
        <f t="array" ref="B27">INDEX(Backlog!$A$2:$E65,MATCH(A27,Backlog!$A$2:A65,0),2)</f>
        <v>39</v>
      </c>
      <c r="C27" s="40" t="str">
        <f t="array" ref="C27">INDEX(Backlog!$A$2:$E65,MATCH(A27,Backlog!$A$2:A65,0),4)</f>
        <v>Action &amp;
Adventure</v>
      </c>
      <c r="D27" s="40" t="str">
        <f t="array" ref="D27">INDEX(Backlog!$A$2:$E65,MATCH(A27,Backlog!$A$2:A65,0),5)</f>
        <v>Compleat</v>
      </c>
      <c r="E27" s="45">
        <f t="array" ref="E27">INDEX(Backlog!$A$2:$G65,MATCH(A27,Backlog!$A$2:A65,0),7)</f>
        <v>42702</v>
      </c>
      <c r="F27" s="42">
        <f>'Game Rate'!A$2</f>
        <v>6.219959795</v>
      </c>
      <c r="G27" s="43">
        <f>IFERROR(__xludf.DUMMYFUNCTION("IFERROR(INDEX(IMPORTRANGE(""docs.google.com/spreadsheets/d/1Dz5m9yCjvG51SgZ1o2KfJUBBR9Y0WOI97noTgdya4Zs/edit#gid=709845608"", ""Game!$A$2:$H""), MATCH(A27,IMPORTRANGE(""docs.google.com/spreadsheets/d/1Dz5m9yCjvG51SgZ1o2KfJUBBR9Y0WOI97noTgdya4Zs/edit#gid=7"&amp;"09845608"", ""Game!$A$2:$A""),0),8),""0"")"),2.4473684210526314)</f>
        <v>2.447368421</v>
      </c>
      <c r="H27" s="43">
        <f>IFERROR(__xludf.DUMMYFUNCTION("IFERROR(INDEX(IMPORTRANGE(""docs.google.com/spreadsheets/d/1Dz5m9yCjvG51SgZ1o2KfJUBBR9Y0WOI97noTgdya4Zs/edit#gid=709845608"", ""Game!$A$2:$H""), MATCH(A27,IMPORTRANGE(""docs.google.com/spreadsheets/d/1Dz5m9yCjvG51SgZ1o2KfJUBBR9Y0WOI97noTgdya4Zs/edit#gid=7"&amp;"09845608"", ""Game!$A$2:$A""),0),6),""0"")"),19.0)</f>
        <v>19</v>
      </c>
      <c r="I27" s="43">
        <f>IFERROR(__xludf.DUMMYFUNCTION("IFERROR(INDEX(IMPORTRANGE(""docs.google.com/spreadsheets/d/1Dz5m9yCjvG51SgZ1o2KfJUBBR9Y0WOI97noTgdya4Zs/edit#gid=709845608"", ""Game!$A$2:$H""), MATCH(A27,IMPORTRANGE(""docs.google.com/spreadsheets/d/1Dz5m9yCjvG51SgZ1o2KfJUBBR9Y0WOI97noTgdya4Zs/edit#gid=7"&amp;"09845608"", ""Game!$A$2:$A""),0),7),""0"")"),46.5)</f>
        <v>46.5</v>
      </c>
      <c r="J27" s="4" t="s">
        <v>251</v>
      </c>
    </row>
    <row r="28" hidden="1">
      <c r="A28" s="7" t="s">
        <v>251</v>
      </c>
      <c r="B28" s="40">
        <f t="array" ref="B28">INDEX(Backlog!$A$2:$E65,MATCH(A28,Backlog!$A$2:A65,0),2)</f>
        <v>21</v>
      </c>
      <c r="C28" s="40" t="str">
        <f t="array" ref="C28">INDEX(Backlog!$A$2:$E65,MATCH(A28,Backlog!$A$2:A65,0),4)</f>
        <v>Action &amp;
Adventure</v>
      </c>
      <c r="D28" s="40" t="str">
        <f t="array" ref="D28">INDEX(Backlog!$A$2:$E65,MATCH(A28,Backlog!$A$2:A65,0),5)</f>
        <v>Compleat</v>
      </c>
      <c r="E28" s="41">
        <f t="array" ref="E28">INDEX(Backlog!$A$2:$G65,MATCH(A28,Backlog!$A$2:A65,0),7)</f>
        <v>43358</v>
      </c>
      <c r="F28" s="42">
        <f>'Game Rate'!A$2</f>
        <v>6.219959795</v>
      </c>
      <c r="G28" s="43" t="str">
        <f>IFERROR(__xludf.DUMMYFUNCTION("IFERROR(INDEX(IMPORTRANGE(""docs.google.com/spreadsheets/d/1Dz5m9yCjvG51SgZ1o2KfJUBBR9Y0WOI97noTgdya4Zs/edit#gid=709845608"", ""Game!$A$2:$H""), MATCH(A28,IMPORTRANGE(""docs.google.com/spreadsheets/d/1Dz5m9yCjvG51SgZ1o2KfJUBBR9Y0WOI97noTgdya4Zs/edit#gid=7"&amp;"09845608"", ""Game!$A$2:$A""),0),8),""0"")"),"0")</f>
        <v>0</v>
      </c>
      <c r="H28" s="43" t="str">
        <f>IFERROR(__xludf.DUMMYFUNCTION("IFERROR(INDEX(IMPORTRANGE(""docs.google.com/spreadsheets/d/1Dz5m9yCjvG51SgZ1o2KfJUBBR9Y0WOI97noTgdya4Zs/edit#gid=709845608"", ""Game!$A$2:$H""), MATCH(A28,IMPORTRANGE(""docs.google.com/spreadsheets/d/1Dz5m9yCjvG51SgZ1o2KfJUBBR9Y0WOI97noTgdya4Zs/edit#gid=7"&amp;"09845608"", ""Game!$A$2:$A""),0),6),""0"")"),"0")</f>
        <v>0</v>
      </c>
      <c r="I28" s="43" t="str">
        <f>IFERROR(__xludf.DUMMYFUNCTION("IFERROR(INDEX(IMPORTRANGE(""docs.google.com/spreadsheets/d/1Dz5m9yCjvG51SgZ1o2KfJUBBR9Y0WOI97noTgdya4Zs/edit#gid=709845608"", ""Game!$A$2:$H""), MATCH(A28,IMPORTRANGE(""docs.google.com/spreadsheets/d/1Dz5m9yCjvG51SgZ1o2KfJUBBR9Y0WOI97noTgdya4Zs/edit#gid=7"&amp;"09845608"", ""Game!$A$2:$A""),0),7),""0"")"),"0")</f>
        <v>0</v>
      </c>
      <c r="J28" s="4" t="s">
        <v>251</v>
      </c>
    </row>
    <row r="29" hidden="1">
      <c r="A29" s="7" t="s">
        <v>252</v>
      </c>
      <c r="B29" s="40">
        <f t="array" ref="B29">INDEX(Backlog!$A$2:$E65,MATCH(A29,Backlog!$A$2:A65,0),2)</f>
        <v>18</v>
      </c>
      <c r="C29" s="40" t="str">
        <f t="array" ref="C29">INDEX(Backlog!$A$2:$E65,MATCH(A29,Backlog!$A$2:A65,0),4)</f>
        <v>Action &amp;
Adventure</v>
      </c>
      <c r="D29" s="40" t="str">
        <f t="array" ref="D29">INDEX(Backlog!$A$2:$E65,MATCH(A29,Backlog!$A$2:A65,0),5)</f>
        <v>Not Started</v>
      </c>
      <c r="E29" s="41">
        <f t="array" ref="E29">INDEX(Backlog!$A$2:$G65,MATCH(A29,Backlog!$A$2:A65,0),7)</f>
        <v>43358</v>
      </c>
      <c r="F29" s="42">
        <f>'Game Rate'!A$2</f>
        <v>6.219959795</v>
      </c>
      <c r="G29" s="43" t="str">
        <f>IFERROR(__xludf.DUMMYFUNCTION("IFERROR(INDEX(IMPORTRANGE(""docs.google.com/spreadsheets/d/1Dz5m9yCjvG51SgZ1o2KfJUBBR9Y0WOI97noTgdya4Zs/edit#gid=709845608"", ""Game!$A$2:$H""), MATCH(A29,IMPORTRANGE(""docs.google.com/spreadsheets/d/1Dz5m9yCjvG51SgZ1o2KfJUBBR9Y0WOI97noTgdya4Zs/edit#gid=7"&amp;"09845608"", ""Game!$A$2:$A""),0),8),""0"")"),"0")</f>
        <v>0</v>
      </c>
      <c r="H29" s="43" t="str">
        <f>IFERROR(__xludf.DUMMYFUNCTION("IFERROR(INDEX(IMPORTRANGE(""docs.google.com/spreadsheets/d/1Dz5m9yCjvG51SgZ1o2KfJUBBR9Y0WOI97noTgdya4Zs/edit#gid=709845608"", ""Game!$A$2:$H""), MATCH(A29,IMPORTRANGE(""docs.google.com/spreadsheets/d/1Dz5m9yCjvG51SgZ1o2KfJUBBR9Y0WOI97noTgdya4Zs/edit#gid=7"&amp;"09845608"", ""Game!$A$2:$A""),0),6),""0"")"),"0")</f>
        <v>0</v>
      </c>
      <c r="I29" s="43" t="str">
        <f>IFERROR(__xludf.DUMMYFUNCTION("IFERROR(INDEX(IMPORTRANGE(""docs.google.com/spreadsheets/d/1Dz5m9yCjvG51SgZ1o2KfJUBBR9Y0WOI97noTgdya4Zs/edit#gid=709845608"", ""Game!$A$2:$H""), MATCH(A29,IMPORTRANGE(""docs.google.com/spreadsheets/d/1Dz5m9yCjvG51SgZ1o2KfJUBBR9Y0WOI97noTgdya4Zs/edit#gid=7"&amp;"09845608"", ""Game!$A$2:$A""),0),7),""0"")"),"0")</f>
        <v>0</v>
      </c>
      <c r="J29" s="4" t="s">
        <v>251</v>
      </c>
    </row>
    <row r="30" hidden="1">
      <c r="A30" s="7" t="s">
        <v>253</v>
      </c>
      <c r="B30" s="40">
        <f t="array" ref="B30">INDEX(Backlog!$A$2:$E65,MATCH(A30,Backlog!$A$2:A65,0),2)</f>
        <v>19</v>
      </c>
      <c r="C30" s="40" t="str">
        <f t="array" ref="C30">INDEX(Backlog!$A$2:$E65,MATCH(A30,Backlog!$A$2:A65,0),4)</f>
        <v>Action &amp;
Adventure</v>
      </c>
      <c r="D30" s="40" t="str">
        <f t="array" ref="D30">INDEX(Backlog!$A$2:$E65,MATCH(A30,Backlog!$A$2:A65,0),5)</f>
        <v>Compleat</v>
      </c>
      <c r="E30" s="41">
        <f t="array" ref="E30">INDEX(Backlog!$A$2:$G65,MATCH(A30,Backlog!$A$2:A65,0),7)</f>
        <v>43358</v>
      </c>
      <c r="F30" s="42">
        <f>'Game Rate'!A$2</f>
        <v>6.219959795</v>
      </c>
      <c r="G30" s="43">
        <f>IFERROR(__xludf.DUMMYFUNCTION("IFERROR(INDEX(IMPORTRANGE(""docs.google.com/spreadsheets/d/1Dz5m9yCjvG51SgZ1o2KfJUBBR9Y0WOI97noTgdya4Zs/edit#gid=709845608"", ""Game!$A$2:$H""), MATCH(A30,IMPORTRANGE(""docs.google.com/spreadsheets/d/1Dz5m9yCjvG51SgZ1o2KfJUBBR9Y0WOI97noTgdya4Zs/edit#gid=7"&amp;"09845608"", ""Game!$A$2:$A""),0),8),""0"")"),6.885714285714286)</f>
        <v>6.885714286</v>
      </c>
      <c r="H30" s="43">
        <f>IFERROR(__xludf.DUMMYFUNCTION("IFERROR(INDEX(IMPORTRANGE(""docs.google.com/spreadsheets/d/1Dz5m9yCjvG51SgZ1o2KfJUBBR9Y0WOI97noTgdya4Zs/edit#gid=709845608"", ""Game!$A$2:$H""), MATCH(A30,IMPORTRANGE(""docs.google.com/spreadsheets/d/1Dz5m9yCjvG51SgZ1o2KfJUBBR9Y0WOI97noTgdya4Zs/edit#gid=7"&amp;"09845608"", ""Game!$A$2:$A""),0),6),""0"")"),7.0)</f>
        <v>7</v>
      </c>
      <c r="I30" s="43">
        <f>IFERROR(__xludf.DUMMYFUNCTION("IFERROR(INDEX(IMPORTRANGE(""docs.google.com/spreadsheets/d/1Dz5m9yCjvG51SgZ1o2KfJUBBR9Y0WOI97noTgdya4Zs/edit#gid=709845608"", ""Game!$A$2:$H""), MATCH(A30,IMPORTRANGE(""docs.google.com/spreadsheets/d/1Dz5m9yCjvG51SgZ1o2KfJUBBR9Y0WOI97noTgdya4Zs/edit#gid=7"&amp;"09845608"", ""Game!$A$2:$A""),0),7),""0"")"),48.2)</f>
        <v>48.2</v>
      </c>
      <c r="J30" s="4" t="s">
        <v>251</v>
      </c>
    </row>
    <row r="31" hidden="1">
      <c r="A31" s="7" t="s">
        <v>254</v>
      </c>
      <c r="B31" s="40">
        <f t="array" ref="B31">INDEX(Backlog!$A$2:$E65,MATCH(A31,Backlog!$A$2:A65,0),2)</f>
        <v>21</v>
      </c>
      <c r="C31" s="40" t="str">
        <f t="array" ref="C31">INDEX(Backlog!$A$2:$E65,MATCH(A31,Backlog!$A$2:A65,0),4)</f>
        <v>Action &amp;
Adventure</v>
      </c>
      <c r="D31" s="40" t="str">
        <f t="array" ref="D31">INDEX(Backlog!$A$2:$E65,MATCH(A31,Backlog!$A$2:A65,0),5)</f>
        <v>Compleat</v>
      </c>
      <c r="E31" s="41">
        <f t="array" ref="E31">INDEX(Backlog!$A$2:$G65,MATCH(A31,Backlog!$A$2:A65,0),7)</f>
        <v>43358</v>
      </c>
      <c r="F31" s="42">
        <f>'Game Rate'!A$2</f>
        <v>6.219959795</v>
      </c>
      <c r="G31" s="43">
        <f>IFERROR(__xludf.DUMMYFUNCTION("IFERROR(INDEX(IMPORTRANGE(""docs.google.com/spreadsheets/d/1Dz5m9yCjvG51SgZ1o2KfJUBBR9Y0WOI97noTgdya4Zs/edit#gid=709845608"", ""Game!$A$2:$H""), MATCH(A31,IMPORTRANGE(""docs.google.com/spreadsheets/d/1Dz5m9yCjvG51SgZ1o2KfJUBBR9Y0WOI97noTgdya4Zs/edit#gid=7"&amp;"09845608"", ""Game!$A$2:$A""),0),8),""0"")"),7.1625)</f>
        <v>7.1625</v>
      </c>
      <c r="H31" s="43">
        <f>IFERROR(__xludf.DUMMYFUNCTION("IFERROR(INDEX(IMPORTRANGE(""docs.google.com/spreadsheets/d/1Dz5m9yCjvG51SgZ1o2KfJUBBR9Y0WOI97noTgdya4Zs/edit#gid=709845608"", ""Game!$A$2:$H""), MATCH(A31,IMPORTRANGE(""docs.google.com/spreadsheets/d/1Dz5m9yCjvG51SgZ1o2KfJUBBR9Y0WOI97noTgdya4Zs/edit#gid=7"&amp;"09845608"", ""Game!$A$2:$A""),0),6),""0"")"),8.0)</f>
        <v>8</v>
      </c>
      <c r="I31" s="43">
        <f>IFERROR(__xludf.DUMMYFUNCTION("IFERROR(INDEX(IMPORTRANGE(""docs.google.com/spreadsheets/d/1Dz5m9yCjvG51SgZ1o2KfJUBBR9Y0WOI97noTgdya4Zs/edit#gid=709845608"", ""Game!$A$2:$H""), MATCH(A31,IMPORTRANGE(""docs.google.com/spreadsheets/d/1Dz5m9yCjvG51SgZ1o2KfJUBBR9Y0WOI97noTgdya4Zs/edit#gid=7"&amp;"09845608"", ""Game!$A$2:$A""),0),7),""0"")"),57.3)</f>
        <v>57.3</v>
      </c>
      <c r="J31" s="4" t="s">
        <v>251</v>
      </c>
    </row>
    <row r="32" hidden="1">
      <c r="A32" s="7" t="s">
        <v>255</v>
      </c>
      <c r="B32" s="40">
        <f t="array" ref="B32">INDEX(Backlog!$A$2:$E65,MATCH(A32,Backlog!$A$2:A65,0),2)</f>
        <v>24</v>
      </c>
      <c r="C32" s="40" t="str">
        <f t="array" ref="C32">INDEX(Backlog!$A$2:$E65,MATCH(A32,Backlog!$A$2:A65,0),4)</f>
        <v>Action &amp;
Adventure</v>
      </c>
      <c r="D32" s="40" t="str">
        <f t="array" ref="D32">INDEX(Backlog!$A$2:$E65,MATCH(A32,Backlog!$A$2:A65,0),5)</f>
        <v>Not Started</v>
      </c>
      <c r="E32" s="41">
        <f t="array" ref="E32">INDEX(Backlog!$A$2:$G65,MATCH(A32,Backlog!$A$2:A65,0),7)</f>
        <v>43358</v>
      </c>
      <c r="F32" s="42">
        <f>'Game Rate'!A$2</f>
        <v>6.219959795</v>
      </c>
      <c r="G32" s="43" t="str">
        <f>IFERROR(__xludf.DUMMYFUNCTION("IFERROR(INDEX(IMPORTRANGE(""docs.google.com/spreadsheets/d/1Dz5m9yCjvG51SgZ1o2KfJUBBR9Y0WOI97noTgdya4Zs/edit#gid=709845608"", ""Game!$A$2:$H""), MATCH(A32,IMPORTRANGE(""docs.google.com/spreadsheets/d/1Dz5m9yCjvG51SgZ1o2KfJUBBR9Y0WOI97noTgdya4Zs/edit#gid=7"&amp;"09845608"", ""Game!$A$2:$A""),0),8),""0"")"),"0")</f>
        <v>0</v>
      </c>
      <c r="H32" s="43" t="str">
        <f>IFERROR(__xludf.DUMMYFUNCTION("IFERROR(INDEX(IMPORTRANGE(""docs.google.com/spreadsheets/d/1Dz5m9yCjvG51SgZ1o2KfJUBBR9Y0WOI97noTgdya4Zs/edit#gid=709845608"", ""Game!$A$2:$H""), MATCH(A32,IMPORTRANGE(""docs.google.com/spreadsheets/d/1Dz5m9yCjvG51SgZ1o2KfJUBBR9Y0WOI97noTgdya4Zs/edit#gid=7"&amp;"09845608"", ""Game!$A$2:$A""),0),6),""0"")"),"0")</f>
        <v>0</v>
      </c>
      <c r="I32" s="43" t="str">
        <f>IFERROR(__xludf.DUMMYFUNCTION("IFERROR(INDEX(IMPORTRANGE(""docs.google.com/spreadsheets/d/1Dz5m9yCjvG51SgZ1o2KfJUBBR9Y0WOI97noTgdya4Zs/edit#gid=709845608"", ""Game!$A$2:$H""), MATCH(A32,IMPORTRANGE(""docs.google.com/spreadsheets/d/1Dz5m9yCjvG51SgZ1o2KfJUBBR9Y0WOI97noTgdya4Zs/edit#gid=7"&amp;"09845608"", ""Game!$A$2:$A""),0),7),""0"")"),"0")</f>
        <v>0</v>
      </c>
      <c r="J32" s="4" t="s">
        <v>251</v>
      </c>
    </row>
    <row r="33" hidden="1">
      <c r="A33" s="7" t="s">
        <v>256</v>
      </c>
      <c r="B33" s="40">
        <f t="array" ref="B33">INDEX(Backlog!$A$2:$E65,MATCH(A33,Backlog!$A$2:A65,0),2)</f>
        <v>21</v>
      </c>
      <c r="C33" s="40" t="str">
        <f t="array" ref="C33">INDEX(Backlog!$A$2:$E65,MATCH(A33,Backlog!$A$2:A65,0),4)</f>
        <v>Action &amp;
Adventure</v>
      </c>
      <c r="D33" s="40" t="str">
        <f t="array" ref="D33">INDEX(Backlog!$A$2:$E65,MATCH(A33,Backlog!$A$2:A65,0),5)</f>
        <v>Not Started</v>
      </c>
      <c r="E33" s="41">
        <f t="array" ref="E33">INDEX(Backlog!$A$2:$G65,MATCH(A33,Backlog!$A$2:A65,0),7)</f>
        <v>43358</v>
      </c>
      <c r="F33" s="42">
        <f>'Game Rate'!A$2</f>
        <v>6.219959795</v>
      </c>
      <c r="G33" s="43" t="str">
        <f>IFERROR(__xludf.DUMMYFUNCTION("IFERROR(INDEX(IMPORTRANGE(""docs.google.com/spreadsheets/d/1Dz5m9yCjvG51SgZ1o2KfJUBBR9Y0WOI97noTgdya4Zs/edit#gid=709845608"", ""Game!$A$2:$H""), MATCH(A33,IMPORTRANGE(""docs.google.com/spreadsheets/d/1Dz5m9yCjvG51SgZ1o2KfJUBBR9Y0WOI97noTgdya4Zs/edit#gid=7"&amp;"09845608"", ""Game!$A$2:$A""),0),8),""0"")"),"0")</f>
        <v>0</v>
      </c>
      <c r="H33" s="43" t="str">
        <f>IFERROR(__xludf.DUMMYFUNCTION("IFERROR(INDEX(IMPORTRANGE(""docs.google.com/spreadsheets/d/1Dz5m9yCjvG51SgZ1o2KfJUBBR9Y0WOI97noTgdya4Zs/edit#gid=709845608"", ""Game!$A$2:$H""), MATCH(A33,IMPORTRANGE(""docs.google.com/spreadsheets/d/1Dz5m9yCjvG51SgZ1o2KfJUBBR9Y0WOI97noTgdya4Zs/edit#gid=7"&amp;"09845608"", ""Game!$A$2:$A""),0),6),""0"")"),"0")</f>
        <v>0</v>
      </c>
      <c r="I33" s="43" t="str">
        <f>IFERROR(__xludf.DUMMYFUNCTION("IFERROR(INDEX(IMPORTRANGE(""docs.google.com/spreadsheets/d/1Dz5m9yCjvG51SgZ1o2KfJUBBR9Y0WOI97noTgdya4Zs/edit#gid=709845608"", ""Game!$A$2:$H""), MATCH(A33,IMPORTRANGE(""docs.google.com/spreadsheets/d/1Dz5m9yCjvG51SgZ1o2KfJUBBR9Y0WOI97noTgdya4Zs/edit#gid=7"&amp;"09845608"", ""Game!$A$2:$A""),0),7),""0"")"),"0")</f>
        <v>0</v>
      </c>
      <c r="J33" s="4" t="s">
        <v>251</v>
      </c>
    </row>
    <row r="34" hidden="1">
      <c r="A34" s="7" t="s">
        <v>257</v>
      </c>
      <c r="B34" s="40">
        <f t="array" ref="B34">INDEX(Backlog!$A$2:$E65,MATCH(A34,Backlog!$A$2:A65,0),2)</f>
        <v>14</v>
      </c>
      <c r="C34" s="40" t="str">
        <f t="array" ref="C34">INDEX(Backlog!$A$2:$E65,MATCH(A34,Backlog!$A$2:A65,0),4)</f>
        <v>Action &amp;
Adventure</v>
      </c>
      <c r="D34" s="40" t="str">
        <f t="array" ref="D34">INDEX(Backlog!$A$2:$E65,MATCH(A34,Backlog!$A$2:A65,0),5)</f>
        <v>Not Started</v>
      </c>
      <c r="E34" s="41">
        <f t="array" ref="E34">INDEX(Backlog!$A$2:$G65,MATCH(A34,Backlog!$A$2:A65,0),7)</f>
        <v>43358</v>
      </c>
      <c r="F34" s="42">
        <f>'Game Rate'!A$2</f>
        <v>6.219959795</v>
      </c>
      <c r="G34" s="43" t="str">
        <f>IFERROR(__xludf.DUMMYFUNCTION("IFERROR(INDEX(IMPORTRANGE(""docs.google.com/spreadsheets/d/1Dz5m9yCjvG51SgZ1o2KfJUBBR9Y0WOI97noTgdya4Zs/edit#gid=709845608"", ""Game!$A$2:$H""), MATCH(A34,IMPORTRANGE(""docs.google.com/spreadsheets/d/1Dz5m9yCjvG51SgZ1o2KfJUBBR9Y0WOI97noTgdya4Zs/edit#gid=7"&amp;"09845608"", ""Game!$A$2:$A""),0),8),""0"")"),"0")</f>
        <v>0</v>
      </c>
      <c r="H34" s="43" t="str">
        <f>IFERROR(__xludf.DUMMYFUNCTION("IFERROR(INDEX(IMPORTRANGE(""docs.google.com/spreadsheets/d/1Dz5m9yCjvG51SgZ1o2KfJUBBR9Y0WOI97noTgdya4Zs/edit#gid=709845608"", ""Game!$A$2:$H""), MATCH(A34,IMPORTRANGE(""docs.google.com/spreadsheets/d/1Dz5m9yCjvG51SgZ1o2KfJUBBR9Y0WOI97noTgdya4Zs/edit#gid=7"&amp;"09845608"", ""Game!$A$2:$A""),0),6),""0"")"),"0")</f>
        <v>0</v>
      </c>
      <c r="I34" s="43" t="str">
        <f>IFERROR(__xludf.DUMMYFUNCTION("IFERROR(INDEX(IMPORTRANGE(""docs.google.com/spreadsheets/d/1Dz5m9yCjvG51SgZ1o2KfJUBBR9Y0WOI97noTgdya4Zs/edit#gid=709845608"", ""Game!$A$2:$H""), MATCH(A34,IMPORTRANGE(""docs.google.com/spreadsheets/d/1Dz5m9yCjvG51SgZ1o2KfJUBBR9Y0WOI97noTgdya4Zs/edit#gid=7"&amp;"09845608"", ""Game!$A$2:$A""),0),7),""0"")"),"0")</f>
        <v>0</v>
      </c>
      <c r="J34" s="4" t="s">
        <v>251</v>
      </c>
    </row>
    <row r="35" hidden="1">
      <c r="A35" s="7" t="s">
        <v>258</v>
      </c>
      <c r="B35" s="40">
        <f t="array" ref="B35">INDEX(Backlog!$A$2:$E65,MATCH(A35,Backlog!$A$2:A65,0),2)</f>
        <v>15</v>
      </c>
      <c r="C35" s="40" t="str">
        <f t="array" ref="C35">INDEX(Backlog!$A$2:$E65,MATCH(A35,Backlog!$A$2:A65,0),4)</f>
        <v>Action &amp;
Adventure</v>
      </c>
      <c r="D35" s="40" t="str">
        <f t="array" ref="D35">INDEX(Backlog!$A$2:$E65,MATCH(A35,Backlog!$A$2:A65,0),5)</f>
        <v>Not Started</v>
      </c>
      <c r="E35" s="41">
        <f t="array" ref="E35">INDEX(Backlog!$A$2:$G65,MATCH(A35,Backlog!$A$2:A65,0),7)</f>
        <v>43358</v>
      </c>
      <c r="F35" s="42">
        <f>'Game Rate'!A$2</f>
        <v>6.219959795</v>
      </c>
      <c r="G35" s="43" t="str">
        <f>IFERROR(__xludf.DUMMYFUNCTION("IFERROR(INDEX(IMPORTRANGE(""docs.google.com/spreadsheets/d/1Dz5m9yCjvG51SgZ1o2KfJUBBR9Y0WOI97noTgdya4Zs/edit#gid=709845608"", ""Game!$A$2:$H""), MATCH(A35,IMPORTRANGE(""docs.google.com/spreadsheets/d/1Dz5m9yCjvG51SgZ1o2KfJUBBR9Y0WOI97noTgdya4Zs/edit#gid=7"&amp;"09845608"", ""Game!$A$2:$A""),0),8),""0"")"),"0")</f>
        <v>0</v>
      </c>
      <c r="H35" s="43" t="str">
        <f>IFERROR(__xludf.DUMMYFUNCTION("IFERROR(INDEX(IMPORTRANGE(""docs.google.com/spreadsheets/d/1Dz5m9yCjvG51SgZ1o2KfJUBBR9Y0WOI97noTgdya4Zs/edit#gid=709845608"", ""Game!$A$2:$H""), MATCH(A35,IMPORTRANGE(""docs.google.com/spreadsheets/d/1Dz5m9yCjvG51SgZ1o2KfJUBBR9Y0WOI97noTgdya4Zs/edit#gid=7"&amp;"09845608"", ""Game!$A$2:$A""),0),6),""0"")"),"0")</f>
        <v>0</v>
      </c>
      <c r="I35" s="43" t="str">
        <f>IFERROR(__xludf.DUMMYFUNCTION("IFERROR(INDEX(IMPORTRANGE(""docs.google.com/spreadsheets/d/1Dz5m9yCjvG51SgZ1o2KfJUBBR9Y0WOI97noTgdya4Zs/edit#gid=709845608"", ""Game!$A$2:$H""), MATCH(A35,IMPORTRANGE(""docs.google.com/spreadsheets/d/1Dz5m9yCjvG51SgZ1o2KfJUBBR9Y0WOI97noTgdya4Zs/edit#gid=7"&amp;"09845608"", ""Game!$A$2:$A""),0),7),""0"")"),"0")</f>
        <v>0</v>
      </c>
      <c r="J35" s="4" t="s">
        <v>251</v>
      </c>
    </row>
    <row r="36" hidden="1">
      <c r="A36" s="7" t="s">
        <v>259</v>
      </c>
      <c r="B36" s="40">
        <f t="array" ref="B36">INDEX(Backlog!$A$2:$E65,MATCH(A36,Backlog!$A$2:A65,0),2)</f>
        <v>24</v>
      </c>
      <c r="C36" s="40" t="str">
        <f t="array" ref="C36">INDEX(Backlog!$A$2:$E65,MATCH(A36,Backlog!$A$2:A65,0),4)</f>
        <v>Action &amp;
Adventure</v>
      </c>
      <c r="D36" s="40" t="str">
        <f t="array" ref="D36">INDEX(Backlog!$A$2:$E65,MATCH(A36,Backlog!$A$2:A65,0),5)</f>
        <v>Not Started</v>
      </c>
      <c r="E36" s="41">
        <f t="array" ref="E36">INDEX(Backlog!$A$2:$G65,MATCH(A36,Backlog!$A$2:A65,0),7)</f>
        <v>43358</v>
      </c>
      <c r="F36" s="42">
        <f>'Game Rate'!A$2</f>
        <v>6.219959795</v>
      </c>
      <c r="G36" s="43" t="str">
        <f>IFERROR(__xludf.DUMMYFUNCTION("IFERROR(INDEX(IMPORTRANGE(""docs.google.com/spreadsheets/d/1Dz5m9yCjvG51SgZ1o2KfJUBBR9Y0WOI97noTgdya4Zs/edit#gid=709845608"", ""Game!$A$2:$H""), MATCH(A36,IMPORTRANGE(""docs.google.com/spreadsheets/d/1Dz5m9yCjvG51SgZ1o2KfJUBBR9Y0WOI97noTgdya4Zs/edit#gid=7"&amp;"09845608"", ""Game!$A$2:$A""),0),8),""0"")"),"0")</f>
        <v>0</v>
      </c>
      <c r="H36" s="43" t="str">
        <f>IFERROR(__xludf.DUMMYFUNCTION("IFERROR(INDEX(IMPORTRANGE(""docs.google.com/spreadsheets/d/1Dz5m9yCjvG51SgZ1o2KfJUBBR9Y0WOI97noTgdya4Zs/edit#gid=709845608"", ""Game!$A$2:$H""), MATCH(A36,IMPORTRANGE(""docs.google.com/spreadsheets/d/1Dz5m9yCjvG51SgZ1o2KfJUBBR9Y0WOI97noTgdya4Zs/edit#gid=7"&amp;"09845608"", ""Game!$A$2:$A""),0),6),""0"")"),"0")</f>
        <v>0</v>
      </c>
      <c r="I36" s="43" t="str">
        <f>IFERROR(__xludf.DUMMYFUNCTION("IFERROR(INDEX(IMPORTRANGE(""docs.google.com/spreadsheets/d/1Dz5m9yCjvG51SgZ1o2KfJUBBR9Y0WOI97noTgdya4Zs/edit#gid=709845608"", ""Game!$A$2:$H""), MATCH(A36,IMPORTRANGE(""docs.google.com/spreadsheets/d/1Dz5m9yCjvG51SgZ1o2KfJUBBR9Y0WOI97noTgdya4Zs/edit#gid=7"&amp;"09845608"", ""Game!$A$2:$A""),0),7),""0"")"),"0")</f>
        <v>0</v>
      </c>
      <c r="J36" s="4" t="s">
        <v>251</v>
      </c>
    </row>
    <row r="37" hidden="1">
      <c r="A37" s="7" t="s">
        <v>260</v>
      </c>
      <c r="B37" s="40">
        <f t="array" ref="B37">INDEX(Backlog!$A$2:$E65,MATCH(A37,Backlog!$A$2:A65,0),2)</f>
        <v>24</v>
      </c>
      <c r="C37" s="40" t="str">
        <f t="array" ref="C37">INDEX(Backlog!$A$2:$E65,MATCH(A37,Backlog!$A$2:A65,0),4)</f>
        <v>Action &amp;
Adventure</v>
      </c>
      <c r="D37" s="40" t="str">
        <f t="array" ref="D37">INDEX(Backlog!$A$2:$E65,MATCH(A37,Backlog!$A$2:A65,0),5)</f>
        <v>Not Started</v>
      </c>
      <c r="E37" s="41">
        <f t="array" ref="E37">INDEX(Backlog!$A$2:$G65,MATCH(A37,Backlog!$A$2:A65,0),7)</f>
        <v>43358</v>
      </c>
      <c r="F37" s="42">
        <f>'Game Rate'!A$2</f>
        <v>6.219959795</v>
      </c>
      <c r="G37" s="43" t="str">
        <f>IFERROR(__xludf.DUMMYFUNCTION("IFERROR(INDEX(IMPORTRANGE(""docs.google.com/spreadsheets/d/1Dz5m9yCjvG51SgZ1o2KfJUBBR9Y0WOI97noTgdya4Zs/edit#gid=709845608"", ""Game!$A$2:$H""), MATCH(A37,IMPORTRANGE(""docs.google.com/spreadsheets/d/1Dz5m9yCjvG51SgZ1o2KfJUBBR9Y0WOI97noTgdya4Zs/edit#gid=7"&amp;"09845608"", ""Game!$A$2:$A""),0),8),""0"")"),"0")</f>
        <v>0</v>
      </c>
      <c r="H37" s="43" t="str">
        <f>IFERROR(__xludf.DUMMYFUNCTION("IFERROR(INDEX(IMPORTRANGE(""docs.google.com/spreadsheets/d/1Dz5m9yCjvG51SgZ1o2KfJUBBR9Y0WOI97noTgdya4Zs/edit#gid=709845608"", ""Game!$A$2:$H""), MATCH(A37,IMPORTRANGE(""docs.google.com/spreadsheets/d/1Dz5m9yCjvG51SgZ1o2KfJUBBR9Y0WOI97noTgdya4Zs/edit#gid=7"&amp;"09845608"", ""Game!$A$2:$A""),0),6),""0"")"),"0")</f>
        <v>0</v>
      </c>
      <c r="I37" s="43" t="str">
        <f>IFERROR(__xludf.DUMMYFUNCTION("IFERROR(INDEX(IMPORTRANGE(""docs.google.com/spreadsheets/d/1Dz5m9yCjvG51SgZ1o2KfJUBBR9Y0WOI97noTgdya4Zs/edit#gid=709845608"", ""Game!$A$2:$H""), MATCH(A37,IMPORTRANGE(""docs.google.com/spreadsheets/d/1Dz5m9yCjvG51SgZ1o2KfJUBBR9Y0WOI97noTgdya4Zs/edit#gid=7"&amp;"09845608"", ""Game!$A$2:$A""),0),7),""0"")"),"0")</f>
        <v>0</v>
      </c>
      <c r="J37" s="4" t="s">
        <v>251</v>
      </c>
    </row>
    <row r="38" hidden="1">
      <c r="A38" s="7" t="s">
        <v>336</v>
      </c>
      <c r="B38" s="40">
        <f t="array" ref="B38">INDEX(Backlog!$A$2:$E65,MATCH(A38,Backlog!$A$2:A65,0),2)</f>
        <v>41</v>
      </c>
      <c r="C38" s="40" t="str">
        <f t="array" ref="C38">INDEX(Backlog!$A$2:$E65,MATCH(A38,Backlog!$A$2:A65,0),4)</f>
        <v>Action &amp;
Adventure</v>
      </c>
      <c r="D38" s="40" t="str">
        <f t="array" ref="D38">INDEX(Backlog!$A$2:$E65,MATCH(A38,Backlog!$A$2:A65,0),5)</f>
        <v>Compleat</v>
      </c>
      <c r="E38" s="41">
        <f t="array" ref="E38">INDEX(Backlog!$A$2:$G65,MATCH(A38,Backlog!$A$2:A65,0),7)</f>
        <v>44201</v>
      </c>
      <c r="F38" s="42">
        <f>'Game Rate'!A$2</f>
        <v>6.219959795</v>
      </c>
      <c r="G38" s="43">
        <f>IFERROR(__xludf.DUMMYFUNCTION("IFERROR(INDEX(IMPORTRANGE(""docs.google.com/spreadsheets/d/1Dz5m9yCjvG51SgZ1o2KfJUBBR9Y0WOI97noTgdya4Zs/edit#gid=709845608"", ""Game!$A$2:$H""), MATCH(A38,IMPORTRANGE(""docs.google.com/spreadsheets/d/1Dz5m9yCjvG51SgZ1o2KfJUBBR9Y0WOI97noTgdya4Zs/edit#gid=7"&amp;"09845608"", ""Game!$A$2:$A""),0),8),""0"")"),3.12)</f>
        <v>3.12</v>
      </c>
      <c r="H38" s="43">
        <f>IFERROR(__xludf.DUMMYFUNCTION("IFERROR(INDEX(IMPORTRANGE(""docs.google.com/spreadsheets/d/1Dz5m9yCjvG51SgZ1o2KfJUBBR9Y0WOI97noTgdya4Zs/edit#gid=709845608"", ""Game!$A$2:$H""), MATCH(A38,IMPORTRANGE(""docs.google.com/spreadsheets/d/1Dz5m9yCjvG51SgZ1o2KfJUBBR9Y0WOI97noTgdya4Zs/edit#gid=7"&amp;"09845608"", ""Game!$A$2:$A""),0),6),""0"")"),25.0)</f>
        <v>25</v>
      </c>
      <c r="I38" s="43">
        <f>IFERROR(__xludf.DUMMYFUNCTION("IFERROR(INDEX(IMPORTRANGE(""docs.google.com/spreadsheets/d/1Dz5m9yCjvG51SgZ1o2KfJUBBR9Y0WOI97noTgdya4Zs/edit#gid=709845608"", ""Game!$A$2:$H""), MATCH(A38,IMPORTRANGE(""docs.google.com/spreadsheets/d/1Dz5m9yCjvG51SgZ1o2KfJUBBR9Y0WOI97noTgdya4Zs/edit#gid=7"&amp;"09845608"", ""Game!$A$2:$A""),0),7),""0"")"),78.0)</f>
        <v>78</v>
      </c>
      <c r="J38" s="4" t="s">
        <v>251</v>
      </c>
    </row>
    <row r="39" hidden="1">
      <c r="A39" s="7" t="s">
        <v>193</v>
      </c>
      <c r="B39" s="40">
        <f t="array" ref="B39">INDEX(Backlog!$A$2:$E65,MATCH(A39,Backlog!$A$2:A65,0),2)</f>
        <v>62</v>
      </c>
      <c r="C39" s="40" t="str">
        <f t="array" ref="C39">INDEX(Backlog!$A$2:$E65,MATCH(A39,Backlog!$A$2:A65,0),4)</f>
        <v>JRPG</v>
      </c>
      <c r="D39" s="40" t="str">
        <f t="array" ref="D39">INDEX(Backlog!$A$2:$E65,MATCH(A39,Backlog!$A$2:A65,0),5)</f>
        <v>Compleat</v>
      </c>
      <c r="E39" s="41">
        <f t="array" ref="E39">INDEX(Backlog!$A$2:$G65,MATCH(A39,Backlog!$A$2:A65,0),7)</f>
        <v>43103</v>
      </c>
      <c r="F39" s="42">
        <f>'Game Rate'!A$2</f>
        <v>6.219959795</v>
      </c>
      <c r="G39" s="43">
        <f>IFERROR(__xludf.DUMMYFUNCTION("IFERROR(INDEX(IMPORTRANGE(""docs.google.com/spreadsheets/d/1Dz5m9yCjvG51SgZ1o2KfJUBBR9Y0WOI97noTgdya4Zs/edit#gid=709845608"", ""Game!$A$2:$H""), MATCH(A39,IMPORTRANGE(""docs.google.com/spreadsheets/d/1Dz5m9yCjvG51SgZ1o2KfJUBBR9Y0WOI97noTgdya4Zs/edit#gid=7"&amp;"09845608"", ""Game!$A$2:$A""),0),8),""0"")"),4.5625)</f>
        <v>4.5625</v>
      </c>
      <c r="H39" s="43">
        <f>IFERROR(__xludf.DUMMYFUNCTION("IFERROR(INDEX(IMPORTRANGE(""docs.google.com/spreadsheets/d/1Dz5m9yCjvG51SgZ1o2KfJUBBR9Y0WOI97noTgdya4Zs/edit#gid=709845608"", ""Game!$A$2:$H""), MATCH(A39,IMPORTRANGE(""docs.google.com/spreadsheets/d/1Dz5m9yCjvG51SgZ1o2KfJUBBR9Y0WOI97noTgdya4Zs/edit#gid=7"&amp;"09845608"", ""Game!$A$2:$A""),0),6),""0"")"),16.0)</f>
        <v>16</v>
      </c>
      <c r="I39" s="43">
        <f>IFERROR(__xludf.DUMMYFUNCTION("IFERROR(INDEX(IMPORTRANGE(""docs.google.com/spreadsheets/d/1Dz5m9yCjvG51SgZ1o2KfJUBBR9Y0WOI97noTgdya4Zs/edit#gid=709845608"", ""Game!$A$2:$H""), MATCH(A39,IMPORTRANGE(""docs.google.com/spreadsheets/d/1Dz5m9yCjvG51SgZ1o2KfJUBBR9Y0WOI97noTgdya4Zs/edit#gid=7"&amp;"09845608"", ""Game!$A$2:$A""),0),7),""0"")"),73.0)</f>
        <v>73</v>
      </c>
      <c r="J39" s="4" t="s">
        <v>396</v>
      </c>
    </row>
    <row r="40" hidden="1">
      <c r="A40" s="7" t="s">
        <v>242</v>
      </c>
      <c r="B40" s="40">
        <f t="array" ref="B40">INDEX(Backlog!$A$2:$E65,MATCH(A40,Backlog!$A$2:A65,0),2)</f>
        <v>82</v>
      </c>
      <c r="C40" s="40" t="str">
        <f t="array" ref="C40">INDEX(Backlog!$A$2:$E65,MATCH(A40,Backlog!$A$2:A65,0),4)</f>
        <v>JRPG</v>
      </c>
      <c r="D40" s="40" t="str">
        <f t="array" ref="D40">INDEX(Backlog!$A$2:$E65,MATCH(A40,Backlog!$A$2:A65,0),5)</f>
        <v>UnCompleat</v>
      </c>
      <c r="E40" s="41">
        <f t="array" ref="E40">INDEX(Backlog!$A$2:$G65,MATCH(A40,Backlog!$A$2:A65,0),7)</f>
        <v>43286</v>
      </c>
      <c r="F40" s="42">
        <f>'Game Rate'!A$2</f>
        <v>6.219959795</v>
      </c>
      <c r="G40" s="43" t="str">
        <f>IFERROR(__xludf.DUMMYFUNCTION("IFERROR(INDEX(IMPORTRANGE(""docs.google.com/spreadsheets/d/1Dz5m9yCjvG51SgZ1o2KfJUBBR9Y0WOI97noTgdya4Zs/edit#gid=709845608"", ""Game!$A$2:$H""), MATCH(A40,IMPORTRANGE(""docs.google.com/spreadsheets/d/1Dz5m9yCjvG51SgZ1o2KfJUBBR9Y0WOI97noTgdya4Zs/edit#gid=7"&amp;"09845608"", ""Game!$A$2:$A""),0),8),""0"")"),"0")</f>
        <v>0</v>
      </c>
      <c r="H40" s="43" t="str">
        <f>IFERROR(__xludf.DUMMYFUNCTION("IFERROR(INDEX(IMPORTRANGE(""docs.google.com/spreadsheets/d/1Dz5m9yCjvG51SgZ1o2KfJUBBR9Y0WOI97noTgdya4Zs/edit#gid=709845608"", ""Game!$A$2:$H""), MATCH(A40,IMPORTRANGE(""docs.google.com/spreadsheets/d/1Dz5m9yCjvG51SgZ1o2KfJUBBR9Y0WOI97noTgdya4Zs/edit#gid=7"&amp;"09845608"", ""Game!$A$2:$A""),0),6),""0"")"),"0")</f>
        <v>0</v>
      </c>
      <c r="I40" s="43" t="str">
        <f>IFERROR(__xludf.DUMMYFUNCTION("IFERROR(INDEX(IMPORTRANGE(""docs.google.com/spreadsheets/d/1Dz5m9yCjvG51SgZ1o2KfJUBBR9Y0WOI97noTgdya4Zs/edit#gid=709845608"", ""Game!$A$2:$H""), MATCH(A40,IMPORTRANGE(""docs.google.com/spreadsheets/d/1Dz5m9yCjvG51SgZ1o2KfJUBBR9Y0WOI97noTgdya4Zs/edit#gid=7"&amp;"09845608"", ""Game!$A$2:$A""),0),7),""0"")"),"0")</f>
        <v>0</v>
      </c>
      <c r="J40" s="4" t="s">
        <v>396</v>
      </c>
    </row>
    <row r="41" hidden="1">
      <c r="A41" s="7" t="s">
        <v>243</v>
      </c>
      <c r="B41" s="40">
        <f t="array" ref="B41">INDEX(Backlog!$A$2:$E65,MATCH(A41,Backlog!$A$2:A65,0),2)</f>
        <v>31.5</v>
      </c>
      <c r="C41" s="40" t="str">
        <f t="array" ref="C41">INDEX(Backlog!$A$2:$E65,MATCH(A41,Backlog!$A$2:A65,0),4)</f>
        <v>JRPG</v>
      </c>
      <c r="D41" s="40" t="str">
        <f t="array" ref="D41">INDEX(Backlog!$A$2:$E65,MATCH(A41,Backlog!$A$2:A65,0),5)</f>
        <v>Not Started</v>
      </c>
      <c r="E41" s="41">
        <f t="array" ref="E41">INDEX(Backlog!$A$2:$G65,MATCH(A41,Backlog!$A$2:A65,0),7)</f>
        <v>43286</v>
      </c>
      <c r="F41" s="42">
        <f>'Game Rate'!A$2</f>
        <v>6.219959795</v>
      </c>
      <c r="G41" s="43" t="str">
        <f>IFERROR(__xludf.DUMMYFUNCTION("IFERROR(INDEX(IMPORTRANGE(""docs.google.com/spreadsheets/d/1Dz5m9yCjvG51SgZ1o2KfJUBBR9Y0WOI97noTgdya4Zs/edit#gid=709845608"", ""Game!$A$2:$H""), MATCH(A41,IMPORTRANGE(""docs.google.com/spreadsheets/d/1Dz5m9yCjvG51SgZ1o2KfJUBBR9Y0WOI97noTgdya4Zs/edit#gid=7"&amp;"09845608"", ""Game!$A$2:$A""),0),8),""0"")"),"0")</f>
        <v>0</v>
      </c>
      <c r="H41" s="43" t="str">
        <f>IFERROR(__xludf.DUMMYFUNCTION("IFERROR(INDEX(IMPORTRANGE(""docs.google.com/spreadsheets/d/1Dz5m9yCjvG51SgZ1o2KfJUBBR9Y0WOI97noTgdya4Zs/edit#gid=709845608"", ""Game!$A$2:$H""), MATCH(A41,IMPORTRANGE(""docs.google.com/spreadsheets/d/1Dz5m9yCjvG51SgZ1o2KfJUBBR9Y0WOI97noTgdya4Zs/edit#gid=7"&amp;"09845608"", ""Game!$A$2:$A""),0),6),""0"")"),"0")</f>
        <v>0</v>
      </c>
      <c r="I41" s="43" t="str">
        <f>IFERROR(__xludf.DUMMYFUNCTION("IFERROR(INDEX(IMPORTRANGE(""docs.google.com/spreadsheets/d/1Dz5m9yCjvG51SgZ1o2KfJUBBR9Y0WOI97noTgdya4Zs/edit#gid=709845608"", ""Game!$A$2:$H""), MATCH(A41,IMPORTRANGE(""docs.google.com/spreadsheets/d/1Dz5m9yCjvG51SgZ1o2KfJUBBR9Y0WOI97noTgdya4Zs/edit#gid=7"&amp;"09845608"", ""Game!$A$2:$A""),0),7),""0"")"),"0")</f>
        <v>0</v>
      </c>
      <c r="J41" s="4" t="s">
        <v>396</v>
      </c>
    </row>
    <row r="42" hidden="1">
      <c r="A42" s="7" t="s">
        <v>244</v>
      </c>
      <c r="B42" s="40">
        <f t="array" ref="B42">INDEX(Backlog!$A$2:$E65,MATCH(A42,Backlog!$A$2:A65,0),2)</f>
        <v>93</v>
      </c>
      <c r="C42" s="40" t="str">
        <f t="array" ref="C42">INDEX(Backlog!$A$2:$E65,MATCH(A42,Backlog!$A$2:A65,0),4)</f>
        <v>JRPG</v>
      </c>
      <c r="D42" s="40" t="str">
        <f t="array" ref="D42">INDEX(Backlog!$A$2:$E65,MATCH(A42,Backlog!$A$2:A65,0),5)</f>
        <v>Not Started</v>
      </c>
      <c r="E42" s="41">
        <f t="array" ref="E42">INDEX(Backlog!$A$2:$G65,MATCH(A42,Backlog!$A$2:A65,0),7)</f>
        <v>43286</v>
      </c>
      <c r="F42" s="42">
        <f>'Game Rate'!A$2</f>
        <v>6.219959795</v>
      </c>
      <c r="G42" s="43" t="str">
        <f>IFERROR(__xludf.DUMMYFUNCTION("IFERROR(INDEX(IMPORTRANGE(""docs.google.com/spreadsheets/d/1Dz5m9yCjvG51SgZ1o2KfJUBBR9Y0WOI97noTgdya4Zs/edit#gid=709845608"", ""Game!$A$2:$H""), MATCH(A42,IMPORTRANGE(""docs.google.com/spreadsheets/d/1Dz5m9yCjvG51SgZ1o2KfJUBBR9Y0WOI97noTgdya4Zs/edit#gid=7"&amp;"09845608"", ""Game!$A$2:$A""),0),8),""0"")"),"0")</f>
        <v>0</v>
      </c>
      <c r="H42" s="43" t="str">
        <f>IFERROR(__xludf.DUMMYFUNCTION("IFERROR(INDEX(IMPORTRANGE(""docs.google.com/spreadsheets/d/1Dz5m9yCjvG51SgZ1o2KfJUBBR9Y0WOI97noTgdya4Zs/edit#gid=709845608"", ""Game!$A$2:$H""), MATCH(A42,IMPORTRANGE(""docs.google.com/spreadsheets/d/1Dz5m9yCjvG51SgZ1o2KfJUBBR9Y0WOI97noTgdya4Zs/edit#gid=7"&amp;"09845608"", ""Game!$A$2:$A""),0),6),""0"")"),"0")</f>
        <v>0</v>
      </c>
      <c r="I42" s="43" t="str">
        <f>IFERROR(__xludf.DUMMYFUNCTION("IFERROR(INDEX(IMPORTRANGE(""docs.google.com/spreadsheets/d/1Dz5m9yCjvG51SgZ1o2KfJUBBR9Y0WOI97noTgdya4Zs/edit#gid=709845608"", ""Game!$A$2:$H""), MATCH(A42,IMPORTRANGE(""docs.google.com/spreadsheets/d/1Dz5m9yCjvG51SgZ1o2KfJUBBR9Y0WOI97noTgdya4Zs/edit#gid=7"&amp;"09845608"", ""Game!$A$2:$A""),0),7),""0"")"),"0")</f>
        <v>0</v>
      </c>
      <c r="J42" s="4" t="s">
        <v>396</v>
      </c>
    </row>
    <row r="43" hidden="1">
      <c r="A43" s="7" t="s">
        <v>245</v>
      </c>
      <c r="B43" s="40">
        <f t="array" ref="B43">INDEX(Backlog!$A$2:$E65,MATCH(A43,Backlog!$A$2:A65,0),2)</f>
        <v>82</v>
      </c>
      <c r="C43" s="40" t="str">
        <f t="array" ref="C43">INDEX(Backlog!$A$2:$E65,MATCH(A43,Backlog!$A$2:A65,0),4)</f>
        <v>JRPG</v>
      </c>
      <c r="D43" s="40" t="str">
        <f t="array" ref="D43">INDEX(Backlog!$A$2:$E65,MATCH(A43,Backlog!$A$2:A65,0),5)</f>
        <v>Not Started</v>
      </c>
      <c r="E43" s="41">
        <f t="array" ref="E43">INDEX(Backlog!$A$2:$G65,MATCH(A43,Backlog!$A$2:A65,0),7)</f>
        <v>43289</v>
      </c>
      <c r="F43" s="42">
        <f>'Game Rate'!A$2</f>
        <v>6.219959795</v>
      </c>
      <c r="G43" s="43" t="str">
        <f>IFERROR(__xludf.DUMMYFUNCTION("IFERROR(INDEX(IMPORTRANGE(""docs.google.com/spreadsheets/d/1Dz5m9yCjvG51SgZ1o2KfJUBBR9Y0WOI97noTgdya4Zs/edit#gid=709845608"", ""Game!$A$2:$H""), MATCH(A43,IMPORTRANGE(""docs.google.com/spreadsheets/d/1Dz5m9yCjvG51SgZ1o2KfJUBBR9Y0WOI97noTgdya4Zs/edit#gid=7"&amp;"09845608"", ""Game!$A$2:$A""),0),8),""0"")"),"0")</f>
        <v>0</v>
      </c>
      <c r="H43" s="43" t="str">
        <f>IFERROR(__xludf.DUMMYFUNCTION("IFERROR(INDEX(IMPORTRANGE(""docs.google.com/spreadsheets/d/1Dz5m9yCjvG51SgZ1o2KfJUBBR9Y0WOI97noTgdya4Zs/edit#gid=709845608"", ""Game!$A$2:$H""), MATCH(A43,IMPORTRANGE(""docs.google.com/spreadsheets/d/1Dz5m9yCjvG51SgZ1o2KfJUBBR9Y0WOI97noTgdya4Zs/edit#gid=7"&amp;"09845608"", ""Game!$A$2:$A""),0),6),""0"")"),"0")</f>
        <v>0</v>
      </c>
      <c r="I43" s="43" t="str">
        <f>IFERROR(__xludf.DUMMYFUNCTION("IFERROR(INDEX(IMPORTRANGE(""docs.google.com/spreadsheets/d/1Dz5m9yCjvG51SgZ1o2KfJUBBR9Y0WOI97noTgdya4Zs/edit#gid=709845608"", ""Game!$A$2:$H""), MATCH(A43,IMPORTRANGE(""docs.google.com/spreadsheets/d/1Dz5m9yCjvG51SgZ1o2KfJUBBR9Y0WOI97noTgdya4Zs/edit#gid=7"&amp;"09845608"", ""Game!$A$2:$A""),0),7),""0"")"),"0")</f>
        <v>0</v>
      </c>
      <c r="J43" s="4" t="s">
        <v>396</v>
      </c>
    </row>
    <row r="44" hidden="1">
      <c r="A44" s="18" t="s">
        <v>246</v>
      </c>
      <c r="B44" s="40">
        <f t="array" ref="B44">INDEX(Backlog!$A$2:$E65,MATCH(A44,Backlog!$A$2:A65,0),2)</f>
        <v>62</v>
      </c>
      <c r="C44" s="40" t="str">
        <f t="array" ref="C44">INDEX(Backlog!$A$2:$E65,MATCH(A44,Backlog!$A$2:A65,0),4)</f>
        <v>JRPG</v>
      </c>
      <c r="D44" s="40" t="str">
        <f t="array" ref="D44">INDEX(Backlog!$A$2:$E65,MATCH(A44,Backlog!$A$2:A65,0),5)</f>
        <v>Not Started</v>
      </c>
      <c r="E44" s="41">
        <f t="array" ref="E44">INDEX(Backlog!$A$2:$G65,MATCH(A44,Backlog!$A$2:A65,0),7)</f>
        <v>43289</v>
      </c>
      <c r="F44" s="42">
        <f>'Game Rate'!A$2</f>
        <v>6.219959795</v>
      </c>
      <c r="G44" s="43" t="str">
        <f>IFERROR(__xludf.DUMMYFUNCTION("IFERROR(INDEX(IMPORTRANGE(""docs.google.com/spreadsheets/d/1Dz5m9yCjvG51SgZ1o2KfJUBBR9Y0WOI97noTgdya4Zs/edit#gid=709845608"", ""Game!$A$2:$H""), MATCH(A44,IMPORTRANGE(""docs.google.com/spreadsheets/d/1Dz5m9yCjvG51SgZ1o2KfJUBBR9Y0WOI97noTgdya4Zs/edit#gid=7"&amp;"09845608"", ""Game!$A$2:$A""),0),8),""0"")"),"0")</f>
        <v>0</v>
      </c>
      <c r="H44" s="43" t="str">
        <f>IFERROR(__xludf.DUMMYFUNCTION("IFERROR(INDEX(IMPORTRANGE(""docs.google.com/spreadsheets/d/1Dz5m9yCjvG51SgZ1o2KfJUBBR9Y0WOI97noTgdya4Zs/edit#gid=709845608"", ""Game!$A$2:$H""), MATCH(A44,IMPORTRANGE(""docs.google.com/spreadsheets/d/1Dz5m9yCjvG51SgZ1o2KfJUBBR9Y0WOI97noTgdya4Zs/edit#gid=7"&amp;"09845608"", ""Game!$A$2:$A""),0),6),""0"")"),"0")</f>
        <v>0</v>
      </c>
      <c r="I44" s="43" t="str">
        <f>IFERROR(__xludf.DUMMYFUNCTION("IFERROR(INDEX(IMPORTRANGE(""docs.google.com/spreadsheets/d/1Dz5m9yCjvG51SgZ1o2KfJUBBR9Y0WOI97noTgdya4Zs/edit#gid=709845608"", ""Game!$A$2:$H""), MATCH(A44,IMPORTRANGE(""docs.google.com/spreadsheets/d/1Dz5m9yCjvG51SgZ1o2KfJUBBR9Y0WOI97noTgdya4Zs/edit#gid=7"&amp;"09845608"", ""Game!$A$2:$A""),0),7),""0"")"),"0")</f>
        <v>0</v>
      </c>
      <c r="J44" s="4" t="s">
        <v>396</v>
      </c>
    </row>
    <row r="45" hidden="1">
      <c r="A45" s="7" t="s">
        <v>247</v>
      </c>
      <c r="B45" s="40">
        <f t="array" ref="B45">INDEX(Backlog!$A$2:$E65,MATCH(A45,Backlog!$A$2:A65,0),2)</f>
        <v>62</v>
      </c>
      <c r="C45" s="40" t="str">
        <f t="array" ref="C45">INDEX(Backlog!$A$2:$E65,MATCH(A45,Backlog!$A$2:A65,0),4)</f>
        <v>JRPG</v>
      </c>
      <c r="D45" s="40" t="str">
        <f t="array" ref="D45">INDEX(Backlog!$A$2:$E65,MATCH(A45,Backlog!$A$2:A65,0),5)</f>
        <v>Not Started</v>
      </c>
      <c r="E45" s="41">
        <f t="array" ref="E45">INDEX(Backlog!$A$2:$G65,MATCH(A45,Backlog!$A$2:A65,0),7)</f>
        <v>43289</v>
      </c>
      <c r="F45" s="42">
        <f>'Game Rate'!A$2</f>
        <v>6.219959795</v>
      </c>
      <c r="G45" s="43" t="str">
        <f>IFERROR(__xludf.DUMMYFUNCTION("IFERROR(INDEX(IMPORTRANGE(""docs.google.com/spreadsheets/d/1Dz5m9yCjvG51SgZ1o2KfJUBBR9Y0WOI97noTgdya4Zs/edit#gid=709845608"", ""Game!$A$2:$H""), MATCH(A45,IMPORTRANGE(""docs.google.com/spreadsheets/d/1Dz5m9yCjvG51SgZ1o2KfJUBBR9Y0WOI97noTgdya4Zs/edit#gid=7"&amp;"09845608"", ""Game!$A$2:$A""),0),8),""0"")"),"0")</f>
        <v>0</v>
      </c>
      <c r="H45" s="43" t="str">
        <f>IFERROR(__xludf.DUMMYFUNCTION("IFERROR(INDEX(IMPORTRANGE(""docs.google.com/spreadsheets/d/1Dz5m9yCjvG51SgZ1o2KfJUBBR9Y0WOI97noTgdya4Zs/edit#gid=709845608"", ""Game!$A$2:$H""), MATCH(A45,IMPORTRANGE(""docs.google.com/spreadsheets/d/1Dz5m9yCjvG51SgZ1o2KfJUBBR9Y0WOI97noTgdya4Zs/edit#gid=7"&amp;"09845608"", ""Game!$A$2:$A""),0),6),""0"")"),"0")</f>
        <v>0</v>
      </c>
      <c r="I45" s="43" t="str">
        <f>IFERROR(__xludf.DUMMYFUNCTION("IFERROR(INDEX(IMPORTRANGE(""docs.google.com/spreadsheets/d/1Dz5m9yCjvG51SgZ1o2KfJUBBR9Y0WOI97noTgdya4Zs/edit#gid=709845608"", ""Game!$A$2:$H""), MATCH(A45,IMPORTRANGE(""docs.google.com/spreadsheets/d/1Dz5m9yCjvG51SgZ1o2KfJUBBR9Y0WOI97noTgdya4Zs/edit#gid=7"&amp;"09845608"", ""Game!$A$2:$A""),0),7),""0"")"),"0")</f>
        <v>0</v>
      </c>
      <c r="J45" s="4" t="s">
        <v>396</v>
      </c>
    </row>
    <row r="46" hidden="1">
      <c r="A46" s="7" t="s">
        <v>248</v>
      </c>
      <c r="B46" s="40">
        <f t="array" ref="B46">INDEX(Backlog!$A$2:$E65,MATCH(A46,Backlog!$A$2:A65,0),2)</f>
        <v>82</v>
      </c>
      <c r="C46" s="40" t="str">
        <f t="array" ref="C46">INDEX(Backlog!$A$2:$E65,MATCH(A46,Backlog!$A$2:A65,0),4)</f>
        <v>JRPG</v>
      </c>
      <c r="D46" s="40" t="str">
        <f t="array" ref="D46">INDEX(Backlog!$A$2:$E65,MATCH(A46,Backlog!$A$2:A65,0),5)</f>
        <v>Not Started</v>
      </c>
      <c r="E46" s="41">
        <f t="array" ref="E46">INDEX(Backlog!$A$2:$G65,MATCH(A46,Backlog!$A$2:A65,0),7)</f>
        <v>43289</v>
      </c>
      <c r="F46" s="42">
        <f>'Game Rate'!A$2</f>
        <v>6.219959795</v>
      </c>
      <c r="G46" s="43" t="str">
        <f>IFERROR(__xludf.DUMMYFUNCTION("IFERROR(INDEX(IMPORTRANGE(""docs.google.com/spreadsheets/d/1Dz5m9yCjvG51SgZ1o2KfJUBBR9Y0WOI97noTgdya4Zs/edit#gid=709845608"", ""Game!$A$2:$H""), MATCH(A46,IMPORTRANGE(""docs.google.com/spreadsheets/d/1Dz5m9yCjvG51SgZ1o2KfJUBBR9Y0WOI97noTgdya4Zs/edit#gid=7"&amp;"09845608"", ""Game!$A$2:$A""),0),8),""0"")"),"0")</f>
        <v>0</v>
      </c>
      <c r="H46" s="43" t="str">
        <f>IFERROR(__xludf.DUMMYFUNCTION("IFERROR(INDEX(IMPORTRANGE(""docs.google.com/spreadsheets/d/1Dz5m9yCjvG51SgZ1o2KfJUBBR9Y0WOI97noTgdya4Zs/edit#gid=709845608"", ""Game!$A$2:$H""), MATCH(A46,IMPORTRANGE(""docs.google.com/spreadsheets/d/1Dz5m9yCjvG51SgZ1o2KfJUBBR9Y0WOI97noTgdya4Zs/edit#gid=7"&amp;"09845608"", ""Game!$A$2:$A""),0),6),""0"")"),"0")</f>
        <v>0</v>
      </c>
      <c r="I46" s="43" t="str">
        <f>IFERROR(__xludf.DUMMYFUNCTION("IFERROR(INDEX(IMPORTRANGE(""docs.google.com/spreadsheets/d/1Dz5m9yCjvG51SgZ1o2KfJUBBR9Y0WOI97noTgdya4Zs/edit#gid=709845608"", ""Game!$A$2:$H""), MATCH(A46,IMPORTRANGE(""docs.google.com/spreadsheets/d/1Dz5m9yCjvG51SgZ1o2KfJUBBR9Y0WOI97noTgdya4Zs/edit#gid=7"&amp;"09845608"", ""Game!$A$2:$A""),0),7),""0"")"),"0")</f>
        <v>0</v>
      </c>
      <c r="J46" s="4" t="s">
        <v>396</v>
      </c>
    </row>
    <row r="47" hidden="1">
      <c r="A47" s="7" t="s">
        <v>249</v>
      </c>
      <c r="B47" s="40">
        <f t="array" ref="B47">INDEX(Backlog!$A$2:$E65,MATCH(A47,Backlog!$A$2:A65,0),2)</f>
        <v>80</v>
      </c>
      <c r="C47" s="40" t="str">
        <f t="array" ref="C47">INDEX(Backlog!$A$2:$E65,MATCH(A47,Backlog!$A$2:A65,0),4)</f>
        <v>JRPG</v>
      </c>
      <c r="D47" s="40" t="str">
        <f t="array" ref="D47">INDEX(Backlog!$A$2:$E65,MATCH(A47,Backlog!$A$2:A65,0),5)</f>
        <v>Not Started</v>
      </c>
      <c r="E47" s="41">
        <f t="array" ref="E47">INDEX(Backlog!$A$2:$G65,MATCH(A47,Backlog!$A$2:A65,0),7)</f>
        <v>43289</v>
      </c>
      <c r="F47" s="42">
        <f>'Game Rate'!A$2</f>
        <v>6.219959795</v>
      </c>
      <c r="G47" s="43" t="str">
        <f>IFERROR(__xludf.DUMMYFUNCTION("IFERROR(INDEX(IMPORTRANGE(""docs.google.com/spreadsheets/d/1Dz5m9yCjvG51SgZ1o2KfJUBBR9Y0WOI97noTgdya4Zs/edit#gid=709845608"", ""Game!$A$2:$H""), MATCH(A47,IMPORTRANGE(""docs.google.com/spreadsheets/d/1Dz5m9yCjvG51SgZ1o2KfJUBBR9Y0WOI97noTgdya4Zs/edit#gid=7"&amp;"09845608"", ""Game!$A$2:$A""),0),8),""0"")"),"0")</f>
        <v>0</v>
      </c>
      <c r="H47" s="43" t="str">
        <f>IFERROR(__xludf.DUMMYFUNCTION("IFERROR(INDEX(IMPORTRANGE(""docs.google.com/spreadsheets/d/1Dz5m9yCjvG51SgZ1o2KfJUBBR9Y0WOI97noTgdya4Zs/edit#gid=709845608"", ""Game!$A$2:$H""), MATCH(A47,IMPORTRANGE(""docs.google.com/spreadsheets/d/1Dz5m9yCjvG51SgZ1o2KfJUBBR9Y0WOI97noTgdya4Zs/edit#gid=7"&amp;"09845608"", ""Game!$A$2:$A""),0),6),""0"")"),"0")</f>
        <v>0</v>
      </c>
      <c r="I47" s="43" t="str">
        <f>IFERROR(__xludf.DUMMYFUNCTION("IFERROR(INDEX(IMPORTRANGE(""docs.google.com/spreadsheets/d/1Dz5m9yCjvG51SgZ1o2KfJUBBR9Y0WOI97noTgdya4Zs/edit#gid=709845608"", ""Game!$A$2:$H""), MATCH(A47,IMPORTRANGE(""docs.google.com/spreadsheets/d/1Dz5m9yCjvG51SgZ1o2KfJUBBR9Y0WOI97noTgdya4Zs/edit#gid=7"&amp;"09845608"", ""Game!$A$2:$A""),0),7),""0"")"),"0")</f>
        <v>0</v>
      </c>
      <c r="J47" s="4" t="s">
        <v>396</v>
      </c>
    </row>
    <row r="48" hidden="1">
      <c r="A48" s="7" t="s">
        <v>273</v>
      </c>
      <c r="B48" s="40">
        <f t="array" ref="B48">INDEX(Backlog!$A$2:$E65,MATCH(A48,Backlog!$A$2:A65,0),2)</f>
        <v>47</v>
      </c>
      <c r="C48" s="40" t="str">
        <f t="array" ref="C48">INDEX(Backlog!$A$2:$E65,MATCH(A48,Backlog!$A$2:A65,0),4)</f>
        <v>JRPG</v>
      </c>
      <c r="D48" s="40" t="str">
        <f t="array" ref="D48">INDEX(Backlog!$A$2:$E65,MATCH(A48,Backlog!$A$2:A65,0),5)</f>
        <v>Compleat</v>
      </c>
      <c r="E48" s="45">
        <f t="array" ref="E48">INDEX(Backlog!$A$2:$G65,MATCH(A48,Backlog!$A$2:A65,0),7)</f>
        <v>43431</v>
      </c>
      <c r="F48" s="42">
        <f>'Game Rate'!A$2</f>
        <v>6.219959795</v>
      </c>
      <c r="G48" s="43">
        <f>IFERROR(__xludf.DUMMYFUNCTION("IFERROR(INDEX(IMPORTRANGE(""docs.google.com/spreadsheets/d/1Dz5m9yCjvG51SgZ1o2KfJUBBR9Y0WOI97noTgdya4Zs/edit#gid=709845608"", ""Game!$A$2:$H""), MATCH(A48,IMPORTRANGE(""docs.google.com/spreadsheets/d/1Dz5m9yCjvG51SgZ1o2KfJUBBR9Y0WOI97noTgdya4Zs/edit#gid=7"&amp;"09845608"", ""Game!$A$2:$A""),0),8),""0"")"),2.0416666666666665)</f>
        <v>2.041666667</v>
      </c>
      <c r="H48" s="43">
        <f>IFERROR(__xludf.DUMMYFUNCTION("IFERROR(INDEX(IMPORTRANGE(""docs.google.com/spreadsheets/d/1Dz5m9yCjvG51SgZ1o2KfJUBBR9Y0WOI97noTgdya4Zs/edit#gid=709845608"", ""Game!$A$2:$H""), MATCH(A48,IMPORTRANGE(""docs.google.com/spreadsheets/d/1Dz5m9yCjvG51SgZ1o2KfJUBBR9Y0WOI97noTgdya4Zs/edit#gid=7"&amp;"09845608"", ""Game!$A$2:$A""),0),6),""0"")"),24.0)</f>
        <v>24</v>
      </c>
      <c r="I48" s="43">
        <f>IFERROR(__xludf.DUMMYFUNCTION("IFERROR(INDEX(IMPORTRANGE(""docs.google.com/spreadsheets/d/1Dz5m9yCjvG51SgZ1o2KfJUBBR9Y0WOI97noTgdya4Zs/edit#gid=709845608"", ""Game!$A$2:$H""), MATCH(A48,IMPORTRANGE(""docs.google.com/spreadsheets/d/1Dz5m9yCjvG51SgZ1o2KfJUBBR9Y0WOI97noTgdya4Zs/edit#gid=7"&amp;"09845608"", ""Game!$A$2:$A""),0),7),""0"")"),49.0)</f>
        <v>49</v>
      </c>
      <c r="J48" s="4" t="s">
        <v>396</v>
      </c>
    </row>
    <row r="49" hidden="1">
      <c r="A49" s="7" t="s">
        <v>274</v>
      </c>
      <c r="B49" s="40">
        <f t="array" ref="B49">INDEX(Backlog!$A$2:$E65,MATCH(A49,Backlog!$A$2:A65,0),2)</f>
        <v>76</v>
      </c>
      <c r="C49" s="40" t="str">
        <f t="array" ref="C49">INDEX(Backlog!$A$2:$E65,MATCH(A49,Backlog!$A$2:A65,0),4)</f>
        <v>JRPG</v>
      </c>
      <c r="D49" s="40" t="str">
        <f t="array" ref="D49">INDEX(Backlog!$A$2:$E65,MATCH(A49,Backlog!$A$2:A65,0),5)</f>
        <v>Not Started</v>
      </c>
      <c r="E49" s="45">
        <f t="array" ref="E49">INDEX(Backlog!$A$2:$G65,MATCH(A49,Backlog!$A$2:A65,0),7)</f>
        <v>43431</v>
      </c>
      <c r="F49" s="42">
        <f>'Game Rate'!A$2</f>
        <v>6.219959795</v>
      </c>
      <c r="G49" s="43" t="str">
        <f>IFERROR(__xludf.DUMMYFUNCTION("IFERROR(INDEX(IMPORTRANGE(""docs.google.com/spreadsheets/d/1Dz5m9yCjvG51SgZ1o2KfJUBBR9Y0WOI97noTgdya4Zs/edit#gid=709845608"", ""Game!$A$2:$H""), MATCH(A49,IMPORTRANGE(""docs.google.com/spreadsheets/d/1Dz5m9yCjvG51SgZ1o2KfJUBBR9Y0WOI97noTgdya4Zs/edit#gid=7"&amp;"09845608"", ""Game!$A$2:$A""),0),8),""0"")"),"0")</f>
        <v>0</v>
      </c>
      <c r="H49" s="43" t="str">
        <f>IFERROR(__xludf.DUMMYFUNCTION("IFERROR(INDEX(IMPORTRANGE(""docs.google.com/spreadsheets/d/1Dz5m9yCjvG51SgZ1o2KfJUBBR9Y0WOI97noTgdya4Zs/edit#gid=709845608"", ""Game!$A$2:$H""), MATCH(A49,IMPORTRANGE(""docs.google.com/spreadsheets/d/1Dz5m9yCjvG51SgZ1o2KfJUBBR9Y0WOI97noTgdya4Zs/edit#gid=7"&amp;"09845608"", ""Game!$A$2:$A""),0),6),""0"")"),"0")</f>
        <v>0</v>
      </c>
      <c r="I49" s="43" t="str">
        <f>IFERROR(__xludf.DUMMYFUNCTION("IFERROR(INDEX(IMPORTRANGE(""docs.google.com/spreadsheets/d/1Dz5m9yCjvG51SgZ1o2KfJUBBR9Y0WOI97noTgdya4Zs/edit#gid=709845608"", ""Game!$A$2:$H""), MATCH(A49,IMPORTRANGE(""docs.google.com/spreadsheets/d/1Dz5m9yCjvG51SgZ1o2KfJUBBR9Y0WOI97noTgdya4Zs/edit#gid=7"&amp;"09845608"", ""Game!$A$2:$A""),0),7),""0"")"),"0")</f>
        <v>0</v>
      </c>
      <c r="J49" s="4" t="s">
        <v>396</v>
      </c>
    </row>
    <row r="50" hidden="1">
      <c r="A50" s="7" t="s">
        <v>275</v>
      </c>
      <c r="B50" s="40">
        <f t="array" ref="B50">INDEX(Backlog!$A$2:$E65,MATCH(A50,Backlog!$A$2:A65,0),2)</f>
        <v>104</v>
      </c>
      <c r="C50" s="40" t="str">
        <f t="array" ref="C50">INDEX(Backlog!$A$2:$E65,MATCH(A50,Backlog!$A$2:A65,0),4)</f>
        <v>JRPG</v>
      </c>
      <c r="D50" s="40" t="str">
        <f t="array" ref="D50">INDEX(Backlog!$A$2:$E65,MATCH(A50,Backlog!$A$2:A65,0),5)</f>
        <v>Not Started</v>
      </c>
      <c r="E50" s="45">
        <f t="array" ref="E50">INDEX(Backlog!$A$2:$G65,MATCH(A50,Backlog!$A$2:A65,0),7)</f>
        <v>43431</v>
      </c>
      <c r="F50" s="42">
        <f>'Game Rate'!A$2</f>
        <v>6.219959795</v>
      </c>
      <c r="G50" s="43" t="str">
        <f>IFERROR(__xludf.DUMMYFUNCTION("IFERROR(INDEX(IMPORTRANGE(""docs.google.com/spreadsheets/d/1Dz5m9yCjvG51SgZ1o2KfJUBBR9Y0WOI97noTgdya4Zs/edit#gid=709845608"", ""Game!$A$2:$H""), MATCH(A50,IMPORTRANGE(""docs.google.com/spreadsheets/d/1Dz5m9yCjvG51SgZ1o2KfJUBBR9Y0WOI97noTgdya4Zs/edit#gid=7"&amp;"09845608"", ""Game!$A$2:$A""),0),8),""0"")"),"0")</f>
        <v>0</v>
      </c>
      <c r="H50" s="43" t="str">
        <f>IFERROR(__xludf.DUMMYFUNCTION("IFERROR(INDEX(IMPORTRANGE(""docs.google.com/spreadsheets/d/1Dz5m9yCjvG51SgZ1o2KfJUBBR9Y0WOI97noTgdya4Zs/edit#gid=709845608"", ""Game!$A$2:$H""), MATCH(A50,IMPORTRANGE(""docs.google.com/spreadsheets/d/1Dz5m9yCjvG51SgZ1o2KfJUBBR9Y0WOI97noTgdya4Zs/edit#gid=7"&amp;"09845608"", ""Game!$A$2:$A""),0),6),""0"")"),"0")</f>
        <v>0</v>
      </c>
      <c r="I50" s="43" t="str">
        <f>IFERROR(__xludf.DUMMYFUNCTION("IFERROR(INDEX(IMPORTRANGE(""docs.google.com/spreadsheets/d/1Dz5m9yCjvG51SgZ1o2KfJUBBR9Y0WOI97noTgdya4Zs/edit#gid=709845608"", ""Game!$A$2:$H""), MATCH(A50,IMPORTRANGE(""docs.google.com/spreadsheets/d/1Dz5m9yCjvG51SgZ1o2KfJUBBR9Y0WOI97noTgdya4Zs/edit#gid=7"&amp;"09845608"", ""Game!$A$2:$A""),0),7),""0"")"),"0")</f>
        <v>0</v>
      </c>
      <c r="J50" s="4" t="s">
        <v>396</v>
      </c>
    </row>
    <row r="51" hidden="1">
      <c r="A51" s="7" t="s">
        <v>276</v>
      </c>
      <c r="B51" s="40">
        <f t="array" ref="B51">INDEX(Backlog!$A$2:$E65,MATCH(A51,Backlog!$A$2:A65,0),2)</f>
        <v>105</v>
      </c>
      <c r="C51" s="40" t="str">
        <f t="array" ref="C51">INDEX(Backlog!$A$2:$E65,MATCH(A51,Backlog!$A$2:A65,0),4)</f>
        <v>JRPG</v>
      </c>
      <c r="D51" s="40" t="str">
        <f t="array" ref="D51">INDEX(Backlog!$A$2:$E65,MATCH(A51,Backlog!$A$2:A65,0),5)</f>
        <v>Compleat</v>
      </c>
      <c r="E51" s="45">
        <f t="array" ref="E51">INDEX(Backlog!$A$2:$G65,MATCH(A51,Backlog!$A$2:A65,0),7)</f>
        <v>43431</v>
      </c>
      <c r="F51" s="42">
        <f>'Game Rate'!A$2</f>
        <v>6.219959795</v>
      </c>
      <c r="G51" s="43">
        <f>IFERROR(__xludf.DUMMYFUNCTION("IFERROR(INDEX(IMPORTRANGE(""docs.google.com/spreadsheets/d/1Dz5m9yCjvG51SgZ1o2KfJUBBR9Y0WOI97noTgdya4Zs/edit#gid=709845608"", ""Game!$A$2:$H""), MATCH(A51,IMPORTRANGE(""docs.google.com/spreadsheets/d/1Dz5m9yCjvG51SgZ1o2KfJUBBR9Y0WOI97noTgdya4Zs/edit#gid=7"&amp;"09845608"", ""Game!$A$2:$A""),0),8),""0"")"),2.9393939393939394)</f>
        <v>2.939393939</v>
      </c>
      <c r="H51" s="43">
        <f>IFERROR(__xludf.DUMMYFUNCTION("IFERROR(INDEX(IMPORTRANGE(""docs.google.com/spreadsheets/d/1Dz5m9yCjvG51SgZ1o2KfJUBBR9Y0WOI97noTgdya4Zs/edit#gid=709845608"", ""Game!$A$2:$H""), MATCH(A51,IMPORTRANGE(""docs.google.com/spreadsheets/d/1Dz5m9yCjvG51SgZ1o2KfJUBBR9Y0WOI97noTgdya4Zs/edit#gid=7"&amp;"09845608"", ""Game!$A$2:$A""),0),6),""0"")"),33.0)</f>
        <v>33</v>
      </c>
      <c r="I51" s="43">
        <f>IFERROR(__xludf.DUMMYFUNCTION("IFERROR(INDEX(IMPORTRANGE(""docs.google.com/spreadsheets/d/1Dz5m9yCjvG51SgZ1o2KfJUBBR9Y0WOI97noTgdya4Zs/edit#gid=709845608"", ""Game!$A$2:$H""), MATCH(A51,IMPORTRANGE(""docs.google.com/spreadsheets/d/1Dz5m9yCjvG51SgZ1o2KfJUBBR9Y0WOI97noTgdya4Zs/edit#gid=7"&amp;"09845608"", ""Game!$A$2:$A""),0),7),""0"")"),97.0)</f>
        <v>97</v>
      </c>
      <c r="J51" s="4" t="s">
        <v>396</v>
      </c>
    </row>
    <row r="52" hidden="1">
      <c r="A52" s="7" t="s">
        <v>277</v>
      </c>
      <c r="B52" s="40">
        <f t="array" ref="B52">INDEX(Backlog!$A$2:$E65,MATCH(A52,Backlog!$A$2:A65,0),2)</f>
        <v>71</v>
      </c>
      <c r="C52" s="40" t="str">
        <f t="array" ref="C52">INDEX(Backlog!$A$2:$E65,MATCH(A52,Backlog!$A$2:A65,0),4)</f>
        <v>JRPG</v>
      </c>
      <c r="D52" s="40" t="str">
        <f t="array" ref="D52">INDEX(Backlog!$A$2:$E65,MATCH(A52,Backlog!$A$2:A65,0),5)</f>
        <v>Compleat</v>
      </c>
      <c r="E52" s="45">
        <f t="array" ref="E52">INDEX(Backlog!$A$2:$G65,MATCH(A52,Backlog!$A$2:A65,0),7)</f>
        <v>43431</v>
      </c>
      <c r="F52" s="42">
        <f>'Game Rate'!A$2</f>
        <v>6.219959795</v>
      </c>
      <c r="G52" s="43">
        <f>IFERROR(__xludf.DUMMYFUNCTION("IFERROR(INDEX(IMPORTRANGE(""docs.google.com/spreadsheets/d/1Dz5m9yCjvG51SgZ1o2KfJUBBR9Y0WOI97noTgdya4Zs/edit#gid=709845608"", ""Game!$A$2:$H""), MATCH(A52,IMPORTRANGE(""docs.google.com/spreadsheets/d/1Dz5m9yCjvG51SgZ1o2KfJUBBR9Y0WOI97noTgdya4Zs/edit#gid=7"&amp;"09845608"", ""Game!$A$2:$A""),0),8),""0"")"),3.5714285714285716)</f>
        <v>3.571428571</v>
      </c>
      <c r="H52" s="43">
        <f>IFERROR(__xludf.DUMMYFUNCTION("IFERROR(INDEX(IMPORTRANGE(""docs.google.com/spreadsheets/d/1Dz5m9yCjvG51SgZ1o2KfJUBBR9Y0WOI97noTgdya4Zs/edit#gid=709845608"", ""Game!$A$2:$H""), MATCH(A52,IMPORTRANGE(""docs.google.com/spreadsheets/d/1Dz5m9yCjvG51SgZ1o2KfJUBBR9Y0WOI97noTgdya4Zs/edit#gid=7"&amp;"09845608"", ""Game!$A$2:$A""),0),6),""0"")"),14.0)</f>
        <v>14</v>
      </c>
      <c r="I52" s="43">
        <f>IFERROR(__xludf.DUMMYFUNCTION("IFERROR(INDEX(IMPORTRANGE(""docs.google.com/spreadsheets/d/1Dz5m9yCjvG51SgZ1o2KfJUBBR9Y0WOI97noTgdya4Zs/edit#gid=709845608"", ""Game!$A$2:$H""), MATCH(A52,IMPORTRANGE(""docs.google.com/spreadsheets/d/1Dz5m9yCjvG51SgZ1o2KfJUBBR9Y0WOI97noTgdya4Zs/edit#gid=7"&amp;"09845608"", ""Game!$A$2:$A""),0),7),""0"")"),50.0)</f>
        <v>50</v>
      </c>
      <c r="J52" s="4" t="s">
        <v>396</v>
      </c>
    </row>
    <row r="53" hidden="1">
      <c r="A53" s="7" t="s">
        <v>278</v>
      </c>
      <c r="B53" s="40">
        <f t="array" ref="B53">INDEX(Backlog!$A$2:$E65,MATCH(A53,Backlog!$A$2:A65,0),2)</f>
        <v>117</v>
      </c>
      <c r="C53" s="40" t="str">
        <f t="array" ref="C53">INDEX(Backlog!$A$2:$E65,MATCH(A53,Backlog!$A$2:A65,0),4)</f>
        <v>JRPG</v>
      </c>
      <c r="D53" s="40" t="str">
        <f t="array" ref="D53">INDEX(Backlog!$A$2:$E65,MATCH(A53,Backlog!$A$2:A65,0),5)</f>
        <v>Compleat</v>
      </c>
      <c r="E53" s="45">
        <f t="array" ref="E53">INDEX(Backlog!$A$2:$G65,MATCH(A53,Backlog!$A$2:A65,0),7)</f>
        <v>43431</v>
      </c>
      <c r="F53" s="42">
        <f>'Game Rate'!A$2</f>
        <v>6.219959795</v>
      </c>
      <c r="G53" s="43">
        <f>IFERROR(__xludf.DUMMYFUNCTION("IFERROR(INDEX(IMPORTRANGE(""docs.google.com/spreadsheets/d/1Dz5m9yCjvG51SgZ1o2KfJUBBR9Y0WOI97noTgdya4Zs/edit#gid=709845608"", ""Game!$A$2:$H""), MATCH(A53,IMPORTRANGE(""docs.google.com/spreadsheets/d/1Dz5m9yCjvG51SgZ1o2KfJUBBR9Y0WOI97noTgdya4Zs/edit#gid=7"&amp;"09845608"", ""Game!$A$2:$A""),0),8),""0"")"),5.0)</f>
        <v>5</v>
      </c>
      <c r="H53" s="43">
        <f>IFERROR(__xludf.DUMMYFUNCTION("IFERROR(INDEX(IMPORTRANGE(""docs.google.com/spreadsheets/d/1Dz5m9yCjvG51SgZ1o2KfJUBBR9Y0WOI97noTgdya4Zs/edit#gid=709845608"", ""Game!$A$2:$H""), MATCH(A53,IMPORTRANGE(""docs.google.com/spreadsheets/d/1Dz5m9yCjvG51SgZ1o2KfJUBBR9Y0WOI97noTgdya4Zs/edit#gid=7"&amp;"09845608"", ""Game!$A$2:$A""),0),6),""0"")"),30.0)</f>
        <v>30</v>
      </c>
      <c r="I53" s="43">
        <f>IFERROR(__xludf.DUMMYFUNCTION("IFERROR(INDEX(IMPORTRANGE(""docs.google.com/spreadsheets/d/1Dz5m9yCjvG51SgZ1o2KfJUBBR9Y0WOI97noTgdya4Zs/edit#gid=709845608"", ""Game!$A$2:$H""), MATCH(A53,IMPORTRANGE(""docs.google.com/spreadsheets/d/1Dz5m9yCjvG51SgZ1o2KfJUBBR9Y0WOI97noTgdya4Zs/edit#gid=7"&amp;"09845608"", ""Game!$A$2:$A""),0),7),""0"")"),150.0)</f>
        <v>150</v>
      </c>
      <c r="J53" s="4" t="s">
        <v>396</v>
      </c>
    </row>
    <row r="54" hidden="1">
      <c r="A54" s="4" t="s">
        <v>342</v>
      </c>
      <c r="B54" s="40">
        <f t="array" ref="B54">INDEX(Backlog!$A$2:$E65,MATCH(A54,Backlog!$A$2:A65,0),2)</f>
        <v>84</v>
      </c>
      <c r="C54" s="40" t="str">
        <f t="array" ref="C54">INDEX(Backlog!$A$2:$E65,MATCH(A54,Backlog!$A$2:A65,0),4)</f>
        <v>JRPG</v>
      </c>
      <c r="D54" s="40" t="str">
        <f t="array" ref="D54">INDEX(Backlog!$A$2:$E65,MATCH(A54,Backlog!$A$2:A65,0),5)</f>
        <v>Compleat</v>
      </c>
      <c r="E54" s="41">
        <f t="array" ref="E54">INDEX(Backlog!$A$2:$G65,MATCH(A54,Backlog!$A$2:A65,0),7)</f>
        <v>44546</v>
      </c>
      <c r="F54" s="42">
        <f>'Game Rate'!A$2</f>
        <v>6.219959795</v>
      </c>
      <c r="G54" s="43">
        <f>IFERROR(__xludf.DUMMYFUNCTION("IFERROR(INDEX(IMPORTRANGE(""docs.google.com/spreadsheets/d/1Dz5m9yCjvG51SgZ1o2KfJUBBR9Y0WOI97noTgdya4Zs/edit#gid=709845608"", ""Game!$A$2:$H""), MATCH(A54,IMPORTRANGE(""docs.google.com/spreadsheets/d/1Dz5m9yCjvG51SgZ1o2KfJUBBR9Y0WOI97noTgdya4Zs/edit#gid=7"&amp;"09845608"", ""Game!$A$2:$A""),0),8),""0"")"),5.615384615384615)</f>
        <v>5.615384615</v>
      </c>
      <c r="H54" s="43">
        <f>IFERROR(__xludf.DUMMYFUNCTION("IFERROR(INDEX(IMPORTRANGE(""docs.google.com/spreadsheets/d/1Dz5m9yCjvG51SgZ1o2KfJUBBR9Y0WOI97noTgdya4Zs/edit#gid=709845608"", ""Game!$A$2:$H""), MATCH(A54,IMPORTRANGE(""docs.google.com/spreadsheets/d/1Dz5m9yCjvG51SgZ1o2KfJUBBR9Y0WOI97noTgdya4Zs/edit#gid=7"&amp;"09845608"", ""Game!$A$2:$A""),0),6),""0"")"),13.0)</f>
        <v>13</v>
      </c>
      <c r="I54" s="43">
        <f>IFERROR(__xludf.DUMMYFUNCTION("IFERROR(INDEX(IMPORTRANGE(""docs.google.com/spreadsheets/d/1Dz5m9yCjvG51SgZ1o2KfJUBBR9Y0WOI97noTgdya4Zs/edit#gid=709845608"", ""Game!$A$2:$H""), MATCH(A54,IMPORTRANGE(""docs.google.com/spreadsheets/d/1Dz5m9yCjvG51SgZ1o2KfJUBBR9Y0WOI97noTgdya4Zs/edit#gid=7"&amp;"09845608"", ""Game!$A$2:$A""),0),7),""0"")"),73.0)</f>
        <v>73</v>
      </c>
      <c r="J54" s="4" t="s">
        <v>396</v>
      </c>
    </row>
    <row r="55" hidden="1">
      <c r="A55" s="7" t="s">
        <v>369</v>
      </c>
      <c r="B55" s="40">
        <f t="array" ref="B55">INDEX(Backlog!$A$2:$E65,MATCH(A55,Backlog!$A$2:A65,0),2)</f>
        <v>29</v>
      </c>
      <c r="C55" s="40" t="str">
        <f t="array" ref="C55">INDEX(Backlog!$A$2:$E65,MATCH(A55,Backlog!$A$2:A65,0),4)</f>
        <v>Survival Horror</v>
      </c>
      <c r="D55" s="40" t="str">
        <f t="array" ref="D55">INDEX(Backlog!$A$2:$E65,MATCH(A55,Backlog!$A$2:A65,0),5)</f>
        <v>Not Started</v>
      </c>
      <c r="E55" s="41">
        <f t="array" ref="E55">INDEX(Backlog!$A$2:$G65,MATCH(A55,Backlog!$A$2:A65,0),7)</f>
        <v>45008</v>
      </c>
      <c r="F55" s="42">
        <f>'Game Rate'!A$2</f>
        <v>6.219959795</v>
      </c>
      <c r="G55" s="43" t="str">
        <f>IFERROR(__xludf.DUMMYFUNCTION("IFERROR(INDEX(IMPORTRANGE(""docs.google.com/spreadsheets/d/1Dz5m9yCjvG51SgZ1o2KfJUBBR9Y0WOI97noTgdya4Zs/edit#gid=709845608"", ""Game!$A$2:$H""), MATCH(A55,IMPORTRANGE(""docs.google.com/spreadsheets/d/1Dz5m9yCjvG51SgZ1o2KfJUBBR9Y0WOI97noTgdya4Zs/edit#gid=7"&amp;"09845608"", ""Game!$A$2:$A""),0),8),""0"")"),"0")</f>
        <v>0</v>
      </c>
      <c r="H55" s="43" t="str">
        <f>IFERROR(__xludf.DUMMYFUNCTION("IFERROR(INDEX(IMPORTRANGE(""docs.google.com/spreadsheets/d/1Dz5m9yCjvG51SgZ1o2KfJUBBR9Y0WOI97noTgdya4Zs/edit#gid=709845608"", ""Game!$A$2:$H""), MATCH(A55,IMPORTRANGE(""docs.google.com/spreadsheets/d/1Dz5m9yCjvG51SgZ1o2KfJUBBR9Y0WOI97noTgdya4Zs/edit#gid=7"&amp;"09845608"", ""Game!$A$2:$A""),0),6),""0"")"),"0")</f>
        <v>0</v>
      </c>
      <c r="I55" s="43" t="str">
        <f>IFERROR(__xludf.DUMMYFUNCTION("IFERROR(INDEX(IMPORTRANGE(""docs.google.com/spreadsheets/d/1Dz5m9yCjvG51SgZ1o2KfJUBBR9Y0WOI97noTgdya4Zs/edit#gid=709845608"", ""Game!$A$2:$H""), MATCH(A55,IMPORTRANGE(""docs.google.com/spreadsheets/d/1Dz5m9yCjvG51SgZ1o2KfJUBBR9Y0WOI97noTgdya4Zs/edit#gid=7"&amp;"09845608"", ""Game!$A$2:$A""),0),7),""0"")"),"0")</f>
        <v>0</v>
      </c>
      <c r="J55" s="7" t="s">
        <v>369</v>
      </c>
    </row>
    <row r="56" hidden="1">
      <c r="A56" s="18" t="s">
        <v>371</v>
      </c>
      <c r="B56" s="40">
        <f t="array" ref="B56">INDEX(Backlog!$A$2:$E65,MATCH(A56,Backlog!$A$2:A65,0),2)</f>
        <v>23</v>
      </c>
      <c r="C56" s="40" t="str">
        <f t="array" ref="C56">INDEX(Backlog!$A$2:$E65,MATCH(A56,Backlog!$A$2:A65,0),4)</f>
        <v>Survival Horror</v>
      </c>
      <c r="D56" s="40" t="str">
        <f t="array" ref="D56">INDEX(Backlog!$A$2:$E65,MATCH(A56,Backlog!$A$2:A65,0),5)</f>
        <v>UnCompleat</v>
      </c>
      <c r="E56" s="41">
        <f t="array" ref="E56">INDEX(Backlog!$A$2:$G65,MATCH(A56,Backlog!$A$2:A65,0),7)</f>
        <v>45009</v>
      </c>
      <c r="F56" s="42">
        <f>'Game Rate'!A$2</f>
        <v>6.219959795</v>
      </c>
      <c r="G56" s="43">
        <f>IFERROR(__xludf.DUMMYFUNCTION("IFERROR(INDEX(IMPORTRANGE(""docs.google.com/spreadsheets/d/1Dz5m9yCjvG51SgZ1o2KfJUBBR9Y0WOI97noTgdya4Zs/edit#gid=709845608"", ""Game!$A$2:$H""), MATCH(A56,IMPORTRANGE(""docs.google.com/spreadsheets/d/1Dz5m9yCjvG51SgZ1o2KfJUBBR9Y0WOI97noTgdya4Zs/edit#gid=7"&amp;"09845608"", ""Game!$A$2:$A""),0),8),""0"")"),6.0)</f>
        <v>6</v>
      </c>
      <c r="H56" s="43">
        <f>IFERROR(__xludf.DUMMYFUNCTION("IFERROR(INDEX(IMPORTRANGE(""docs.google.com/spreadsheets/d/1Dz5m9yCjvG51SgZ1o2KfJUBBR9Y0WOI97noTgdya4Zs/edit#gid=709845608"", ""Game!$A$2:$H""), MATCH(A56,IMPORTRANGE(""docs.google.com/spreadsheets/d/1Dz5m9yCjvG51SgZ1o2KfJUBBR9Y0WOI97noTgdya4Zs/edit#gid=7"&amp;"09845608"", ""Game!$A$2:$A""),0),6),""0"")"),2.0)</f>
        <v>2</v>
      </c>
      <c r="I56" s="43">
        <f>IFERROR(__xludf.DUMMYFUNCTION("IFERROR(INDEX(IMPORTRANGE(""docs.google.com/spreadsheets/d/1Dz5m9yCjvG51SgZ1o2KfJUBBR9Y0WOI97noTgdya4Zs/edit#gid=709845608"", ""Game!$A$2:$H""), MATCH(A56,IMPORTRANGE(""docs.google.com/spreadsheets/d/1Dz5m9yCjvG51SgZ1o2KfJUBBR9Y0WOI97noTgdya4Zs/edit#gid=7"&amp;"09845608"", ""Game!$A$2:$A""),0),7),""0"")"),12.0)</f>
        <v>12</v>
      </c>
      <c r="J56" s="7" t="s">
        <v>369</v>
      </c>
    </row>
    <row r="57" hidden="1">
      <c r="A57" s="7" t="s">
        <v>372</v>
      </c>
      <c r="B57" s="40">
        <f t="array" ref="B57">INDEX(Backlog!$A$2:$E65,MATCH(A57,Backlog!$A$2:A65,0),2)</f>
        <v>35</v>
      </c>
      <c r="C57" s="40" t="str">
        <f t="array" ref="C57">INDEX(Backlog!$A$2:$E65,MATCH(A57,Backlog!$A$2:A65,0),4)</f>
        <v>Survival Horror</v>
      </c>
      <c r="D57" s="40" t="str">
        <f t="array" ref="D57">INDEX(Backlog!$A$2:$E65,MATCH(A57,Backlog!$A$2:A65,0),5)</f>
        <v>Not Started</v>
      </c>
      <c r="E57" s="41">
        <f t="array" ref="E57">INDEX(Backlog!$A$2:$G65,MATCH(A57,Backlog!$A$2:A65,0),7)</f>
        <v>45010</v>
      </c>
      <c r="F57" s="42">
        <f>'Game Rate'!A$2</f>
        <v>6.219959795</v>
      </c>
      <c r="G57" s="43" t="str">
        <f>IFERROR(__xludf.DUMMYFUNCTION("IFERROR(INDEX(IMPORTRANGE(""docs.google.com/spreadsheets/d/1Dz5m9yCjvG51SgZ1o2KfJUBBR9Y0WOI97noTgdya4Zs/edit#gid=709845608"", ""Game!$A$2:$H""), MATCH(A57,IMPORTRANGE(""docs.google.com/spreadsheets/d/1Dz5m9yCjvG51SgZ1o2KfJUBBR9Y0WOI97noTgdya4Zs/edit#gid=7"&amp;"09845608"", ""Game!$A$2:$A""),0),8),""0"")"),"0")</f>
        <v>0</v>
      </c>
      <c r="H57" s="43" t="str">
        <f>IFERROR(__xludf.DUMMYFUNCTION("IFERROR(INDEX(IMPORTRANGE(""docs.google.com/spreadsheets/d/1Dz5m9yCjvG51SgZ1o2KfJUBBR9Y0WOI97noTgdya4Zs/edit#gid=709845608"", ""Game!$A$2:$H""), MATCH(A57,IMPORTRANGE(""docs.google.com/spreadsheets/d/1Dz5m9yCjvG51SgZ1o2KfJUBBR9Y0WOI97noTgdya4Zs/edit#gid=7"&amp;"09845608"", ""Game!$A$2:$A""),0),6),""0"")"),"0")</f>
        <v>0</v>
      </c>
      <c r="I57" s="43" t="str">
        <f>IFERROR(__xludf.DUMMYFUNCTION("IFERROR(INDEX(IMPORTRANGE(""docs.google.com/spreadsheets/d/1Dz5m9yCjvG51SgZ1o2KfJUBBR9Y0WOI97noTgdya4Zs/edit#gid=709845608"", ""Game!$A$2:$H""), MATCH(A57,IMPORTRANGE(""docs.google.com/spreadsheets/d/1Dz5m9yCjvG51SgZ1o2KfJUBBR9Y0WOI97noTgdya4Zs/edit#gid=7"&amp;"09845608"", ""Game!$A$2:$A""),0),7),""0"")"),"0")</f>
        <v>0</v>
      </c>
      <c r="J57" s="7" t="s">
        <v>369</v>
      </c>
    </row>
    <row r="58" hidden="1">
      <c r="A58" s="7" t="s">
        <v>373</v>
      </c>
      <c r="B58" s="40">
        <f t="array" ref="B58">INDEX(Backlog!$A$2:$E65,MATCH(A58,Backlog!$A$2:A65,0),2)</f>
        <v>20</v>
      </c>
      <c r="C58" s="40" t="str">
        <f t="array" ref="C58">INDEX(Backlog!$A$2:$E65,MATCH(A58,Backlog!$A$2:A65,0),4)</f>
        <v>Survival Horror</v>
      </c>
      <c r="D58" s="40" t="str">
        <f t="array" ref="D58">INDEX(Backlog!$A$2:$E65,MATCH(A58,Backlog!$A$2:A65,0),5)</f>
        <v>Not Started</v>
      </c>
      <c r="E58" s="41">
        <f t="array" ref="E58">INDEX(Backlog!$A$2:$G65,MATCH(A58,Backlog!$A$2:A65,0),7)</f>
        <v>45011</v>
      </c>
      <c r="F58" s="42">
        <f>'Game Rate'!A$2</f>
        <v>6.219959795</v>
      </c>
      <c r="G58" s="43" t="str">
        <f>IFERROR(__xludf.DUMMYFUNCTION("IFERROR(INDEX(IMPORTRANGE(""docs.google.com/spreadsheets/d/1Dz5m9yCjvG51SgZ1o2KfJUBBR9Y0WOI97noTgdya4Zs/edit#gid=709845608"", ""Game!$A$2:$H""), MATCH(A58,IMPORTRANGE(""docs.google.com/spreadsheets/d/1Dz5m9yCjvG51SgZ1o2KfJUBBR9Y0WOI97noTgdya4Zs/edit#gid=7"&amp;"09845608"", ""Game!$A$2:$A""),0),8),""0"")"),"0")</f>
        <v>0</v>
      </c>
      <c r="H58" s="43" t="str">
        <f>IFERROR(__xludf.DUMMYFUNCTION("IFERROR(INDEX(IMPORTRANGE(""docs.google.com/spreadsheets/d/1Dz5m9yCjvG51SgZ1o2KfJUBBR9Y0WOI97noTgdya4Zs/edit#gid=709845608"", ""Game!$A$2:$H""), MATCH(A58,IMPORTRANGE(""docs.google.com/spreadsheets/d/1Dz5m9yCjvG51SgZ1o2KfJUBBR9Y0WOI97noTgdya4Zs/edit#gid=7"&amp;"09845608"", ""Game!$A$2:$A""),0),6),""0"")"),"0")</f>
        <v>0</v>
      </c>
      <c r="I58" s="43" t="str">
        <f>IFERROR(__xludf.DUMMYFUNCTION("IFERROR(INDEX(IMPORTRANGE(""docs.google.com/spreadsheets/d/1Dz5m9yCjvG51SgZ1o2KfJUBBR9Y0WOI97noTgdya4Zs/edit#gid=709845608"", ""Game!$A$2:$H""), MATCH(A58,IMPORTRANGE(""docs.google.com/spreadsheets/d/1Dz5m9yCjvG51SgZ1o2KfJUBBR9Y0WOI97noTgdya4Zs/edit#gid=7"&amp;"09845608"", ""Game!$A$2:$A""),0),7),""0"")"),"0")</f>
        <v>0</v>
      </c>
      <c r="J58" s="7" t="s">
        <v>369</v>
      </c>
    </row>
    <row r="59" hidden="1">
      <c r="A59" s="7" t="s">
        <v>374</v>
      </c>
      <c r="B59" s="40">
        <f t="array" ref="B59">INDEX(Backlog!$A$2:$E65,MATCH(A59,Backlog!$A$2:A65,0),2)</f>
        <v>31</v>
      </c>
      <c r="C59" s="40" t="str">
        <f t="array" ref="C59">INDEX(Backlog!$A$2:$E65,MATCH(A59,Backlog!$A$2:A65,0),4)</f>
        <v>Survival Horror</v>
      </c>
      <c r="D59" s="40" t="str">
        <f t="array" ref="D59">INDEX(Backlog!$A$2:$E65,MATCH(A59,Backlog!$A$2:A65,0),5)</f>
        <v>Not Started</v>
      </c>
      <c r="E59" s="41">
        <f t="array" ref="E59">INDEX(Backlog!$A$2:$G65,MATCH(A59,Backlog!$A$2:A65,0),7)</f>
        <v>45012</v>
      </c>
      <c r="F59" s="42">
        <f>'Game Rate'!A$2</f>
        <v>6.219959795</v>
      </c>
      <c r="G59" s="43" t="str">
        <f>IFERROR(__xludf.DUMMYFUNCTION("IFERROR(INDEX(IMPORTRANGE(""docs.google.com/spreadsheets/d/1Dz5m9yCjvG51SgZ1o2KfJUBBR9Y0WOI97noTgdya4Zs/edit#gid=709845608"", ""Game!$A$2:$H""), MATCH(A59,IMPORTRANGE(""docs.google.com/spreadsheets/d/1Dz5m9yCjvG51SgZ1o2KfJUBBR9Y0WOI97noTgdya4Zs/edit#gid=7"&amp;"09845608"", ""Game!$A$2:$A""),0),8),""0"")"),"0")</f>
        <v>0</v>
      </c>
      <c r="H59" s="43" t="str">
        <f>IFERROR(__xludf.DUMMYFUNCTION("IFERROR(INDEX(IMPORTRANGE(""docs.google.com/spreadsheets/d/1Dz5m9yCjvG51SgZ1o2KfJUBBR9Y0WOI97noTgdya4Zs/edit#gid=709845608"", ""Game!$A$2:$H""), MATCH(A59,IMPORTRANGE(""docs.google.com/spreadsheets/d/1Dz5m9yCjvG51SgZ1o2KfJUBBR9Y0WOI97noTgdya4Zs/edit#gid=7"&amp;"09845608"", ""Game!$A$2:$A""),0),6),""0"")"),"0")</f>
        <v>0</v>
      </c>
      <c r="I59" s="43" t="str">
        <f>IFERROR(__xludf.DUMMYFUNCTION("IFERROR(INDEX(IMPORTRANGE(""docs.google.com/spreadsheets/d/1Dz5m9yCjvG51SgZ1o2KfJUBBR9Y0WOI97noTgdya4Zs/edit#gid=709845608"", ""Game!$A$2:$H""), MATCH(A59,IMPORTRANGE(""docs.google.com/spreadsheets/d/1Dz5m9yCjvG51SgZ1o2KfJUBBR9Y0WOI97noTgdya4Zs/edit#gid=7"&amp;"09845608"", ""Game!$A$2:$A""),0),7),""0"")"),"0")</f>
        <v>0</v>
      </c>
      <c r="J59" s="7" t="s">
        <v>369</v>
      </c>
    </row>
    <row r="60" hidden="1">
      <c r="A60" s="7" t="s">
        <v>375</v>
      </c>
      <c r="B60" s="40">
        <f t="array" ref="B60">INDEX(Backlog!$A$2:$E65,MATCH(A60,Backlog!$A$2:A65,0),2)</f>
        <v>34</v>
      </c>
      <c r="C60" s="40" t="str">
        <f t="array" ref="C60">INDEX(Backlog!$A$2:$E65,MATCH(A60,Backlog!$A$2:A65,0),4)</f>
        <v>Survival Horror</v>
      </c>
      <c r="D60" s="40" t="str">
        <f t="array" ref="D60">INDEX(Backlog!$A$2:$E65,MATCH(A60,Backlog!$A$2:A65,0),5)</f>
        <v>Not Started</v>
      </c>
      <c r="E60" s="41">
        <f t="array" ref="E60">INDEX(Backlog!$A$2:$G65,MATCH(A60,Backlog!$A$2:A65,0),7)</f>
        <v>45013</v>
      </c>
      <c r="F60" s="42">
        <f>'Game Rate'!A$2</f>
        <v>6.219959795</v>
      </c>
      <c r="G60" s="43" t="str">
        <f>IFERROR(__xludf.DUMMYFUNCTION("IFERROR(INDEX(IMPORTRANGE(""docs.google.com/spreadsheets/d/1Dz5m9yCjvG51SgZ1o2KfJUBBR9Y0WOI97noTgdya4Zs/edit#gid=709845608"", ""Game!$A$2:$H""), MATCH(A60,IMPORTRANGE(""docs.google.com/spreadsheets/d/1Dz5m9yCjvG51SgZ1o2KfJUBBR9Y0WOI97noTgdya4Zs/edit#gid=7"&amp;"09845608"", ""Game!$A$2:$A""),0),8),""0"")"),"0")</f>
        <v>0</v>
      </c>
      <c r="H60" s="43" t="str">
        <f>IFERROR(__xludf.DUMMYFUNCTION("IFERROR(INDEX(IMPORTRANGE(""docs.google.com/spreadsheets/d/1Dz5m9yCjvG51SgZ1o2KfJUBBR9Y0WOI97noTgdya4Zs/edit#gid=709845608"", ""Game!$A$2:$H""), MATCH(A60,IMPORTRANGE(""docs.google.com/spreadsheets/d/1Dz5m9yCjvG51SgZ1o2KfJUBBR9Y0WOI97noTgdya4Zs/edit#gid=7"&amp;"09845608"", ""Game!$A$2:$A""),0),6),""0"")"),"0")</f>
        <v>0</v>
      </c>
      <c r="I60" s="43" t="str">
        <f>IFERROR(__xludf.DUMMYFUNCTION("IFERROR(INDEX(IMPORTRANGE(""docs.google.com/spreadsheets/d/1Dz5m9yCjvG51SgZ1o2KfJUBBR9Y0WOI97noTgdya4Zs/edit#gid=709845608"", ""Game!$A$2:$H""), MATCH(A60,IMPORTRANGE(""docs.google.com/spreadsheets/d/1Dz5m9yCjvG51SgZ1o2KfJUBBR9Y0WOI97noTgdya4Zs/edit#gid=7"&amp;"09845608"", ""Game!$A$2:$A""),0),7),""0"")"),"0")</f>
        <v>0</v>
      </c>
      <c r="J60" s="7" t="s">
        <v>369</v>
      </c>
    </row>
    <row r="61" hidden="1">
      <c r="A61" s="7" t="s">
        <v>376</v>
      </c>
      <c r="B61" s="40">
        <f t="array" ref="B61">INDEX(Backlog!$A$2:$E65,MATCH(A61,Backlog!$A$2:A65,0),2)</f>
        <v>54</v>
      </c>
      <c r="C61" s="40" t="str">
        <f t="array" ref="C61">INDEX(Backlog!$A$2:$E65,MATCH(A61,Backlog!$A$2:A65,0),4)</f>
        <v>Survival Horror</v>
      </c>
      <c r="D61" s="40" t="str">
        <f t="array" ref="D61">INDEX(Backlog!$A$2:$E65,MATCH(A61,Backlog!$A$2:A65,0),5)</f>
        <v>Not Started</v>
      </c>
      <c r="E61" s="41">
        <f t="array" ref="E61">INDEX(Backlog!$A$2:$G65,MATCH(A61,Backlog!$A$2:A65,0),7)</f>
        <v>45014</v>
      </c>
      <c r="F61" s="42">
        <f>'Game Rate'!A$2</f>
        <v>6.219959795</v>
      </c>
      <c r="G61" s="43" t="str">
        <f>IFERROR(__xludf.DUMMYFUNCTION("IFERROR(INDEX(IMPORTRANGE(""docs.google.com/spreadsheets/d/1Dz5m9yCjvG51SgZ1o2KfJUBBR9Y0WOI97noTgdya4Zs/edit#gid=709845608"", ""Game!$A$2:$H""), MATCH(A61,IMPORTRANGE(""docs.google.com/spreadsheets/d/1Dz5m9yCjvG51SgZ1o2KfJUBBR9Y0WOI97noTgdya4Zs/edit#gid=7"&amp;"09845608"", ""Game!$A$2:$A""),0),8),""0"")"),"0")</f>
        <v>0</v>
      </c>
      <c r="H61" s="43" t="str">
        <f>IFERROR(__xludf.DUMMYFUNCTION("IFERROR(INDEX(IMPORTRANGE(""docs.google.com/spreadsheets/d/1Dz5m9yCjvG51SgZ1o2KfJUBBR9Y0WOI97noTgdya4Zs/edit#gid=709845608"", ""Game!$A$2:$H""), MATCH(A61,IMPORTRANGE(""docs.google.com/spreadsheets/d/1Dz5m9yCjvG51SgZ1o2KfJUBBR9Y0WOI97noTgdya4Zs/edit#gid=7"&amp;"09845608"", ""Game!$A$2:$A""),0),6),""0"")"),"0")</f>
        <v>0</v>
      </c>
      <c r="I61" s="43" t="str">
        <f>IFERROR(__xludf.DUMMYFUNCTION("IFERROR(INDEX(IMPORTRANGE(""docs.google.com/spreadsheets/d/1Dz5m9yCjvG51SgZ1o2KfJUBBR9Y0WOI97noTgdya4Zs/edit#gid=709845608"", ""Game!$A$2:$H""), MATCH(A61,IMPORTRANGE(""docs.google.com/spreadsheets/d/1Dz5m9yCjvG51SgZ1o2KfJUBBR9Y0WOI97noTgdya4Zs/edit#gid=7"&amp;"09845608"", ""Game!$A$2:$A""),0),7),""0"")"),"0")</f>
        <v>0</v>
      </c>
      <c r="J61" s="7" t="s">
        <v>369</v>
      </c>
    </row>
    <row r="62" hidden="1">
      <c r="A62" s="7" t="s">
        <v>377</v>
      </c>
      <c r="B62" s="40">
        <f t="array" ref="B62">INDEX(Backlog!$A$2:$E65,MATCH(A62,Backlog!$A$2:A65,0),2)</f>
        <v>25</v>
      </c>
      <c r="C62" s="40" t="str">
        <f t="array" ref="C62">INDEX(Backlog!$A$2:$E65,MATCH(A62,Backlog!$A$2:A65,0),4)</f>
        <v>Survival Horror</v>
      </c>
      <c r="D62" s="40" t="str">
        <f t="array" ref="D62">INDEX(Backlog!$A$2:$E65,MATCH(A62,Backlog!$A$2:A65,0),5)</f>
        <v>Not Started</v>
      </c>
      <c r="E62" s="41">
        <f t="array" ref="E62">INDEX(Backlog!$A$2:$G65,MATCH(A62,Backlog!$A$2:A65,0),7)</f>
        <v>45015</v>
      </c>
      <c r="F62" s="42">
        <f>'Game Rate'!A$2</f>
        <v>6.219959795</v>
      </c>
      <c r="G62" s="43" t="str">
        <f>IFERROR(__xludf.DUMMYFUNCTION("IFERROR(INDEX(IMPORTRANGE(""docs.google.com/spreadsheets/d/1Dz5m9yCjvG51SgZ1o2KfJUBBR9Y0WOI97noTgdya4Zs/edit#gid=709845608"", ""Game!$A$2:$H""), MATCH(A62,IMPORTRANGE(""docs.google.com/spreadsheets/d/1Dz5m9yCjvG51SgZ1o2KfJUBBR9Y0WOI97noTgdya4Zs/edit#gid=7"&amp;"09845608"", ""Game!$A$2:$A""),0),8),""0"")"),"0")</f>
        <v>0</v>
      </c>
      <c r="H62" s="43" t="str">
        <f>IFERROR(__xludf.DUMMYFUNCTION("IFERROR(INDEX(IMPORTRANGE(""docs.google.com/spreadsheets/d/1Dz5m9yCjvG51SgZ1o2KfJUBBR9Y0WOI97noTgdya4Zs/edit#gid=709845608"", ""Game!$A$2:$H""), MATCH(A62,IMPORTRANGE(""docs.google.com/spreadsheets/d/1Dz5m9yCjvG51SgZ1o2KfJUBBR9Y0WOI97noTgdya4Zs/edit#gid=7"&amp;"09845608"", ""Game!$A$2:$A""),0),6),""0"")"),"0")</f>
        <v>0</v>
      </c>
      <c r="I62" s="43" t="str">
        <f>IFERROR(__xludf.DUMMYFUNCTION("IFERROR(INDEX(IMPORTRANGE(""docs.google.com/spreadsheets/d/1Dz5m9yCjvG51SgZ1o2KfJUBBR9Y0WOI97noTgdya4Zs/edit#gid=709845608"", ""Game!$A$2:$H""), MATCH(A62,IMPORTRANGE(""docs.google.com/spreadsheets/d/1Dz5m9yCjvG51SgZ1o2KfJUBBR9Y0WOI97noTgdya4Zs/edit#gid=7"&amp;"09845608"", ""Game!$A$2:$A""),0),7),""0"")"),"0")</f>
        <v>0</v>
      </c>
      <c r="J62" s="7" t="s">
        <v>369</v>
      </c>
    </row>
    <row r="63" hidden="1">
      <c r="A63" s="7" t="s">
        <v>378</v>
      </c>
      <c r="B63" s="40">
        <f t="array" ref="B63">INDEX(Backlog!$A$2:$E65,MATCH(A63,Backlog!$A$2:A65,0),2)</f>
        <v>34</v>
      </c>
      <c r="C63" s="40" t="str">
        <f t="array" ref="C63">INDEX(Backlog!$A$2:$E65,MATCH(A63,Backlog!$A$2:A65,0),4)</f>
        <v>Survival Horror</v>
      </c>
      <c r="D63" s="40" t="str">
        <f t="array" ref="D63">INDEX(Backlog!$A$2:$E65,MATCH(A63,Backlog!$A$2:A65,0),5)</f>
        <v>Not Started</v>
      </c>
      <c r="E63" s="41">
        <f t="array" ref="E63">INDEX(Backlog!$A$2:$G65,MATCH(A63,Backlog!$A$2:A65,0),7)</f>
        <v>45016</v>
      </c>
      <c r="F63" s="42">
        <f>'Game Rate'!A$2</f>
        <v>6.219959795</v>
      </c>
      <c r="G63" s="43" t="str">
        <f>IFERROR(__xludf.DUMMYFUNCTION("IFERROR(INDEX(IMPORTRANGE(""docs.google.com/spreadsheets/d/1Dz5m9yCjvG51SgZ1o2KfJUBBR9Y0WOI97noTgdya4Zs/edit#gid=709845608"", ""Game!$A$2:$H""), MATCH(A63,IMPORTRANGE(""docs.google.com/spreadsheets/d/1Dz5m9yCjvG51SgZ1o2KfJUBBR9Y0WOI97noTgdya4Zs/edit#gid=7"&amp;"09845608"", ""Game!$A$2:$A""),0),8),""0"")"),"0")</f>
        <v>0</v>
      </c>
      <c r="H63" s="43" t="str">
        <f>IFERROR(__xludf.DUMMYFUNCTION("IFERROR(INDEX(IMPORTRANGE(""docs.google.com/spreadsheets/d/1Dz5m9yCjvG51SgZ1o2KfJUBBR9Y0WOI97noTgdya4Zs/edit#gid=709845608"", ""Game!$A$2:$H""), MATCH(A63,IMPORTRANGE(""docs.google.com/spreadsheets/d/1Dz5m9yCjvG51SgZ1o2KfJUBBR9Y0WOI97noTgdya4Zs/edit#gid=7"&amp;"09845608"", ""Game!$A$2:$A""),0),6),""0"")"),"0")</f>
        <v>0</v>
      </c>
      <c r="I63" s="43" t="str">
        <f>IFERROR(__xludf.DUMMYFUNCTION("IFERROR(INDEX(IMPORTRANGE(""docs.google.com/spreadsheets/d/1Dz5m9yCjvG51SgZ1o2KfJUBBR9Y0WOI97noTgdya4Zs/edit#gid=709845608"", ""Game!$A$2:$H""), MATCH(A63,IMPORTRANGE(""docs.google.com/spreadsheets/d/1Dz5m9yCjvG51SgZ1o2KfJUBBR9Y0WOI97noTgdya4Zs/edit#gid=7"&amp;"09845608"", ""Game!$A$2:$A""),0),7),""0"")"),"0")</f>
        <v>0</v>
      </c>
      <c r="J63" s="7" t="s">
        <v>369</v>
      </c>
    </row>
    <row r="64" hidden="1">
      <c r="A64" s="18" t="s">
        <v>379</v>
      </c>
      <c r="B64" s="40">
        <f t="array" ref="B64">INDEX(Backlog!$A$2:$E65,MATCH(A64,Backlog!$A$2:A65,0),2)</f>
        <v>38</v>
      </c>
      <c r="C64" s="40" t="str">
        <f t="array" ref="C64">INDEX(Backlog!$A$2:$E65,MATCH(A64,Backlog!$A$2:A65,0),4)</f>
        <v>Survival Horror</v>
      </c>
      <c r="D64" s="40" t="str">
        <f t="array" ref="D64">INDEX(Backlog!$A$2:$E65,MATCH(A64,Backlog!$A$2:A65,0),5)</f>
        <v>Not Started</v>
      </c>
      <c r="E64" s="41">
        <f t="array" ref="E64">INDEX(Backlog!$A$2:$G65,MATCH(A64,Backlog!$A$2:A65,0),7)</f>
        <v>45017</v>
      </c>
      <c r="F64" s="42">
        <f>'Game Rate'!A$2</f>
        <v>6.219959795</v>
      </c>
      <c r="G64" s="43" t="str">
        <f>IFERROR(__xludf.DUMMYFUNCTION("IFERROR(INDEX(IMPORTRANGE(""docs.google.com/spreadsheets/d/1Dz5m9yCjvG51SgZ1o2KfJUBBR9Y0WOI97noTgdya4Zs/edit#gid=709845608"", ""Game!$A$2:$H""), MATCH(A64,IMPORTRANGE(""docs.google.com/spreadsheets/d/1Dz5m9yCjvG51SgZ1o2KfJUBBR9Y0WOI97noTgdya4Zs/edit#gid=7"&amp;"09845608"", ""Game!$A$2:$A""),0),8),""0"")"),"0")</f>
        <v>0</v>
      </c>
      <c r="H64" s="43" t="str">
        <f>IFERROR(__xludf.DUMMYFUNCTION("IFERROR(INDEX(IMPORTRANGE(""docs.google.com/spreadsheets/d/1Dz5m9yCjvG51SgZ1o2KfJUBBR9Y0WOI97noTgdya4Zs/edit#gid=709845608"", ""Game!$A$2:$H""), MATCH(A64,IMPORTRANGE(""docs.google.com/spreadsheets/d/1Dz5m9yCjvG51SgZ1o2KfJUBBR9Y0WOI97noTgdya4Zs/edit#gid=7"&amp;"09845608"", ""Game!$A$2:$A""),0),6),""0"")"),"0")</f>
        <v>0</v>
      </c>
      <c r="I64" s="43" t="str">
        <f>IFERROR(__xludf.DUMMYFUNCTION("IFERROR(INDEX(IMPORTRANGE(""docs.google.com/spreadsheets/d/1Dz5m9yCjvG51SgZ1o2KfJUBBR9Y0WOI97noTgdya4Zs/edit#gid=709845608"", ""Game!$A$2:$H""), MATCH(A64,IMPORTRANGE(""docs.google.com/spreadsheets/d/1Dz5m9yCjvG51SgZ1o2KfJUBBR9Y0WOI97noTgdya4Zs/edit#gid=7"&amp;"09845608"", ""Game!$A$2:$A""),0),7),""0"")"),"0")</f>
        <v>0</v>
      </c>
      <c r="J64" s="7" t="s">
        <v>369</v>
      </c>
    </row>
    <row r="65" hidden="1">
      <c r="A65" s="7" t="s">
        <v>380</v>
      </c>
      <c r="B65" s="40">
        <f t="array" ref="B65">INDEX(Backlog!$A$2:$E65,MATCH(A65,Backlog!$A$2:A65,0),2)</f>
        <v>36</v>
      </c>
      <c r="C65" s="40" t="str">
        <f t="array" ref="C65">INDEX(Backlog!$A$2:$E65,MATCH(A65,Backlog!$A$2:A65,0),4)</f>
        <v>Survival Horror</v>
      </c>
      <c r="D65" s="40" t="str">
        <f t="array" ref="D65">INDEX(Backlog!$A$2:$E65,MATCH(A65,Backlog!$A$2:A65,0),5)</f>
        <v>Not Started</v>
      </c>
      <c r="E65" s="41">
        <f t="array" ref="E65">INDEX(Backlog!$A$2:$G65,MATCH(A65,Backlog!$A$2:A65,0),7)</f>
        <v>45018</v>
      </c>
      <c r="F65" s="42">
        <f>'Game Rate'!A$2</f>
        <v>6.219959795</v>
      </c>
      <c r="G65" s="43" t="str">
        <f>IFERROR(__xludf.DUMMYFUNCTION("IFERROR(INDEX(IMPORTRANGE(""docs.google.com/spreadsheets/d/1Dz5m9yCjvG51SgZ1o2KfJUBBR9Y0WOI97noTgdya4Zs/edit#gid=709845608"", ""Game!$A$2:$H""), MATCH(A65,IMPORTRANGE(""docs.google.com/spreadsheets/d/1Dz5m9yCjvG51SgZ1o2KfJUBBR9Y0WOI97noTgdya4Zs/edit#gid=7"&amp;"09845608"", ""Game!$A$2:$A""),0),8),""0"")"),"0")</f>
        <v>0</v>
      </c>
      <c r="H65" s="43" t="str">
        <f>IFERROR(__xludf.DUMMYFUNCTION("IFERROR(INDEX(IMPORTRANGE(""docs.google.com/spreadsheets/d/1Dz5m9yCjvG51SgZ1o2KfJUBBR9Y0WOI97noTgdya4Zs/edit#gid=709845608"", ""Game!$A$2:$H""), MATCH(A65,IMPORTRANGE(""docs.google.com/spreadsheets/d/1Dz5m9yCjvG51SgZ1o2KfJUBBR9Y0WOI97noTgdya4Zs/edit#gid=7"&amp;"09845608"", ""Game!$A$2:$A""),0),6),""0"")"),"0")</f>
        <v>0</v>
      </c>
      <c r="I65" s="43" t="str">
        <f>IFERROR(__xludf.DUMMYFUNCTION("IFERROR(INDEX(IMPORTRANGE(""docs.google.com/spreadsheets/d/1Dz5m9yCjvG51SgZ1o2KfJUBBR9Y0WOI97noTgdya4Zs/edit#gid=709845608"", ""Game!$A$2:$H""), MATCH(A65,IMPORTRANGE(""docs.google.com/spreadsheets/d/1Dz5m9yCjvG51SgZ1o2KfJUBBR9Y0WOI97noTgdya4Zs/edit#gid=7"&amp;"09845608"", ""Game!$A$2:$A""),0),7),""0"")"),"0")</f>
        <v>0</v>
      </c>
      <c r="J65" s="7" t="s">
        <v>369</v>
      </c>
    </row>
  </sheetData>
  <autoFilter ref="$A$1:$J$65">
    <filterColumn colId="9">
      <filters>
        <filter val="Star Wars"/>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2.63" defaultRowHeight="15.75"/>
  <cols>
    <col min="1" max="21" width="15.13"/>
  </cols>
  <sheetData>
    <row r="1" ht="36.0">
      <c r="A1" s="46" t="s">
        <v>397</v>
      </c>
    </row>
    <row r="2">
      <c r="A2" s="47" t="s">
        <v>0</v>
      </c>
      <c r="B2" s="47" t="s">
        <v>398</v>
      </c>
      <c r="C2" s="47" t="s">
        <v>9</v>
      </c>
      <c r="D2" s="47" t="s">
        <v>399</v>
      </c>
      <c r="E2" s="47" t="s">
        <v>400</v>
      </c>
      <c r="F2" s="47" t="s">
        <v>401</v>
      </c>
      <c r="G2" s="47" t="s">
        <v>402</v>
      </c>
      <c r="H2" s="47" t="s">
        <v>403</v>
      </c>
      <c r="I2" s="47" t="s">
        <v>404</v>
      </c>
      <c r="J2" s="47" t="s">
        <v>405</v>
      </c>
      <c r="K2" s="47" t="s">
        <v>406</v>
      </c>
      <c r="L2" s="47" t="s">
        <v>407</v>
      </c>
      <c r="M2" s="47" t="s">
        <v>408</v>
      </c>
      <c r="N2" s="47" t="s">
        <v>409</v>
      </c>
      <c r="O2" s="47" t="s">
        <v>410</v>
      </c>
      <c r="P2" s="47" t="s">
        <v>411</v>
      </c>
      <c r="Q2" s="47" t="s">
        <v>412</v>
      </c>
      <c r="R2" s="47" t="s">
        <v>413</v>
      </c>
      <c r="S2" s="47" t="s">
        <v>414</v>
      </c>
      <c r="T2" s="47" t="s">
        <v>11</v>
      </c>
      <c r="U2" s="47" t="s">
        <v>415</v>
      </c>
    </row>
    <row r="3">
      <c r="A3" s="48" t="s">
        <v>149</v>
      </c>
      <c r="B3" s="49">
        <v>42702.0</v>
      </c>
      <c r="C3" s="50">
        <v>2021.0</v>
      </c>
      <c r="D3" s="49">
        <v>44403.0</v>
      </c>
      <c r="E3" s="49">
        <v>44422.0</v>
      </c>
      <c r="F3" s="50">
        <v>19.0</v>
      </c>
      <c r="G3" s="50">
        <v>46.5</v>
      </c>
      <c r="H3" s="50">
        <v>2.4473684210526314</v>
      </c>
      <c r="I3" s="50">
        <v>19.99</v>
      </c>
      <c r="J3" s="50">
        <v>0.42989247311827955</v>
      </c>
      <c r="K3" s="51" t="b">
        <v>0</v>
      </c>
      <c r="L3" s="48" t="s">
        <v>15</v>
      </c>
      <c r="M3" s="48" t="s">
        <v>416</v>
      </c>
      <c r="N3" s="48" t="s">
        <v>18</v>
      </c>
      <c r="O3" s="48" t="s">
        <v>417</v>
      </c>
      <c r="P3" s="48" t="s">
        <v>19</v>
      </c>
      <c r="Q3" s="48" t="s">
        <v>418</v>
      </c>
      <c r="R3" s="51" t="b">
        <v>0</v>
      </c>
      <c r="S3" s="51" t="b">
        <v>1</v>
      </c>
      <c r="T3" s="48" t="s">
        <v>16</v>
      </c>
      <c r="U3" s="48"/>
    </row>
    <row r="4">
      <c r="A4" s="52" t="s">
        <v>336</v>
      </c>
      <c r="B4" s="53">
        <v>44201.0</v>
      </c>
      <c r="C4" s="54">
        <v>2021.0</v>
      </c>
      <c r="D4" s="53">
        <v>44422.0</v>
      </c>
      <c r="E4" s="53">
        <v>44447.0</v>
      </c>
      <c r="F4" s="54">
        <v>25.0</v>
      </c>
      <c r="G4" s="54">
        <v>78.0</v>
      </c>
      <c r="H4" s="54">
        <v>3.12</v>
      </c>
      <c r="I4" s="54">
        <v>11.16</v>
      </c>
      <c r="J4" s="54">
        <v>0.14307692307692307</v>
      </c>
      <c r="K4" s="55" t="b">
        <v>0</v>
      </c>
      <c r="L4" s="52" t="s">
        <v>15</v>
      </c>
      <c r="M4" s="52" t="s">
        <v>416</v>
      </c>
      <c r="N4" s="52" t="s">
        <v>18</v>
      </c>
      <c r="O4" s="52" t="s">
        <v>419</v>
      </c>
      <c r="P4" s="52" t="s">
        <v>19</v>
      </c>
      <c r="Q4" s="52" t="s">
        <v>418</v>
      </c>
      <c r="R4" s="55" t="b">
        <v>0</v>
      </c>
      <c r="S4" s="55" t="b">
        <v>1</v>
      </c>
      <c r="T4" s="52" t="s">
        <v>16</v>
      </c>
      <c r="U4" s="52" t="s">
        <v>420</v>
      </c>
    </row>
    <row r="5">
      <c r="A5" s="48" t="s">
        <v>263</v>
      </c>
      <c r="B5" s="49">
        <v>43402.0</v>
      </c>
      <c r="C5" s="50">
        <v>2021.0</v>
      </c>
      <c r="D5" s="49">
        <v>44448.0</v>
      </c>
      <c r="E5" s="49">
        <v>44451.0</v>
      </c>
      <c r="F5" s="50">
        <v>3.0</v>
      </c>
      <c r="G5" s="50">
        <v>8.0</v>
      </c>
      <c r="H5" s="50">
        <v>2.6666666666666665</v>
      </c>
      <c r="I5" s="50">
        <v>2.94</v>
      </c>
      <c r="J5" s="50">
        <v>0.3675</v>
      </c>
      <c r="K5" s="51" t="b">
        <v>0</v>
      </c>
      <c r="L5" s="48" t="s">
        <v>15</v>
      </c>
      <c r="M5" s="48" t="s">
        <v>421</v>
      </c>
      <c r="N5" s="48" t="s">
        <v>158</v>
      </c>
      <c r="O5" s="48" t="s">
        <v>419</v>
      </c>
      <c r="P5" s="48" t="s">
        <v>19</v>
      </c>
      <c r="Q5" s="48" t="s">
        <v>422</v>
      </c>
      <c r="R5" s="51" t="b">
        <v>0</v>
      </c>
      <c r="S5" s="51" t="b">
        <v>1</v>
      </c>
      <c r="T5" s="48" t="s">
        <v>16</v>
      </c>
      <c r="U5" s="48"/>
    </row>
    <row r="6">
      <c r="A6" s="52" t="s">
        <v>271</v>
      </c>
      <c r="B6" s="53">
        <v>43404.0</v>
      </c>
      <c r="C6" s="54">
        <v>2021.0</v>
      </c>
      <c r="D6" s="53">
        <v>44451.0</v>
      </c>
      <c r="E6" s="53">
        <v>44468.0</v>
      </c>
      <c r="F6" s="54">
        <v>17.0</v>
      </c>
      <c r="G6" s="54">
        <v>40.0</v>
      </c>
      <c r="H6" s="54">
        <v>2.3529411764705883</v>
      </c>
      <c r="I6" s="54">
        <v>3.74</v>
      </c>
      <c r="J6" s="54">
        <v>0.0935</v>
      </c>
      <c r="K6" s="55" t="b">
        <v>0</v>
      </c>
      <c r="L6" s="52" t="s">
        <v>20</v>
      </c>
      <c r="M6" s="52" t="s">
        <v>421</v>
      </c>
      <c r="N6" s="52" t="s">
        <v>24</v>
      </c>
      <c r="O6" s="52" t="s">
        <v>419</v>
      </c>
      <c r="P6" s="52" t="s">
        <v>19</v>
      </c>
      <c r="Q6" s="52" t="s">
        <v>423</v>
      </c>
      <c r="R6" s="55" t="b">
        <v>0</v>
      </c>
      <c r="S6" s="55" t="b">
        <v>0</v>
      </c>
      <c r="T6" s="52" t="s">
        <v>16</v>
      </c>
      <c r="U6" s="52" t="s">
        <v>424</v>
      </c>
    </row>
    <row r="7">
      <c r="A7" s="48" t="s">
        <v>273</v>
      </c>
      <c r="B7" s="49">
        <v>43431.0</v>
      </c>
      <c r="C7" s="50">
        <v>2021.0</v>
      </c>
      <c r="D7" s="49">
        <v>44468.0</v>
      </c>
      <c r="E7" s="49">
        <v>44492.0</v>
      </c>
      <c r="F7" s="50">
        <v>24.0</v>
      </c>
      <c r="G7" s="50">
        <v>49.0</v>
      </c>
      <c r="H7" s="50">
        <v>2.0416666666666665</v>
      </c>
      <c r="I7" s="50">
        <v>9.99</v>
      </c>
      <c r="J7" s="50">
        <v>0.20387755102040817</v>
      </c>
      <c r="K7" s="51" t="b">
        <v>0</v>
      </c>
      <c r="L7" s="48" t="s">
        <v>15</v>
      </c>
      <c r="M7" s="48" t="s">
        <v>425</v>
      </c>
      <c r="N7" s="48" t="s">
        <v>194</v>
      </c>
      <c r="O7" s="48" t="s">
        <v>419</v>
      </c>
      <c r="P7" s="48" t="s">
        <v>19</v>
      </c>
      <c r="Q7" s="48" t="s">
        <v>422</v>
      </c>
      <c r="R7" s="51" t="b">
        <v>0</v>
      </c>
      <c r="S7" s="51" t="b">
        <v>0</v>
      </c>
      <c r="T7" s="48" t="s">
        <v>16</v>
      </c>
      <c r="U7" s="48"/>
    </row>
    <row r="8">
      <c r="A8" s="52" t="s">
        <v>330</v>
      </c>
      <c r="B8" s="53">
        <v>44135.0</v>
      </c>
      <c r="C8" s="54">
        <v>2021.0</v>
      </c>
      <c r="D8" s="53">
        <v>44492.0</v>
      </c>
      <c r="E8" s="53">
        <v>44496.0</v>
      </c>
      <c r="F8" s="54">
        <v>4.0</v>
      </c>
      <c r="G8" s="54">
        <v>19.0</v>
      </c>
      <c r="H8" s="54">
        <v>4.75</v>
      </c>
      <c r="I8" s="54">
        <v>20.99</v>
      </c>
      <c r="J8" s="54">
        <v>1.104736842105263</v>
      </c>
      <c r="K8" s="55" t="b">
        <v>0</v>
      </c>
      <c r="L8" s="52" t="s">
        <v>426</v>
      </c>
      <c r="M8" s="52" t="s">
        <v>425</v>
      </c>
      <c r="N8" s="52" t="s">
        <v>24</v>
      </c>
      <c r="O8" s="52" t="s">
        <v>419</v>
      </c>
      <c r="P8" s="52" t="s">
        <v>19</v>
      </c>
      <c r="Q8" s="52" t="s">
        <v>418</v>
      </c>
      <c r="R8" s="55" t="b">
        <v>0</v>
      </c>
      <c r="S8" s="55" t="b">
        <v>0</v>
      </c>
      <c r="T8" s="52" t="s">
        <v>16</v>
      </c>
      <c r="U8" s="52"/>
    </row>
    <row r="9">
      <c r="A9" s="48" t="s">
        <v>278</v>
      </c>
      <c r="B9" s="49">
        <v>43431.0</v>
      </c>
      <c r="C9" s="50">
        <v>2021.0</v>
      </c>
      <c r="D9" s="49">
        <v>44496.0</v>
      </c>
      <c r="E9" s="49">
        <v>44526.0</v>
      </c>
      <c r="F9" s="50">
        <v>30.0</v>
      </c>
      <c r="G9" s="50">
        <v>150.0</v>
      </c>
      <c r="H9" s="50">
        <v>5.0</v>
      </c>
      <c r="I9" s="50">
        <v>19.48</v>
      </c>
      <c r="J9" s="50">
        <v>0.12986666666666666</v>
      </c>
      <c r="K9" s="51" t="b">
        <v>0</v>
      </c>
      <c r="L9" s="48" t="s">
        <v>427</v>
      </c>
      <c r="M9" s="48" t="s">
        <v>421</v>
      </c>
      <c r="N9" s="48" t="s">
        <v>194</v>
      </c>
      <c r="O9" s="48" t="s">
        <v>419</v>
      </c>
      <c r="P9" s="48" t="s">
        <v>19</v>
      </c>
      <c r="Q9" s="48" t="s">
        <v>418</v>
      </c>
      <c r="R9" s="51" t="b">
        <v>1</v>
      </c>
      <c r="S9" s="51" t="b">
        <v>1</v>
      </c>
      <c r="T9" s="48" t="s">
        <v>16</v>
      </c>
      <c r="U9" s="48" t="s">
        <v>428</v>
      </c>
    </row>
    <row r="10">
      <c r="A10" s="52" t="s">
        <v>36</v>
      </c>
      <c r="B10" s="53">
        <v>41108.0</v>
      </c>
      <c r="C10" s="54">
        <v>2021.0</v>
      </c>
      <c r="D10" s="53">
        <v>44526.0</v>
      </c>
      <c r="E10" s="53">
        <v>44535.0</v>
      </c>
      <c r="F10" s="54">
        <v>9.0</v>
      </c>
      <c r="G10" s="54">
        <v>28.0</v>
      </c>
      <c r="H10" s="54">
        <v>3.111111111111111</v>
      </c>
      <c r="I10" s="54">
        <v>6.98</v>
      </c>
      <c r="J10" s="54">
        <v>0.2492857142857143</v>
      </c>
      <c r="K10" s="55" t="b">
        <v>0</v>
      </c>
      <c r="L10" s="52" t="s">
        <v>426</v>
      </c>
      <c r="M10" s="52" t="s">
        <v>416</v>
      </c>
      <c r="N10" s="52" t="s">
        <v>27</v>
      </c>
      <c r="O10" s="52" t="s">
        <v>417</v>
      </c>
      <c r="P10" s="52" t="s">
        <v>19</v>
      </c>
      <c r="Q10" s="52" t="s">
        <v>418</v>
      </c>
      <c r="R10" s="55" t="b">
        <v>0</v>
      </c>
      <c r="S10" s="55" t="b">
        <v>0</v>
      </c>
      <c r="T10" s="52" t="s">
        <v>16</v>
      </c>
      <c r="U10" s="52" t="s">
        <v>429</v>
      </c>
    </row>
    <row r="11">
      <c r="A11" s="48" t="s">
        <v>35</v>
      </c>
      <c r="B11" s="49">
        <v>41108.0</v>
      </c>
      <c r="C11" s="50">
        <v>2021.0</v>
      </c>
      <c r="D11" s="49">
        <v>44535.0</v>
      </c>
      <c r="E11" s="49">
        <v>44541.0</v>
      </c>
      <c r="F11" s="50">
        <v>6.0</v>
      </c>
      <c r="G11" s="50">
        <v>25.0</v>
      </c>
      <c r="H11" s="50">
        <v>4.166666666666667</v>
      </c>
      <c r="I11" s="50">
        <v>6.98</v>
      </c>
      <c r="J11" s="50">
        <v>0.2792</v>
      </c>
      <c r="K11" s="51" t="b">
        <v>0</v>
      </c>
      <c r="L11" s="48" t="s">
        <v>426</v>
      </c>
      <c r="M11" s="48" t="s">
        <v>416</v>
      </c>
      <c r="N11" s="48" t="s">
        <v>27</v>
      </c>
      <c r="O11" s="48" t="s">
        <v>417</v>
      </c>
      <c r="P11" s="48" t="s">
        <v>19</v>
      </c>
      <c r="Q11" s="48" t="s">
        <v>418</v>
      </c>
      <c r="R11" s="51" t="b">
        <v>0</v>
      </c>
      <c r="S11" s="51" t="b">
        <v>0</v>
      </c>
      <c r="T11" s="48" t="s">
        <v>16</v>
      </c>
      <c r="U11" s="48" t="s">
        <v>430</v>
      </c>
    </row>
    <row r="12">
      <c r="A12" s="52" t="s">
        <v>90</v>
      </c>
      <c r="B12" s="53">
        <v>41627.0</v>
      </c>
      <c r="C12" s="54">
        <v>2021.0</v>
      </c>
      <c r="D12" s="53">
        <v>44541.0</v>
      </c>
      <c r="E12" s="53">
        <v>44548.0</v>
      </c>
      <c r="F12" s="54">
        <v>7.0</v>
      </c>
      <c r="G12" s="54">
        <v>35.0</v>
      </c>
      <c r="H12" s="54">
        <v>5.0</v>
      </c>
      <c r="I12" s="54">
        <v>22.23</v>
      </c>
      <c r="J12" s="54">
        <v>0.6351428571428571</v>
      </c>
      <c r="K12" s="55" t="b">
        <v>0</v>
      </c>
      <c r="L12" s="52" t="s">
        <v>426</v>
      </c>
      <c r="M12" s="52" t="s">
        <v>425</v>
      </c>
      <c r="N12" s="52" t="s">
        <v>27</v>
      </c>
      <c r="O12" s="52" t="s">
        <v>417</v>
      </c>
      <c r="P12" s="52" t="s">
        <v>19</v>
      </c>
      <c r="Q12" s="52" t="s">
        <v>418</v>
      </c>
      <c r="R12" s="55" t="b">
        <v>0</v>
      </c>
      <c r="S12" s="55" t="b">
        <v>0</v>
      </c>
      <c r="T12" s="52" t="s">
        <v>16</v>
      </c>
      <c r="U12" s="52" t="s">
        <v>431</v>
      </c>
    </row>
    <row r="13">
      <c r="A13" s="48" t="s">
        <v>342</v>
      </c>
      <c r="B13" s="49">
        <v>44546.0</v>
      </c>
      <c r="C13" s="50">
        <v>2021.0</v>
      </c>
      <c r="D13" s="49">
        <v>44548.0</v>
      </c>
      <c r="E13" s="49">
        <v>44561.0</v>
      </c>
      <c r="F13" s="50">
        <v>13.0</v>
      </c>
      <c r="G13" s="50">
        <v>73.0</v>
      </c>
      <c r="H13" s="50">
        <v>5.615384615384615</v>
      </c>
      <c r="I13" s="50">
        <v>59.99</v>
      </c>
      <c r="J13" s="50">
        <v>0.8217808219178082</v>
      </c>
      <c r="K13" s="51" t="b">
        <v>0</v>
      </c>
      <c r="L13" s="48" t="s">
        <v>426</v>
      </c>
      <c r="M13" s="48" t="s">
        <v>421</v>
      </c>
      <c r="N13" s="48" t="s">
        <v>194</v>
      </c>
      <c r="O13" s="48" t="s">
        <v>432</v>
      </c>
      <c r="P13" s="48" t="s">
        <v>19</v>
      </c>
      <c r="Q13" s="48" t="s">
        <v>423</v>
      </c>
      <c r="R13" s="51" t="b">
        <v>1</v>
      </c>
      <c r="S13" s="51" t="b">
        <v>0</v>
      </c>
      <c r="T13" s="48" t="s">
        <v>341</v>
      </c>
      <c r="U13" s="48" t="s">
        <v>433</v>
      </c>
    </row>
    <row r="14">
      <c r="A14" s="52" t="s">
        <v>344</v>
      </c>
      <c r="B14" s="53">
        <v>44561.0</v>
      </c>
      <c r="C14" s="54">
        <v>2022.0</v>
      </c>
      <c r="D14" s="53">
        <v>44562.0</v>
      </c>
      <c r="E14" s="53">
        <v>44566.0</v>
      </c>
      <c r="F14" s="54">
        <v>4.0</v>
      </c>
      <c r="G14" s="54">
        <v>31.0</v>
      </c>
      <c r="H14" s="54">
        <v>7.75</v>
      </c>
      <c r="I14" s="54">
        <v>32.49</v>
      </c>
      <c r="J14" s="54">
        <v>1.0480645161290323</v>
      </c>
      <c r="K14" s="55" t="b">
        <v>0</v>
      </c>
      <c r="L14" s="52" t="s">
        <v>426</v>
      </c>
      <c r="M14" s="52" t="s">
        <v>416</v>
      </c>
      <c r="N14" s="52" t="s">
        <v>18</v>
      </c>
      <c r="O14" s="52" t="s">
        <v>432</v>
      </c>
      <c r="P14" s="52" t="s">
        <v>19</v>
      </c>
      <c r="Q14" s="52" t="s">
        <v>422</v>
      </c>
      <c r="R14" s="55" t="b">
        <v>1</v>
      </c>
      <c r="S14" s="55" t="b">
        <v>1</v>
      </c>
      <c r="T14" s="52" t="s">
        <v>16</v>
      </c>
      <c r="U14" s="52" t="s">
        <v>434</v>
      </c>
    </row>
    <row r="15">
      <c r="A15" s="48" t="s">
        <v>197</v>
      </c>
      <c r="B15" s="49">
        <v>43103.0</v>
      </c>
      <c r="C15" s="50">
        <v>2022.0</v>
      </c>
      <c r="D15" s="49">
        <v>44566.0</v>
      </c>
      <c r="E15" s="49">
        <v>44570.0</v>
      </c>
      <c r="F15" s="50">
        <v>4.0</v>
      </c>
      <c r="G15" s="50">
        <v>16.0</v>
      </c>
      <c r="H15" s="50">
        <v>4.0</v>
      </c>
      <c r="I15" s="50">
        <v>2.54</v>
      </c>
      <c r="J15" s="50">
        <v>0.15875</v>
      </c>
      <c r="K15" s="51" t="b">
        <v>0</v>
      </c>
      <c r="L15" s="48" t="s">
        <v>15</v>
      </c>
      <c r="M15" s="48" t="s">
        <v>421</v>
      </c>
      <c r="N15" s="48" t="s">
        <v>34</v>
      </c>
      <c r="O15" s="48" t="s">
        <v>417</v>
      </c>
      <c r="P15" s="48" t="s">
        <v>19</v>
      </c>
      <c r="Q15" s="48" t="s">
        <v>422</v>
      </c>
      <c r="R15" s="51" t="b">
        <v>0</v>
      </c>
      <c r="S15" s="51" t="b">
        <v>0</v>
      </c>
      <c r="T15" s="48" t="s">
        <v>16</v>
      </c>
      <c r="U15" s="48" t="s">
        <v>435</v>
      </c>
    </row>
    <row r="16">
      <c r="A16" s="52" t="s">
        <v>199</v>
      </c>
      <c r="B16" s="53">
        <v>43103.0</v>
      </c>
      <c r="C16" s="54">
        <v>2022.0</v>
      </c>
      <c r="D16" s="53">
        <v>44570.0</v>
      </c>
      <c r="E16" s="53">
        <v>44575.0</v>
      </c>
      <c r="F16" s="54">
        <v>5.0</v>
      </c>
      <c r="G16" s="54">
        <v>16.0</v>
      </c>
      <c r="H16" s="54">
        <v>3.2</v>
      </c>
      <c r="I16" s="54">
        <v>2.54</v>
      </c>
      <c r="J16" s="54">
        <v>0.15875</v>
      </c>
      <c r="K16" s="55" t="b">
        <v>0</v>
      </c>
      <c r="L16" s="52" t="s">
        <v>15</v>
      </c>
      <c r="M16" s="52" t="s">
        <v>421</v>
      </c>
      <c r="N16" s="52" t="s">
        <v>34</v>
      </c>
      <c r="O16" s="52" t="s">
        <v>417</v>
      </c>
      <c r="P16" s="52" t="s">
        <v>19</v>
      </c>
      <c r="Q16" s="52" t="s">
        <v>422</v>
      </c>
      <c r="R16" s="55" t="b">
        <v>0</v>
      </c>
      <c r="S16" s="55" t="b">
        <v>0</v>
      </c>
      <c r="T16" s="52" t="s">
        <v>16</v>
      </c>
      <c r="U16" s="52" t="s">
        <v>436</v>
      </c>
    </row>
    <row r="17">
      <c r="A17" s="48" t="s">
        <v>290</v>
      </c>
      <c r="B17" s="49">
        <v>43662.0</v>
      </c>
      <c r="C17" s="50">
        <v>2022.0</v>
      </c>
      <c r="D17" s="49">
        <v>44575.0</v>
      </c>
      <c r="E17" s="49">
        <v>44580.0</v>
      </c>
      <c r="F17" s="50">
        <v>5.0</v>
      </c>
      <c r="G17" s="50">
        <v>22.0</v>
      </c>
      <c r="H17" s="50">
        <v>4.4</v>
      </c>
      <c r="I17" s="50">
        <v>3.43</v>
      </c>
      <c r="J17" s="50">
        <v>0.1559090909090909</v>
      </c>
      <c r="K17" s="51" t="b">
        <v>0</v>
      </c>
      <c r="L17" s="48" t="s">
        <v>15</v>
      </c>
      <c r="M17" s="48" t="s">
        <v>421</v>
      </c>
      <c r="N17" s="48" t="s">
        <v>34</v>
      </c>
      <c r="O17" s="48" t="s">
        <v>417</v>
      </c>
      <c r="P17" s="48" t="s">
        <v>19</v>
      </c>
      <c r="Q17" s="48" t="s">
        <v>422</v>
      </c>
      <c r="R17" s="51" t="b">
        <v>0</v>
      </c>
      <c r="S17" s="51" t="b">
        <v>0</v>
      </c>
      <c r="T17" s="48" t="s">
        <v>16</v>
      </c>
      <c r="U17" s="48" t="s">
        <v>437</v>
      </c>
    </row>
    <row r="18">
      <c r="A18" s="52" t="s">
        <v>291</v>
      </c>
      <c r="B18" s="53">
        <v>43662.0</v>
      </c>
      <c r="C18" s="54">
        <v>2022.0</v>
      </c>
      <c r="D18" s="53">
        <v>44580.0</v>
      </c>
      <c r="E18" s="53">
        <v>44584.0</v>
      </c>
      <c r="F18" s="54">
        <v>4.0</v>
      </c>
      <c r="G18" s="54">
        <v>17.0</v>
      </c>
      <c r="H18" s="54">
        <v>4.25</v>
      </c>
      <c r="I18" s="54">
        <v>3.43</v>
      </c>
      <c r="J18" s="54">
        <v>0.20176470588235296</v>
      </c>
      <c r="K18" s="55" t="b">
        <v>0</v>
      </c>
      <c r="L18" s="52" t="s">
        <v>15</v>
      </c>
      <c r="M18" s="52" t="s">
        <v>421</v>
      </c>
      <c r="N18" s="52" t="s">
        <v>34</v>
      </c>
      <c r="O18" s="52" t="s">
        <v>417</v>
      </c>
      <c r="P18" s="52" t="s">
        <v>19</v>
      </c>
      <c r="Q18" s="52" t="s">
        <v>422</v>
      </c>
      <c r="R18" s="55" t="b">
        <v>0</v>
      </c>
      <c r="S18" s="55" t="b">
        <v>0</v>
      </c>
      <c r="T18" s="52" t="s">
        <v>16</v>
      </c>
      <c r="U18" s="52" t="s">
        <v>437</v>
      </c>
    </row>
    <row r="19">
      <c r="A19" s="48" t="s">
        <v>292</v>
      </c>
      <c r="B19" s="49">
        <v>43662.0</v>
      </c>
      <c r="C19" s="50">
        <v>2022.0</v>
      </c>
      <c r="D19" s="49">
        <v>44584.0</v>
      </c>
      <c r="E19" s="49">
        <v>44587.0</v>
      </c>
      <c r="F19" s="50">
        <v>3.0</v>
      </c>
      <c r="G19" s="50">
        <v>12.0</v>
      </c>
      <c r="H19" s="50">
        <v>4.0</v>
      </c>
      <c r="I19" s="50">
        <v>3.43</v>
      </c>
      <c r="J19" s="50">
        <v>0.28583333333333333</v>
      </c>
      <c r="K19" s="51" t="b">
        <v>0</v>
      </c>
      <c r="L19" s="48" t="s">
        <v>15</v>
      </c>
      <c r="M19" s="48" t="s">
        <v>421</v>
      </c>
      <c r="N19" s="48" t="s">
        <v>34</v>
      </c>
      <c r="O19" s="48" t="s">
        <v>417</v>
      </c>
      <c r="P19" s="48" t="s">
        <v>19</v>
      </c>
      <c r="Q19" s="48" t="s">
        <v>422</v>
      </c>
      <c r="R19" s="51" t="b">
        <v>0</v>
      </c>
      <c r="S19" s="51" t="b">
        <v>0</v>
      </c>
      <c r="T19" s="48" t="s">
        <v>16</v>
      </c>
      <c r="U19" s="48" t="s">
        <v>438</v>
      </c>
    </row>
    <row r="20">
      <c r="A20" s="52" t="s">
        <v>293</v>
      </c>
      <c r="B20" s="53">
        <v>43662.0</v>
      </c>
      <c r="C20" s="54">
        <v>2022.0</v>
      </c>
      <c r="D20" s="53">
        <v>44587.0</v>
      </c>
      <c r="E20" s="53">
        <v>44593.0</v>
      </c>
      <c r="F20" s="54">
        <v>6.0</v>
      </c>
      <c r="G20" s="54">
        <v>29.0</v>
      </c>
      <c r="H20" s="54">
        <v>4.833333333333333</v>
      </c>
      <c r="I20" s="54">
        <v>3.43</v>
      </c>
      <c r="J20" s="54">
        <v>0.11827586206896552</v>
      </c>
      <c r="K20" s="55" t="b">
        <v>0</v>
      </c>
      <c r="L20" s="52" t="s">
        <v>15</v>
      </c>
      <c r="M20" s="52" t="s">
        <v>425</v>
      </c>
      <c r="N20" s="52" t="s">
        <v>34</v>
      </c>
      <c r="O20" s="52" t="s">
        <v>419</v>
      </c>
      <c r="P20" s="52" t="s">
        <v>439</v>
      </c>
      <c r="Q20" s="52" t="s">
        <v>422</v>
      </c>
      <c r="R20" s="55" t="b">
        <v>0</v>
      </c>
      <c r="S20" s="55" t="b">
        <v>0</v>
      </c>
      <c r="T20" s="52" t="s">
        <v>16</v>
      </c>
      <c r="U20" s="52" t="s">
        <v>440</v>
      </c>
    </row>
    <row r="21">
      <c r="A21" s="48" t="s">
        <v>353</v>
      </c>
      <c r="B21" s="49">
        <v>44592.0</v>
      </c>
      <c r="C21" s="50">
        <v>2022.0</v>
      </c>
      <c r="D21" s="49">
        <v>44593.0</v>
      </c>
      <c r="E21" s="49">
        <v>44609.0</v>
      </c>
      <c r="F21" s="50">
        <v>16.0</v>
      </c>
      <c r="G21" s="50">
        <v>50.0</v>
      </c>
      <c r="H21" s="50">
        <v>3.125</v>
      </c>
      <c r="I21" s="50">
        <v>24.95</v>
      </c>
      <c r="J21" s="50">
        <v>0.499</v>
      </c>
      <c r="K21" s="51" t="b">
        <v>0</v>
      </c>
      <c r="L21" s="48" t="s">
        <v>426</v>
      </c>
      <c r="M21" s="48" t="s">
        <v>441</v>
      </c>
      <c r="N21" s="48" t="s">
        <v>295</v>
      </c>
      <c r="O21" s="48" t="s">
        <v>419</v>
      </c>
      <c r="P21" s="48" t="s">
        <v>439</v>
      </c>
      <c r="Q21" s="48" t="s">
        <v>423</v>
      </c>
      <c r="R21" s="51" t="b">
        <v>0</v>
      </c>
      <c r="S21" s="51" t="b">
        <v>0</v>
      </c>
      <c r="T21" s="48" t="s">
        <v>16</v>
      </c>
      <c r="U21" s="48" t="s">
        <v>442</v>
      </c>
    </row>
    <row r="22">
      <c r="A22" s="52" t="s">
        <v>351</v>
      </c>
      <c r="B22" s="53">
        <v>44566.0</v>
      </c>
      <c r="C22" s="54">
        <v>2022.0</v>
      </c>
      <c r="D22" s="53">
        <v>44609.0</v>
      </c>
      <c r="E22" s="53">
        <v>44619.0</v>
      </c>
      <c r="F22" s="54">
        <v>10.0</v>
      </c>
      <c r="G22" s="54">
        <v>67.0</v>
      </c>
      <c r="H22" s="54">
        <v>6.7</v>
      </c>
      <c r="I22" s="54">
        <v>36.48</v>
      </c>
      <c r="J22" s="54">
        <v>0.5444776119402984</v>
      </c>
      <c r="K22" s="55" t="b">
        <v>0</v>
      </c>
      <c r="L22" s="52" t="s">
        <v>427</v>
      </c>
      <c r="M22" s="52" t="s">
        <v>416</v>
      </c>
      <c r="N22" s="52" t="s">
        <v>24</v>
      </c>
      <c r="O22" s="52" t="s">
        <v>419</v>
      </c>
      <c r="P22" s="52" t="s">
        <v>19</v>
      </c>
      <c r="Q22" s="52" t="s">
        <v>422</v>
      </c>
      <c r="R22" s="55" t="b">
        <v>0</v>
      </c>
      <c r="S22" s="55" t="b">
        <v>1</v>
      </c>
      <c r="T22" s="52" t="s">
        <v>16</v>
      </c>
      <c r="U22" s="52" t="s">
        <v>443</v>
      </c>
    </row>
    <row r="23">
      <c r="A23" s="48" t="s">
        <v>155</v>
      </c>
      <c r="B23" s="49">
        <v>42859.0</v>
      </c>
      <c r="C23" s="50">
        <v>2022.0</v>
      </c>
      <c r="D23" s="49">
        <v>44619.0</v>
      </c>
      <c r="E23" s="49">
        <v>44629.0</v>
      </c>
      <c r="F23" s="50">
        <v>10.0</v>
      </c>
      <c r="G23" s="50">
        <v>43.0</v>
      </c>
      <c r="H23" s="50">
        <v>4.3</v>
      </c>
      <c r="I23" s="50">
        <v>41.0</v>
      </c>
      <c r="J23" s="50">
        <v>0.9534883720930233</v>
      </c>
      <c r="K23" s="51" t="b">
        <v>0</v>
      </c>
      <c r="L23" s="48" t="s">
        <v>427</v>
      </c>
      <c r="M23" s="48" t="s">
        <v>416</v>
      </c>
      <c r="N23" s="48" t="s">
        <v>24</v>
      </c>
      <c r="O23" s="48" t="s">
        <v>419</v>
      </c>
      <c r="P23" s="48" t="s">
        <v>19</v>
      </c>
      <c r="Q23" s="48" t="s">
        <v>423</v>
      </c>
      <c r="R23" s="51" t="b">
        <v>1</v>
      </c>
      <c r="S23" s="51" t="b">
        <v>0</v>
      </c>
      <c r="T23" s="48" t="s">
        <v>16</v>
      </c>
      <c r="U23" s="48" t="s">
        <v>444</v>
      </c>
    </row>
    <row r="24">
      <c r="A24" s="52" t="s">
        <v>352</v>
      </c>
      <c r="B24" s="53">
        <v>44566.0</v>
      </c>
      <c r="C24" s="54">
        <v>2022.0</v>
      </c>
      <c r="D24" s="53">
        <v>44629.0</v>
      </c>
      <c r="E24" s="53">
        <v>44633.0</v>
      </c>
      <c r="F24" s="54">
        <v>4.0</v>
      </c>
      <c r="G24" s="54">
        <v>28.0</v>
      </c>
      <c r="H24" s="54">
        <v>7.0</v>
      </c>
      <c r="I24" s="54">
        <v>2.39</v>
      </c>
      <c r="J24" s="54">
        <v>0.08535714285714287</v>
      </c>
      <c r="K24" s="55" t="b">
        <v>1</v>
      </c>
      <c r="L24" s="52" t="s">
        <v>15</v>
      </c>
      <c r="M24" s="52" t="s">
        <v>441</v>
      </c>
      <c r="N24" s="52" t="s">
        <v>24</v>
      </c>
      <c r="O24" s="52" t="s">
        <v>419</v>
      </c>
      <c r="P24" s="52" t="s">
        <v>439</v>
      </c>
      <c r="Q24" s="52" t="s">
        <v>423</v>
      </c>
      <c r="R24" s="55" t="b">
        <v>0</v>
      </c>
      <c r="S24" s="55" t="b">
        <v>0</v>
      </c>
      <c r="T24" s="52" t="s">
        <v>16</v>
      </c>
      <c r="U24" s="52" t="s">
        <v>445</v>
      </c>
    </row>
    <row r="25">
      <c r="A25" s="48" t="s">
        <v>118</v>
      </c>
      <c r="B25" s="49">
        <v>41820.0</v>
      </c>
      <c r="C25" s="50">
        <v>2022.0</v>
      </c>
      <c r="D25" s="49">
        <v>44633.0</v>
      </c>
      <c r="E25" s="49">
        <v>44636.0</v>
      </c>
      <c r="F25" s="50">
        <v>3.0</v>
      </c>
      <c r="G25" s="50">
        <v>8.0</v>
      </c>
      <c r="H25" s="50">
        <v>2.6666666666666665</v>
      </c>
      <c r="I25" s="50">
        <v>4.99</v>
      </c>
      <c r="J25" s="50">
        <v>0.62375</v>
      </c>
      <c r="K25" s="51" t="b">
        <v>0</v>
      </c>
      <c r="L25" s="48" t="s">
        <v>426</v>
      </c>
      <c r="M25" s="48" t="s">
        <v>421</v>
      </c>
      <c r="N25" s="48" t="s">
        <v>24</v>
      </c>
      <c r="O25" s="48" t="s">
        <v>417</v>
      </c>
      <c r="P25" s="48" t="s">
        <v>19</v>
      </c>
      <c r="Q25" s="48" t="s">
        <v>422</v>
      </c>
      <c r="R25" s="51" t="b">
        <v>1</v>
      </c>
      <c r="S25" s="51" t="b">
        <v>0</v>
      </c>
      <c r="T25" s="48" t="s">
        <v>16</v>
      </c>
      <c r="U25" s="48" t="s">
        <v>446</v>
      </c>
    </row>
    <row r="26">
      <c r="A26" s="52" t="s">
        <v>354</v>
      </c>
      <c r="B26" s="53">
        <v>44638.0</v>
      </c>
      <c r="C26" s="54">
        <v>2022.0</v>
      </c>
      <c r="D26" s="53">
        <v>44638.0</v>
      </c>
      <c r="E26" s="53">
        <v>44646.0</v>
      </c>
      <c r="F26" s="54">
        <v>8.0</v>
      </c>
      <c r="G26" s="54">
        <v>42.0</v>
      </c>
      <c r="H26" s="54">
        <v>5.25</v>
      </c>
      <c r="I26" s="54">
        <v>19.49</v>
      </c>
      <c r="J26" s="54">
        <v>0.464047619047619</v>
      </c>
      <c r="K26" s="55" t="b">
        <v>0</v>
      </c>
      <c r="L26" s="52" t="s">
        <v>15</v>
      </c>
      <c r="M26" s="52" t="s">
        <v>441</v>
      </c>
      <c r="N26" s="52" t="s">
        <v>355</v>
      </c>
      <c r="O26" s="52" t="s">
        <v>432</v>
      </c>
      <c r="P26" s="52" t="s">
        <v>19</v>
      </c>
      <c r="Q26" s="52" t="s">
        <v>418</v>
      </c>
      <c r="R26" s="55" t="b">
        <v>1</v>
      </c>
      <c r="S26" s="55" t="b">
        <v>1</v>
      </c>
      <c r="T26" s="52" t="s">
        <v>16</v>
      </c>
      <c r="U26" s="52" t="s">
        <v>355</v>
      </c>
    </row>
    <row r="27">
      <c r="A27" s="48" t="s">
        <v>356</v>
      </c>
      <c r="B27" s="49">
        <v>44644.0</v>
      </c>
      <c r="C27" s="50">
        <v>2022.0</v>
      </c>
      <c r="D27" s="49">
        <v>44646.0</v>
      </c>
      <c r="E27" s="49">
        <v>44663.0</v>
      </c>
      <c r="F27" s="50">
        <v>17.0</v>
      </c>
      <c r="G27" s="50">
        <v>72.0</v>
      </c>
      <c r="H27" s="50">
        <v>4.235294117647059</v>
      </c>
      <c r="I27" s="50">
        <v>49.99</v>
      </c>
      <c r="J27" s="50">
        <v>0.6943055555555556</v>
      </c>
      <c r="K27" s="51" t="b">
        <v>0</v>
      </c>
      <c r="L27" s="48" t="s">
        <v>20</v>
      </c>
      <c r="M27" s="48" t="s">
        <v>416</v>
      </c>
      <c r="N27" s="48" t="s">
        <v>18</v>
      </c>
      <c r="O27" s="48" t="s">
        <v>432</v>
      </c>
      <c r="P27" s="48" t="s">
        <v>19</v>
      </c>
      <c r="Q27" s="48" t="s">
        <v>418</v>
      </c>
      <c r="R27" s="51" t="b">
        <v>0</v>
      </c>
      <c r="S27" s="51" t="b">
        <v>1</v>
      </c>
      <c r="T27" s="48" t="s">
        <v>16</v>
      </c>
      <c r="U27" s="48" t="s">
        <v>447</v>
      </c>
    </row>
    <row r="28">
      <c r="A28" s="52" t="s">
        <v>233</v>
      </c>
      <c r="B28" s="53">
        <v>43256.0</v>
      </c>
      <c r="C28" s="54">
        <v>2022.0</v>
      </c>
      <c r="D28" s="53">
        <v>44631.0</v>
      </c>
      <c r="E28" s="53">
        <v>44637.0</v>
      </c>
      <c r="F28" s="54">
        <v>8.0</v>
      </c>
      <c r="G28" s="54">
        <v>11.0</v>
      </c>
      <c r="H28" s="54">
        <v>1.375</v>
      </c>
      <c r="I28" s="54">
        <v>4.2</v>
      </c>
      <c r="J28" s="54">
        <v>0.38181818181818183</v>
      </c>
      <c r="K28" s="55" t="b">
        <v>0</v>
      </c>
      <c r="L28" s="52" t="s">
        <v>15</v>
      </c>
      <c r="M28" s="52" t="s">
        <v>421</v>
      </c>
      <c r="N28" s="52" t="s">
        <v>24</v>
      </c>
      <c r="O28" s="52" t="s">
        <v>419</v>
      </c>
      <c r="P28" s="52" t="s">
        <v>439</v>
      </c>
      <c r="Q28" s="52" t="s">
        <v>423</v>
      </c>
      <c r="R28" s="55" t="b">
        <v>0</v>
      </c>
      <c r="S28" s="55" t="b">
        <v>0</v>
      </c>
      <c r="T28" s="52" t="s">
        <v>16</v>
      </c>
      <c r="U28" s="52" t="s">
        <v>448</v>
      </c>
    </row>
    <row r="29">
      <c r="A29" s="48" t="s">
        <v>94</v>
      </c>
      <c r="B29" s="49">
        <v>41697.0</v>
      </c>
      <c r="C29" s="50">
        <v>2022.0</v>
      </c>
      <c r="D29" s="49">
        <v>44667.0</v>
      </c>
      <c r="E29" s="49">
        <v>44685.0</v>
      </c>
      <c r="F29" s="50">
        <v>18.0</v>
      </c>
      <c r="G29" s="50">
        <v>126.0</v>
      </c>
      <c r="H29" s="50">
        <v>7.0</v>
      </c>
      <c r="I29" s="50">
        <v>9.06</v>
      </c>
      <c r="J29" s="50">
        <v>0.0719047619047619</v>
      </c>
      <c r="K29" s="51" t="b">
        <v>1</v>
      </c>
      <c r="L29" s="48" t="s">
        <v>427</v>
      </c>
      <c r="M29" s="48" t="s">
        <v>449</v>
      </c>
      <c r="N29" s="48" t="s">
        <v>24</v>
      </c>
      <c r="O29" s="48" t="s">
        <v>417</v>
      </c>
      <c r="P29" s="48" t="s">
        <v>19</v>
      </c>
      <c r="Q29" s="48" t="s">
        <v>423</v>
      </c>
      <c r="R29" s="51" t="b">
        <v>0</v>
      </c>
      <c r="S29" s="51" t="b">
        <v>1</v>
      </c>
      <c r="T29" s="48" t="s">
        <v>16</v>
      </c>
      <c r="U29" s="48" t="s">
        <v>450</v>
      </c>
    </row>
    <row r="30">
      <c r="A30" s="52" t="s">
        <v>144</v>
      </c>
      <c r="B30" s="53">
        <v>42597.0</v>
      </c>
      <c r="C30" s="54">
        <v>2022.0</v>
      </c>
      <c r="D30" s="53">
        <v>44687.0</v>
      </c>
      <c r="E30" s="53">
        <v>44701.0</v>
      </c>
      <c r="F30" s="54">
        <v>14.0</v>
      </c>
      <c r="G30" s="54">
        <v>69.0</v>
      </c>
      <c r="H30" s="54">
        <v>4.928571428571429</v>
      </c>
      <c r="I30" s="54">
        <v>3.84</v>
      </c>
      <c r="J30" s="54">
        <v>0.05565217391304347</v>
      </c>
      <c r="K30" s="55" t="b">
        <v>0</v>
      </c>
      <c r="L30" s="52" t="s">
        <v>427</v>
      </c>
      <c r="M30" s="52" t="s">
        <v>416</v>
      </c>
      <c r="N30" s="52" t="s">
        <v>18</v>
      </c>
      <c r="O30" s="52" t="s">
        <v>417</v>
      </c>
      <c r="P30" s="52" t="s">
        <v>19</v>
      </c>
      <c r="Q30" s="52" t="s">
        <v>422</v>
      </c>
      <c r="R30" s="55" t="b">
        <v>0</v>
      </c>
      <c r="S30" s="55" t="b">
        <v>0</v>
      </c>
      <c r="T30" s="52" t="s">
        <v>16</v>
      </c>
      <c r="U30" s="52"/>
    </row>
    <row r="31">
      <c r="A31" s="48" t="s">
        <v>346</v>
      </c>
      <c r="B31" s="49">
        <v>44566.0</v>
      </c>
      <c r="C31" s="50">
        <v>2022.0</v>
      </c>
      <c r="D31" s="49">
        <v>44701.0</v>
      </c>
      <c r="E31" s="49">
        <v>44717.0</v>
      </c>
      <c r="F31" s="50">
        <v>16.0</v>
      </c>
      <c r="G31" s="50">
        <v>84.0</v>
      </c>
      <c r="H31" s="50">
        <v>5.25</v>
      </c>
      <c r="I31" s="50">
        <v>5.99</v>
      </c>
      <c r="J31" s="50">
        <v>0.07130952380952381</v>
      </c>
      <c r="K31" s="51" t="b">
        <v>0</v>
      </c>
      <c r="L31" s="48" t="s">
        <v>427</v>
      </c>
      <c r="M31" s="48" t="s">
        <v>425</v>
      </c>
      <c r="N31" s="48" t="s">
        <v>18</v>
      </c>
      <c r="O31" s="48" t="s">
        <v>419</v>
      </c>
      <c r="P31" s="48" t="s">
        <v>19</v>
      </c>
      <c r="Q31" s="48" t="s">
        <v>422</v>
      </c>
      <c r="R31" s="51" t="b">
        <v>0</v>
      </c>
      <c r="S31" s="51" t="b">
        <v>0</v>
      </c>
      <c r="T31" s="48" t="s">
        <v>16</v>
      </c>
      <c r="U31" s="48" t="s">
        <v>451</v>
      </c>
    </row>
    <row r="32">
      <c r="A32" s="52" t="s">
        <v>347</v>
      </c>
      <c r="B32" s="53">
        <v>44566.0</v>
      </c>
      <c r="C32" s="54">
        <v>2022.0</v>
      </c>
      <c r="D32" s="53">
        <v>44717.0</v>
      </c>
      <c r="E32" s="53">
        <v>44749.0</v>
      </c>
      <c r="F32" s="54">
        <v>32.0</v>
      </c>
      <c r="G32" s="54">
        <v>178.0</v>
      </c>
      <c r="H32" s="54">
        <v>5.5625</v>
      </c>
      <c r="I32" s="54">
        <v>15.99</v>
      </c>
      <c r="J32" s="54">
        <v>0.0898314606741573</v>
      </c>
      <c r="K32" s="55" t="b">
        <v>0</v>
      </c>
      <c r="L32" s="52" t="s">
        <v>427</v>
      </c>
      <c r="M32" s="52" t="s">
        <v>425</v>
      </c>
      <c r="N32" s="52" t="s">
        <v>194</v>
      </c>
      <c r="O32" s="52" t="s">
        <v>419</v>
      </c>
      <c r="P32" s="52" t="s">
        <v>19</v>
      </c>
      <c r="Q32" s="52" t="s">
        <v>423</v>
      </c>
      <c r="R32" s="55" t="b">
        <v>1</v>
      </c>
      <c r="S32" s="55" t="b">
        <v>1</v>
      </c>
      <c r="T32" s="52" t="s">
        <v>16</v>
      </c>
      <c r="U32" s="52" t="s">
        <v>452</v>
      </c>
    </row>
    <row r="33">
      <c r="A33" s="48" t="s">
        <v>305</v>
      </c>
      <c r="B33" s="49">
        <v>43770.0</v>
      </c>
      <c r="C33" s="50">
        <v>2022.0</v>
      </c>
      <c r="D33" s="49">
        <v>44750.0</v>
      </c>
      <c r="E33" s="49">
        <v>44751.0</v>
      </c>
      <c r="F33" s="50">
        <v>1.0</v>
      </c>
      <c r="G33" s="50">
        <v>12.0</v>
      </c>
      <c r="H33" s="50">
        <v>12.0</v>
      </c>
      <c r="I33" s="50">
        <v>19.49</v>
      </c>
      <c r="J33" s="50">
        <v>1.6241666666666665</v>
      </c>
      <c r="K33" s="51" t="b">
        <v>0</v>
      </c>
      <c r="L33" s="48" t="s">
        <v>426</v>
      </c>
      <c r="M33" s="48" t="s">
        <v>421</v>
      </c>
      <c r="N33" s="48" t="s">
        <v>18</v>
      </c>
      <c r="O33" s="48" t="s">
        <v>419</v>
      </c>
      <c r="P33" s="48" t="s">
        <v>19</v>
      </c>
      <c r="Q33" s="48" t="s">
        <v>422</v>
      </c>
      <c r="R33" s="51" t="b">
        <v>0</v>
      </c>
      <c r="S33" s="51" t="b">
        <v>1</v>
      </c>
      <c r="T33" s="48" t="s">
        <v>16</v>
      </c>
      <c r="U33" s="48" t="s">
        <v>453</v>
      </c>
    </row>
    <row r="34">
      <c r="A34" s="52" t="s">
        <v>317</v>
      </c>
      <c r="B34" s="53">
        <v>43832.0</v>
      </c>
      <c r="C34" s="54">
        <v>2022.0</v>
      </c>
      <c r="D34" s="53">
        <v>44751.0</v>
      </c>
      <c r="E34" s="53">
        <v>44762.0</v>
      </c>
      <c r="F34" s="54">
        <v>27.0</v>
      </c>
      <c r="G34" s="54">
        <v>158.0</v>
      </c>
      <c r="H34" s="54">
        <v>5.851851851851852</v>
      </c>
      <c r="I34" s="54">
        <v>36.38</v>
      </c>
      <c r="J34" s="54">
        <v>0.23025316455696204</v>
      </c>
      <c r="K34" s="55" t="b">
        <v>0</v>
      </c>
      <c r="L34" s="52" t="s">
        <v>427</v>
      </c>
      <c r="M34" s="52" t="s">
        <v>425</v>
      </c>
      <c r="N34" s="52" t="s">
        <v>201</v>
      </c>
      <c r="O34" s="52" t="s">
        <v>419</v>
      </c>
      <c r="P34" s="52" t="s">
        <v>439</v>
      </c>
      <c r="Q34" s="52" t="s">
        <v>418</v>
      </c>
      <c r="R34" s="55" t="b">
        <v>0</v>
      </c>
      <c r="S34" s="55" t="b">
        <v>0</v>
      </c>
      <c r="T34" s="52" t="s">
        <v>16</v>
      </c>
      <c r="U34" s="52" t="s">
        <v>454</v>
      </c>
    </row>
    <row r="35">
      <c r="A35" s="48" t="s">
        <v>357</v>
      </c>
      <c r="B35" s="49">
        <v>44762.0</v>
      </c>
      <c r="C35" s="50">
        <v>2022.0</v>
      </c>
      <c r="D35" s="49">
        <v>44763.0</v>
      </c>
      <c r="E35" s="49">
        <v>44764.0</v>
      </c>
      <c r="F35" s="50">
        <v>1.0</v>
      </c>
      <c r="G35" s="50">
        <v>8.0</v>
      </c>
      <c r="H35" s="50">
        <v>8.0</v>
      </c>
      <c r="I35" s="50">
        <v>23.99</v>
      </c>
      <c r="J35" s="50">
        <v>2.99875</v>
      </c>
      <c r="K35" s="51" t="b">
        <v>0</v>
      </c>
      <c r="L35" s="48" t="s">
        <v>15</v>
      </c>
      <c r="M35" s="48" t="s">
        <v>441</v>
      </c>
      <c r="N35" s="48" t="s">
        <v>67</v>
      </c>
      <c r="O35" s="48" t="s">
        <v>432</v>
      </c>
      <c r="P35" s="48" t="s">
        <v>19</v>
      </c>
      <c r="Q35" s="48" t="s">
        <v>418</v>
      </c>
      <c r="R35" s="51" t="b">
        <v>0</v>
      </c>
      <c r="S35" s="51" t="b">
        <v>1</v>
      </c>
      <c r="T35" s="48" t="s">
        <v>16</v>
      </c>
      <c r="U35" s="48" t="s">
        <v>455</v>
      </c>
    </row>
    <row r="36">
      <c r="A36" s="52" t="s">
        <v>241</v>
      </c>
      <c r="B36" s="53">
        <v>43274.0</v>
      </c>
      <c r="C36" s="54">
        <v>2022.0</v>
      </c>
      <c r="D36" s="53">
        <v>44764.0</v>
      </c>
      <c r="E36" s="53">
        <v>44771.0</v>
      </c>
      <c r="F36" s="54">
        <v>7.0</v>
      </c>
      <c r="G36" s="54">
        <v>54.0</v>
      </c>
      <c r="H36" s="54">
        <v>7.714285714285714</v>
      </c>
      <c r="I36" s="54">
        <v>3.48</v>
      </c>
      <c r="J36" s="54">
        <v>0.06444444444444444</v>
      </c>
      <c r="K36" s="55" t="b">
        <v>0</v>
      </c>
      <c r="L36" s="52" t="s">
        <v>427</v>
      </c>
      <c r="M36" s="52" t="s">
        <v>449</v>
      </c>
      <c r="N36" s="52" t="s">
        <v>18</v>
      </c>
      <c r="O36" s="52" t="s">
        <v>417</v>
      </c>
      <c r="P36" s="52" t="s">
        <v>19</v>
      </c>
      <c r="Q36" s="52" t="s">
        <v>418</v>
      </c>
      <c r="R36" s="55" t="b">
        <v>0</v>
      </c>
      <c r="S36" s="55" t="b">
        <v>1</v>
      </c>
      <c r="T36" s="52" t="s">
        <v>16</v>
      </c>
      <c r="U36" s="52" t="s">
        <v>456</v>
      </c>
    </row>
    <row r="37">
      <c r="A37" s="48" t="s">
        <v>358</v>
      </c>
      <c r="B37" s="49">
        <v>44785.0</v>
      </c>
      <c r="C37" s="50">
        <v>2022.0</v>
      </c>
      <c r="D37" s="49">
        <v>44785.0</v>
      </c>
      <c r="E37" s="49">
        <v>44811.0</v>
      </c>
      <c r="F37" s="50">
        <v>26.0</v>
      </c>
      <c r="G37" s="50">
        <v>81.0</v>
      </c>
      <c r="H37" s="50">
        <v>3.1153846153846154</v>
      </c>
      <c r="I37" s="50">
        <v>49.99</v>
      </c>
      <c r="J37" s="50">
        <v>0.6171604938271605</v>
      </c>
      <c r="K37" s="51" t="b">
        <v>0</v>
      </c>
      <c r="L37" s="48" t="s">
        <v>427</v>
      </c>
      <c r="M37" s="48" t="s">
        <v>416</v>
      </c>
      <c r="N37" s="48" t="s">
        <v>18</v>
      </c>
      <c r="O37" s="48" t="s">
        <v>432</v>
      </c>
      <c r="P37" s="48" t="s">
        <v>19</v>
      </c>
      <c r="Q37" s="48" t="s">
        <v>418</v>
      </c>
      <c r="R37" s="51" t="b">
        <v>1</v>
      </c>
      <c r="S37" s="51" t="b">
        <v>1</v>
      </c>
      <c r="T37" s="48" t="s">
        <v>16</v>
      </c>
      <c r="U37" s="48" t="s">
        <v>457</v>
      </c>
    </row>
    <row r="38">
      <c r="A38" s="52" t="s">
        <v>359</v>
      </c>
      <c r="B38" s="53">
        <v>44816.0</v>
      </c>
      <c r="C38" s="54">
        <v>2022.0</v>
      </c>
      <c r="D38" s="53">
        <v>44785.0</v>
      </c>
      <c r="E38" s="53">
        <v>44793.0</v>
      </c>
      <c r="F38" s="54">
        <v>8.0</v>
      </c>
      <c r="G38" s="54">
        <v>35.0</v>
      </c>
      <c r="H38" s="54">
        <v>4.375</v>
      </c>
      <c r="I38" s="54">
        <v>44.99</v>
      </c>
      <c r="J38" s="54">
        <v>1.2854285714285716</v>
      </c>
      <c r="K38" s="55" t="b">
        <v>0</v>
      </c>
      <c r="L38" s="52" t="s">
        <v>426</v>
      </c>
      <c r="M38" s="52" t="s">
        <v>441</v>
      </c>
      <c r="N38" s="52" t="s">
        <v>295</v>
      </c>
      <c r="O38" s="52" t="s">
        <v>432</v>
      </c>
      <c r="P38" s="52" t="s">
        <v>19</v>
      </c>
      <c r="Q38" s="52" t="s">
        <v>418</v>
      </c>
      <c r="R38" s="55" t="b">
        <v>0</v>
      </c>
      <c r="S38" s="55" t="b">
        <v>0</v>
      </c>
      <c r="T38" s="52" t="s">
        <v>16</v>
      </c>
      <c r="U38" s="52" t="s">
        <v>458</v>
      </c>
    </row>
    <row r="39">
      <c r="A39" s="48" t="s">
        <v>276</v>
      </c>
      <c r="B39" s="49">
        <v>43431.0</v>
      </c>
      <c r="C39" s="50">
        <v>2022.0</v>
      </c>
      <c r="D39" s="49">
        <v>44811.0</v>
      </c>
      <c r="E39" s="49">
        <v>44816.0</v>
      </c>
      <c r="F39" s="50">
        <v>33.0</v>
      </c>
      <c r="G39" s="50">
        <v>97.0</v>
      </c>
      <c r="H39" s="50">
        <v>2.9393939393939394</v>
      </c>
      <c r="I39" s="50">
        <v>5.49</v>
      </c>
      <c r="J39" s="50">
        <v>0.056597938144329896</v>
      </c>
      <c r="K39" s="51" t="b">
        <v>1</v>
      </c>
      <c r="L39" s="48" t="s">
        <v>427</v>
      </c>
      <c r="M39" s="48" t="s">
        <v>421</v>
      </c>
      <c r="N39" s="48" t="s">
        <v>194</v>
      </c>
      <c r="O39" s="48" t="s">
        <v>419</v>
      </c>
      <c r="P39" s="48" t="s">
        <v>19</v>
      </c>
      <c r="Q39" s="48" t="s">
        <v>422</v>
      </c>
      <c r="R39" s="51" t="b">
        <v>0</v>
      </c>
      <c r="S39" s="51" t="b">
        <v>0</v>
      </c>
      <c r="T39" s="48" t="s">
        <v>16</v>
      </c>
      <c r="U39" s="48" t="s">
        <v>459</v>
      </c>
    </row>
    <row r="40">
      <c r="A40" s="52" t="s">
        <v>361</v>
      </c>
      <c r="B40" s="53">
        <v>44855.0</v>
      </c>
      <c r="C40" s="54">
        <v>2022.0</v>
      </c>
      <c r="D40" s="53">
        <v>44855.0</v>
      </c>
      <c r="E40" s="53">
        <v>44900.0</v>
      </c>
      <c r="F40" s="54">
        <v>48.0</v>
      </c>
      <c r="G40" s="54">
        <v>237.0</v>
      </c>
      <c r="H40" s="54">
        <v>4.9375</v>
      </c>
      <c r="I40" s="54">
        <v>49.99</v>
      </c>
      <c r="J40" s="54">
        <v>0.2109282700421941</v>
      </c>
      <c r="K40" s="55" t="b">
        <v>1</v>
      </c>
      <c r="L40" s="52" t="s">
        <v>427</v>
      </c>
      <c r="M40" s="52" t="s">
        <v>421</v>
      </c>
      <c r="N40" s="52" t="s">
        <v>194</v>
      </c>
      <c r="O40" s="52" t="s">
        <v>432</v>
      </c>
      <c r="P40" s="52" t="s">
        <v>19</v>
      </c>
      <c r="Q40" s="52" t="s">
        <v>423</v>
      </c>
      <c r="R40" s="55" t="b">
        <v>1</v>
      </c>
      <c r="S40" s="55" t="b">
        <v>1</v>
      </c>
      <c r="T40" s="52" t="s">
        <v>16</v>
      </c>
      <c r="U40" s="52" t="s">
        <v>460</v>
      </c>
    </row>
    <row r="41">
      <c r="A41" s="48" t="s">
        <v>350</v>
      </c>
      <c r="B41" s="49">
        <v>44566.0</v>
      </c>
      <c r="C41" s="50">
        <v>2022.0</v>
      </c>
      <c r="D41" s="49">
        <v>44901.0</v>
      </c>
      <c r="E41" s="49">
        <v>44908.0</v>
      </c>
      <c r="F41" s="50">
        <v>7.0</v>
      </c>
      <c r="G41" s="50">
        <v>18.0</v>
      </c>
      <c r="H41" s="50">
        <v>2.5714285714285716</v>
      </c>
      <c r="I41" s="50">
        <v>7.13</v>
      </c>
      <c r="J41" s="50">
        <v>0.3961111111111111</v>
      </c>
      <c r="K41" s="51" t="b">
        <v>1</v>
      </c>
      <c r="L41" s="48" t="s">
        <v>15</v>
      </c>
      <c r="M41" s="48" t="s">
        <v>449</v>
      </c>
      <c r="N41" s="48" t="s">
        <v>27</v>
      </c>
      <c r="O41" s="48" t="s">
        <v>419</v>
      </c>
      <c r="P41" s="48" t="s">
        <v>19</v>
      </c>
      <c r="Q41" s="48" t="s">
        <v>422</v>
      </c>
      <c r="R41" s="51" t="b">
        <v>0</v>
      </c>
      <c r="S41" s="51" t="b">
        <v>0</v>
      </c>
      <c r="T41" s="48" t="s">
        <v>16</v>
      </c>
      <c r="U41" s="48" t="s">
        <v>461</v>
      </c>
    </row>
    <row r="42">
      <c r="A42" s="52" t="s">
        <v>362</v>
      </c>
      <c r="B42" s="53">
        <v>44908.0</v>
      </c>
      <c r="C42" s="54">
        <v>2022.0</v>
      </c>
      <c r="D42" s="53">
        <v>44908.0</v>
      </c>
      <c r="E42" s="53">
        <v>44923.0</v>
      </c>
      <c r="F42" s="54">
        <v>15.0</v>
      </c>
      <c r="G42" s="54">
        <v>43.0</v>
      </c>
      <c r="H42" s="54">
        <v>2.8666666666666667</v>
      </c>
      <c r="I42" s="54">
        <v>39.99</v>
      </c>
      <c r="J42" s="54">
        <v>0.93</v>
      </c>
      <c r="K42" s="55" t="b">
        <v>0</v>
      </c>
      <c r="L42" s="52" t="s">
        <v>427</v>
      </c>
      <c r="M42" s="52" t="s">
        <v>416</v>
      </c>
      <c r="N42" s="52" t="s">
        <v>194</v>
      </c>
      <c r="O42" s="52" t="s">
        <v>432</v>
      </c>
      <c r="P42" s="52" t="s">
        <v>19</v>
      </c>
      <c r="Q42" s="52" t="s">
        <v>418</v>
      </c>
      <c r="R42" s="55" t="b">
        <v>0</v>
      </c>
      <c r="S42" s="55" t="b">
        <v>1</v>
      </c>
      <c r="T42" s="52" t="s">
        <v>16</v>
      </c>
      <c r="U42" s="52" t="s">
        <v>462</v>
      </c>
    </row>
    <row r="43">
      <c r="A43" s="48" t="s">
        <v>329</v>
      </c>
      <c r="B43" s="49">
        <v>44135.0</v>
      </c>
      <c r="C43" s="50">
        <v>2023.0</v>
      </c>
      <c r="D43" s="49">
        <v>44927.0</v>
      </c>
      <c r="E43" s="49">
        <v>44933.0</v>
      </c>
      <c r="F43" s="50">
        <v>6.0</v>
      </c>
      <c r="G43" s="50">
        <v>40.0</v>
      </c>
      <c r="H43" s="50">
        <v>6.666666666666667</v>
      </c>
      <c r="I43" s="50">
        <v>27.49</v>
      </c>
      <c r="J43" s="50">
        <v>0.6872499999999999</v>
      </c>
      <c r="K43" s="51" t="b">
        <v>0</v>
      </c>
      <c r="L43" s="48" t="s">
        <v>427</v>
      </c>
      <c r="M43" s="48" t="s">
        <v>416</v>
      </c>
      <c r="N43" s="48" t="s">
        <v>18</v>
      </c>
      <c r="O43" s="48" t="s">
        <v>419</v>
      </c>
      <c r="P43" s="48" t="s">
        <v>19</v>
      </c>
      <c r="Q43" s="48" t="s">
        <v>423</v>
      </c>
      <c r="R43" s="51" t="b">
        <v>1</v>
      </c>
      <c r="S43" s="51" t="b">
        <v>0</v>
      </c>
      <c r="T43" s="48" t="s">
        <v>39</v>
      </c>
      <c r="U43" s="48" t="s">
        <v>463</v>
      </c>
    </row>
    <row r="44">
      <c r="A44" s="52" t="s">
        <v>350</v>
      </c>
      <c r="B44" s="53">
        <v>44566.0</v>
      </c>
      <c r="C44" s="54">
        <v>2023.0</v>
      </c>
      <c r="D44" s="53">
        <v>44933.0</v>
      </c>
      <c r="E44" s="53">
        <v>44938.0</v>
      </c>
      <c r="F44" s="54">
        <v>5.0</v>
      </c>
      <c r="G44" s="54">
        <v>12.899999999999999</v>
      </c>
      <c r="H44" s="54">
        <v>2.5799999999999996</v>
      </c>
      <c r="I44" s="54">
        <v>7.13</v>
      </c>
      <c r="J44" s="54">
        <v>0.5527131782945737</v>
      </c>
      <c r="K44" s="55" t="b">
        <v>1</v>
      </c>
      <c r="L44" s="52" t="s">
        <v>427</v>
      </c>
      <c r="M44" s="52" t="s">
        <v>449</v>
      </c>
      <c r="N44" s="52" t="s">
        <v>27</v>
      </c>
      <c r="O44" s="52" t="s">
        <v>419</v>
      </c>
      <c r="P44" s="52" t="s">
        <v>19</v>
      </c>
      <c r="Q44" s="52" t="s">
        <v>422</v>
      </c>
      <c r="R44" s="55" t="b">
        <v>0</v>
      </c>
      <c r="S44" s="55" t="b">
        <v>0</v>
      </c>
      <c r="T44" s="52" t="s">
        <v>16</v>
      </c>
      <c r="U44" s="52"/>
    </row>
    <row r="45">
      <c r="A45" s="48" t="s">
        <v>113</v>
      </c>
      <c r="B45" s="49">
        <v>41810.0</v>
      </c>
      <c r="C45" s="50">
        <v>2023.0</v>
      </c>
      <c r="D45" s="49">
        <v>44939.0</v>
      </c>
      <c r="E45" s="49">
        <v>44945.0</v>
      </c>
      <c r="F45" s="50">
        <v>10.0</v>
      </c>
      <c r="G45" s="50">
        <v>61.0</v>
      </c>
      <c r="H45" s="50">
        <v>6.1</v>
      </c>
      <c r="I45" s="50">
        <v>4.99</v>
      </c>
      <c r="J45" s="50">
        <v>0.08180327868852459</v>
      </c>
      <c r="K45" s="51" t="b">
        <v>0</v>
      </c>
      <c r="L45" s="48" t="s">
        <v>427</v>
      </c>
      <c r="M45" s="48" t="s">
        <v>449</v>
      </c>
      <c r="N45" s="48" t="s">
        <v>27</v>
      </c>
      <c r="O45" s="48" t="s">
        <v>419</v>
      </c>
      <c r="P45" s="48" t="s">
        <v>19</v>
      </c>
      <c r="Q45" s="48" t="s">
        <v>422</v>
      </c>
      <c r="R45" s="51" t="b">
        <v>0</v>
      </c>
      <c r="S45" s="51" t="b">
        <v>1</v>
      </c>
      <c r="T45" s="48" t="s">
        <v>21</v>
      </c>
      <c r="U45" s="48" t="s">
        <v>464</v>
      </c>
    </row>
    <row r="46">
      <c r="A46" s="52" t="s">
        <v>364</v>
      </c>
      <c r="B46" s="53">
        <v>44945.0</v>
      </c>
      <c r="C46" s="54">
        <v>2023.0</v>
      </c>
      <c r="D46" s="53">
        <v>44946.0</v>
      </c>
      <c r="E46" s="53">
        <v>44964.0</v>
      </c>
      <c r="F46" s="54">
        <v>27.0</v>
      </c>
      <c r="G46" s="54">
        <v>138.0</v>
      </c>
      <c r="H46" s="54">
        <v>5.111111111111111</v>
      </c>
      <c r="I46" s="54">
        <v>17.99</v>
      </c>
      <c r="J46" s="54">
        <v>0.1303623188405797</v>
      </c>
      <c r="K46" s="55" t="b">
        <v>1</v>
      </c>
      <c r="L46" s="52" t="s">
        <v>427</v>
      </c>
      <c r="M46" s="52" t="s">
        <v>416</v>
      </c>
      <c r="N46" s="52" t="s">
        <v>194</v>
      </c>
      <c r="O46" s="52" t="s">
        <v>432</v>
      </c>
      <c r="P46" s="52" t="s">
        <v>19</v>
      </c>
      <c r="Q46" s="52" t="s">
        <v>20</v>
      </c>
      <c r="R46" s="55" t="b">
        <v>1</v>
      </c>
      <c r="S46" s="55" t="b">
        <v>0</v>
      </c>
      <c r="T46" s="52" t="s">
        <v>16</v>
      </c>
      <c r="U46" s="52" t="s">
        <v>465</v>
      </c>
    </row>
    <row r="47">
      <c r="A47" s="48" t="s">
        <v>366</v>
      </c>
      <c r="B47" s="49">
        <v>44964.0</v>
      </c>
      <c r="C47" s="50">
        <v>2023.0</v>
      </c>
      <c r="D47" s="49">
        <v>44965.0</v>
      </c>
      <c r="E47" s="49">
        <v>44979.0</v>
      </c>
      <c r="F47" s="50">
        <v>20.0</v>
      </c>
      <c r="G47" s="50">
        <v>101.0</v>
      </c>
      <c r="H47" s="50">
        <v>5.05</v>
      </c>
      <c r="I47" s="50">
        <v>59.99</v>
      </c>
      <c r="J47" s="50">
        <v>0.5939603960396039</v>
      </c>
      <c r="K47" s="51" t="b">
        <v>0</v>
      </c>
      <c r="L47" s="48" t="s">
        <v>426</v>
      </c>
      <c r="M47" s="48" t="s">
        <v>416</v>
      </c>
      <c r="N47" s="48" t="s">
        <v>18</v>
      </c>
      <c r="O47" s="48" t="s">
        <v>432</v>
      </c>
      <c r="P47" s="48" t="s">
        <v>19</v>
      </c>
      <c r="Q47" s="48" t="s">
        <v>422</v>
      </c>
      <c r="R47" s="51" t="b">
        <v>0</v>
      </c>
      <c r="S47" s="51" t="b">
        <v>1</v>
      </c>
      <c r="T47" s="48" t="s">
        <v>16</v>
      </c>
      <c r="U47" s="48" t="s">
        <v>466</v>
      </c>
    </row>
    <row r="48">
      <c r="A48" s="52" t="s">
        <v>367</v>
      </c>
      <c r="B48" s="53">
        <v>44981.0</v>
      </c>
      <c r="C48" s="54">
        <v>2023.0</v>
      </c>
      <c r="D48" s="53">
        <v>44981.0</v>
      </c>
      <c r="E48" s="53">
        <v>44995.0</v>
      </c>
      <c r="F48" s="54">
        <v>15.0</v>
      </c>
      <c r="G48" s="54">
        <v>68.0</v>
      </c>
      <c r="H48" s="54">
        <v>4.533333333333333</v>
      </c>
      <c r="I48" s="54">
        <v>91.98</v>
      </c>
      <c r="J48" s="54">
        <v>1.3526470588235295</v>
      </c>
      <c r="K48" s="55" t="b">
        <v>0</v>
      </c>
      <c r="L48" s="52" t="s">
        <v>20</v>
      </c>
      <c r="M48" s="52" t="s">
        <v>416</v>
      </c>
      <c r="N48" s="52" t="s">
        <v>368</v>
      </c>
      <c r="O48" s="52" t="s">
        <v>432</v>
      </c>
      <c r="P48" s="52" t="s">
        <v>19</v>
      </c>
      <c r="Q48" s="52" t="s">
        <v>418</v>
      </c>
      <c r="R48" s="55" t="b">
        <v>1</v>
      </c>
      <c r="S48" s="55" t="b">
        <v>0</v>
      </c>
      <c r="T48" s="52" t="s">
        <v>16</v>
      </c>
      <c r="U48" s="52" t="s">
        <v>467</v>
      </c>
    </row>
    <row r="49">
      <c r="A49" s="48" t="s">
        <v>343</v>
      </c>
      <c r="B49" s="49">
        <v>44552.0</v>
      </c>
      <c r="C49" s="50">
        <v>2023.0</v>
      </c>
      <c r="D49" s="49">
        <v>45020.0</v>
      </c>
      <c r="E49" s="49">
        <v>45025.0</v>
      </c>
      <c r="F49" s="50">
        <v>5.0</v>
      </c>
      <c r="G49" s="50">
        <v>31.0</v>
      </c>
      <c r="H49" s="50">
        <v>6.2</v>
      </c>
      <c r="I49" s="50">
        <v>2.57</v>
      </c>
      <c r="J49" s="50">
        <v>0.08290322580645161</v>
      </c>
      <c r="K49" s="51" t="b">
        <v>0</v>
      </c>
      <c r="L49" s="48" t="s">
        <v>15</v>
      </c>
      <c r="M49" s="48" t="s">
        <v>441</v>
      </c>
      <c r="N49" s="48" t="s">
        <v>18</v>
      </c>
      <c r="O49" s="48" t="s">
        <v>417</v>
      </c>
      <c r="P49" s="48" t="s">
        <v>19</v>
      </c>
      <c r="Q49" s="48" t="s">
        <v>422</v>
      </c>
      <c r="R49" s="51" t="b">
        <v>0</v>
      </c>
      <c r="S49" s="51" t="b">
        <v>0</v>
      </c>
      <c r="T49" s="48" t="s">
        <v>16</v>
      </c>
      <c r="U49" s="48" t="s">
        <v>468</v>
      </c>
    </row>
    <row r="50">
      <c r="A50" s="52" t="s">
        <v>204</v>
      </c>
      <c r="B50" s="53">
        <v>43150.0</v>
      </c>
      <c r="C50" s="54">
        <v>2023.0</v>
      </c>
      <c r="D50" s="53">
        <v>45026.0</v>
      </c>
      <c r="E50" s="53">
        <v>45028.0</v>
      </c>
      <c r="F50" s="54">
        <v>2.0</v>
      </c>
      <c r="G50" s="54">
        <v>16.0</v>
      </c>
      <c r="H50" s="54">
        <v>8.0</v>
      </c>
      <c r="I50" s="54">
        <v>2.49</v>
      </c>
      <c r="J50" s="54">
        <v>0.155625</v>
      </c>
      <c r="K50" s="55" t="b">
        <v>0</v>
      </c>
      <c r="L50" s="52" t="s">
        <v>15</v>
      </c>
      <c r="M50" s="52" t="s">
        <v>416</v>
      </c>
      <c r="N50" s="52" t="s">
        <v>27</v>
      </c>
      <c r="O50" s="52" t="s">
        <v>419</v>
      </c>
      <c r="P50" s="52" t="s">
        <v>19</v>
      </c>
      <c r="Q50" s="52" t="s">
        <v>422</v>
      </c>
      <c r="R50" s="55" t="b">
        <v>0</v>
      </c>
      <c r="S50" s="55" t="b">
        <v>0</v>
      </c>
      <c r="T50" s="52" t="s">
        <v>16</v>
      </c>
      <c r="U50" s="52"/>
    </row>
    <row r="51">
      <c r="A51" s="48" t="s">
        <v>277</v>
      </c>
      <c r="B51" s="49">
        <v>43431.0</v>
      </c>
      <c r="C51" s="50">
        <v>2023.0</v>
      </c>
      <c r="D51" s="49">
        <v>45029.0</v>
      </c>
      <c r="E51" s="49">
        <v>45043.0</v>
      </c>
      <c r="F51" s="50">
        <v>14.0</v>
      </c>
      <c r="G51" s="50">
        <v>50.0</v>
      </c>
      <c r="H51" s="50">
        <v>3.5714285714285716</v>
      </c>
      <c r="I51" s="50">
        <v>6.49</v>
      </c>
      <c r="J51" s="50">
        <v>0.1298</v>
      </c>
      <c r="K51" s="51" t="b">
        <v>0</v>
      </c>
      <c r="L51" s="48" t="s">
        <v>15</v>
      </c>
      <c r="M51" s="48" t="s">
        <v>425</v>
      </c>
      <c r="N51" s="48" t="s">
        <v>194</v>
      </c>
      <c r="O51" s="48" t="s">
        <v>419</v>
      </c>
      <c r="P51" s="48" t="s">
        <v>19</v>
      </c>
      <c r="Q51" s="48" t="s">
        <v>422</v>
      </c>
      <c r="R51" s="51" t="b">
        <v>1</v>
      </c>
      <c r="S51" s="51" t="b">
        <v>0</v>
      </c>
      <c r="T51" s="48" t="s">
        <v>16</v>
      </c>
      <c r="U51" s="48" t="s">
        <v>469</v>
      </c>
    </row>
    <row r="52">
      <c r="A52" s="52" t="s">
        <v>381</v>
      </c>
      <c r="B52" s="53">
        <v>45044.0</v>
      </c>
      <c r="C52" s="54">
        <v>2023.0</v>
      </c>
      <c r="D52" s="53">
        <v>45044.0</v>
      </c>
      <c r="E52" s="53">
        <v>45057.0</v>
      </c>
      <c r="F52" s="54">
        <v>13.0</v>
      </c>
      <c r="G52" s="54">
        <v>78.0</v>
      </c>
      <c r="H52" s="54">
        <v>6.0</v>
      </c>
      <c r="I52" s="54">
        <v>59.99</v>
      </c>
      <c r="J52" s="54">
        <v>0.7691025641025642</v>
      </c>
      <c r="K52" s="55" t="b">
        <v>0</v>
      </c>
      <c r="L52" s="52" t="s">
        <v>20</v>
      </c>
      <c r="M52" s="52" t="s">
        <v>449</v>
      </c>
      <c r="N52" s="52" t="s">
        <v>18</v>
      </c>
      <c r="O52" s="52" t="s">
        <v>432</v>
      </c>
      <c r="P52" s="52" t="s">
        <v>19</v>
      </c>
      <c r="Q52" s="52" t="s">
        <v>423</v>
      </c>
      <c r="R52" s="55" t="b">
        <v>1</v>
      </c>
      <c r="S52" s="55" t="b">
        <v>0</v>
      </c>
      <c r="T52" s="52" t="s">
        <v>39</v>
      </c>
      <c r="U52" s="52" t="s">
        <v>470</v>
      </c>
    </row>
    <row r="53">
      <c r="A53" s="48" t="s">
        <v>371</v>
      </c>
      <c r="B53" s="49">
        <v>45009.0</v>
      </c>
      <c r="C53" s="50">
        <v>2023.0</v>
      </c>
      <c r="D53" s="49">
        <v>45057.0</v>
      </c>
      <c r="E53" s="49">
        <v>45059.0</v>
      </c>
      <c r="F53" s="50">
        <v>2.0</v>
      </c>
      <c r="G53" s="50">
        <v>12.0</v>
      </c>
      <c r="H53" s="50">
        <v>6.0</v>
      </c>
      <c r="I53" s="50">
        <v>9.18</v>
      </c>
      <c r="J53" s="50">
        <v>0.765</v>
      </c>
      <c r="K53" s="51" t="b">
        <v>0</v>
      </c>
      <c r="L53" s="48" t="s">
        <v>20</v>
      </c>
      <c r="M53" s="48" t="s">
        <v>416</v>
      </c>
      <c r="N53" s="48" t="s">
        <v>38</v>
      </c>
      <c r="O53" s="48" t="s">
        <v>419</v>
      </c>
      <c r="P53" s="48" t="s">
        <v>439</v>
      </c>
      <c r="Q53" s="48" t="s">
        <v>423</v>
      </c>
      <c r="R53" s="51" t="b">
        <v>1</v>
      </c>
      <c r="S53" s="51" t="b">
        <v>0</v>
      </c>
      <c r="T53" s="48" t="s">
        <v>16</v>
      </c>
      <c r="U53" s="48" t="s">
        <v>471</v>
      </c>
    </row>
    <row r="54">
      <c r="A54" s="52" t="s">
        <v>193</v>
      </c>
      <c r="B54" s="53">
        <v>43103.0</v>
      </c>
      <c r="C54" s="54">
        <v>2023.0</v>
      </c>
      <c r="D54" s="53">
        <v>45079.0</v>
      </c>
      <c r="E54" s="53">
        <v>45089.0</v>
      </c>
      <c r="F54" s="54">
        <v>16.0</v>
      </c>
      <c r="G54" s="54">
        <v>73.0</v>
      </c>
      <c r="H54" s="54">
        <v>4.5625</v>
      </c>
      <c r="I54" s="54">
        <v>6.49</v>
      </c>
      <c r="J54" s="54">
        <v>0.0889041095890411</v>
      </c>
      <c r="K54" s="55" t="b">
        <v>1</v>
      </c>
      <c r="L54" s="52" t="s">
        <v>15</v>
      </c>
      <c r="M54" s="52" t="s">
        <v>421</v>
      </c>
      <c r="N54" s="52" t="s">
        <v>194</v>
      </c>
      <c r="O54" s="52" t="s">
        <v>419</v>
      </c>
      <c r="P54" s="52" t="s">
        <v>19</v>
      </c>
      <c r="Q54" s="52" t="s">
        <v>422</v>
      </c>
      <c r="R54" s="55" t="b">
        <v>1</v>
      </c>
      <c r="S54" s="55" t="b">
        <v>0</v>
      </c>
      <c r="T54" s="52" t="s">
        <v>16</v>
      </c>
      <c r="U54" s="52" t="s">
        <v>472</v>
      </c>
    </row>
    <row r="55">
      <c r="A55" s="48" t="s">
        <v>31</v>
      </c>
      <c r="B55" s="49">
        <v>41100.0</v>
      </c>
      <c r="C55" s="50">
        <v>2023.0</v>
      </c>
      <c r="D55" s="49">
        <v>45066.0</v>
      </c>
      <c r="E55" s="49">
        <v>45078.0</v>
      </c>
      <c r="F55" s="50">
        <v>9.0</v>
      </c>
      <c r="G55" s="50">
        <v>59.2</v>
      </c>
      <c r="H55" s="50">
        <v>6.577777777777778</v>
      </c>
      <c r="I55" s="50">
        <v>14.93</v>
      </c>
      <c r="J55" s="50">
        <v>0.2521959459459459</v>
      </c>
      <c r="K55" s="51" t="b">
        <v>0</v>
      </c>
      <c r="L55" s="48" t="s">
        <v>15</v>
      </c>
      <c r="M55" s="48" t="s">
        <v>416</v>
      </c>
      <c r="N55" s="48" t="s">
        <v>14</v>
      </c>
      <c r="O55" s="48" t="s">
        <v>419</v>
      </c>
      <c r="P55" s="48" t="s">
        <v>473</v>
      </c>
      <c r="Q55" s="48" t="s">
        <v>422</v>
      </c>
      <c r="R55" s="51" t="b">
        <v>0</v>
      </c>
      <c r="S55" s="51" t="b">
        <v>1</v>
      </c>
      <c r="T55" s="48" t="s">
        <v>16</v>
      </c>
      <c r="U55" s="48" t="s">
        <v>474</v>
      </c>
    </row>
    <row r="56">
      <c r="A56" s="52" t="s">
        <v>382</v>
      </c>
      <c r="B56" s="53">
        <v>45069.0</v>
      </c>
      <c r="C56" s="54">
        <v>2023.0</v>
      </c>
      <c r="D56" s="53">
        <v>45069.0</v>
      </c>
      <c r="E56" s="53">
        <v>45077.0</v>
      </c>
      <c r="F56" s="54">
        <v>8.0</v>
      </c>
      <c r="G56" s="54">
        <v>37.0</v>
      </c>
      <c r="H56" s="54">
        <v>4.625</v>
      </c>
      <c r="I56" s="54">
        <v>17.99</v>
      </c>
      <c r="J56" s="54">
        <v>0.4862162162162162</v>
      </c>
      <c r="K56" s="55" t="b">
        <v>0</v>
      </c>
      <c r="L56" s="52" t="s">
        <v>15</v>
      </c>
      <c r="M56" s="52" t="s">
        <v>449</v>
      </c>
      <c r="N56" s="52" t="s">
        <v>27</v>
      </c>
      <c r="O56" s="52" t="s">
        <v>432</v>
      </c>
      <c r="P56" s="52" t="s">
        <v>19</v>
      </c>
      <c r="Q56" s="52" t="s">
        <v>422</v>
      </c>
      <c r="R56" s="55" t="b">
        <v>0</v>
      </c>
      <c r="S56" s="55" t="b">
        <v>0</v>
      </c>
      <c r="T56" s="52" t="s">
        <v>16</v>
      </c>
      <c r="U56" s="52" t="s">
        <v>475</v>
      </c>
    </row>
    <row r="57">
      <c r="A57" s="48" t="s">
        <v>177</v>
      </c>
      <c r="B57" s="49">
        <v>43083.0</v>
      </c>
      <c r="C57" s="50">
        <v>2023.0</v>
      </c>
      <c r="D57" s="49">
        <v>45090.0</v>
      </c>
      <c r="E57" s="49">
        <v>45096.0</v>
      </c>
      <c r="F57" s="50">
        <v>6.0</v>
      </c>
      <c r="G57" s="50">
        <v>21.0</v>
      </c>
      <c r="H57" s="50">
        <v>3.5</v>
      </c>
      <c r="I57" s="50">
        <v>1.78</v>
      </c>
      <c r="J57" s="50">
        <v>0.08476190476190476</v>
      </c>
      <c r="K57" s="51" t="b">
        <v>0</v>
      </c>
      <c r="L57" s="48" t="s">
        <v>15</v>
      </c>
      <c r="M57" s="48" t="s">
        <v>421</v>
      </c>
      <c r="N57" s="48" t="s">
        <v>109</v>
      </c>
      <c r="O57" s="48" t="s">
        <v>419</v>
      </c>
      <c r="P57" s="48" t="s">
        <v>19</v>
      </c>
      <c r="Q57" s="48" t="s">
        <v>422</v>
      </c>
      <c r="R57" s="51" t="b">
        <v>0</v>
      </c>
      <c r="S57" s="51" t="b">
        <v>1</v>
      </c>
      <c r="T57" s="48" t="s">
        <v>16</v>
      </c>
      <c r="U57" s="48"/>
    </row>
    <row r="58">
      <c r="A58" s="52" t="s">
        <v>128</v>
      </c>
      <c r="B58" s="53">
        <v>42127.0</v>
      </c>
      <c r="C58" s="54">
        <v>2023.0</v>
      </c>
      <c r="D58" s="53">
        <v>45097.0</v>
      </c>
      <c r="E58" s="53">
        <v>45125.0</v>
      </c>
      <c r="F58" s="54">
        <v>38.0</v>
      </c>
      <c r="G58" s="54">
        <v>181.0</v>
      </c>
      <c r="H58" s="54">
        <v>4.7631578947368425</v>
      </c>
      <c r="I58" s="54">
        <v>4.99</v>
      </c>
      <c r="J58" s="54">
        <v>0.027569060773480664</v>
      </c>
      <c r="K58" s="55" t="b">
        <v>0</v>
      </c>
      <c r="L58" s="52" t="s">
        <v>15</v>
      </c>
      <c r="M58" s="52" t="s">
        <v>416</v>
      </c>
      <c r="N58" s="52" t="s">
        <v>24</v>
      </c>
      <c r="O58" s="52" t="s">
        <v>417</v>
      </c>
      <c r="P58" s="52" t="s">
        <v>19</v>
      </c>
      <c r="Q58" s="52" t="s">
        <v>422</v>
      </c>
      <c r="R58" s="55" t="b">
        <v>0</v>
      </c>
      <c r="S58" s="55" t="b">
        <v>1</v>
      </c>
      <c r="T58" s="52" t="s">
        <v>16</v>
      </c>
      <c r="U58" s="52" t="s">
        <v>476</v>
      </c>
    </row>
    <row r="59">
      <c r="A59" s="48" t="s">
        <v>112</v>
      </c>
      <c r="B59" s="49">
        <v>41784.0</v>
      </c>
      <c r="C59" s="50">
        <v>2023.0</v>
      </c>
      <c r="D59" s="49">
        <v>45126.0</v>
      </c>
      <c r="E59" s="49">
        <v>45128.0</v>
      </c>
      <c r="F59" s="50">
        <v>2.0</v>
      </c>
      <c r="G59" s="50">
        <v>12.0</v>
      </c>
      <c r="H59" s="50">
        <v>6.0</v>
      </c>
      <c r="I59" s="50">
        <v>6.99</v>
      </c>
      <c r="J59" s="50">
        <v>0.5825</v>
      </c>
      <c r="K59" s="51" t="b">
        <v>0</v>
      </c>
      <c r="L59" s="48" t="s">
        <v>15</v>
      </c>
      <c r="M59" s="48" t="s">
        <v>441</v>
      </c>
      <c r="N59" s="48" t="s">
        <v>81</v>
      </c>
      <c r="O59" s="48" t="s">
        <v>419</v>
      </c>
      <c r="P59" s="48" t="s">
        <v>19</v>
      </c>
      <c r="Q59" s="48" t="s">
        <v>423</v>
      </c>
      <c r="R59" s="51" t="b">
        <v>0</v>
      </c>
      <c r="S59" s="51" t="b">
        <v>1</v>
      </c>
      <c r="T59" s="48" t="s">
        <v>16</v>
      </c>
      <c r="U59" s="48" t="s">
        <v>477</v>
      </c>
    </row>
    <row r="60">
      <c r="A60" s="52" t="s">
        <v>152</v>
      </c>
      <c r="B60" s="53">
        <v>42857.0</v>
      </c>
      <c r="C60" s="54">
        <v>2023.0</v>
      </c>
      <c r="D60" s="53">
        <v>45128.0</v>
      </c>
      <c r="E60" s="53">
        <v>45130.0</v>
      </c>
      <c r="F60" s="54">
        <v>2.0</v>
      </c>
      <c r="G60" s="54">
        <v>13.0</v>
      </c>
      <c r="H60" s="54">
        <v>6.5</v>
      </c>
      <c r="I60" s="54">
        <v>4.31</v>
      </c>
      <c r="J60" s="54">
        <v>0.3315384615384615</v>
      </c>
      <c r="K60" s="55" t="b">
        <v>0</v>
      </c>
      <c r="L60" s="52" t="s">
        <v>15</v>
      </c>
      <c r="M60" s="52" t="s">
        <v>441</v>
      </c>
      <c r="N60" s="52" t="s">
        <v>153</v>
      </c>
      <c r="O60" s="52" t="s">
        <v>419</v>
      </c>
      <c r="P60" s="52" t="s">
        <v>439</v>
      </c>
      <c r="Q60" s="52" t="s">
        <v>418</v>
      </c>
      <c r="R60" s="55" t="b">
        <v>0</v>
      </c>
      <c r="S60" s="55" t="b">
        <v>0</v>
      </c>
      <c r="T60" s="52" t="s">
        <v>16</v>
      </c>
      <c r="U60" s="52" t="s">
        <v>478</v>
      </c>
    </row>
    <row r="61">
      <c r="A61" s="48" t="s">
        <v>304</v>
      </c>
      <c r="B61" s="49">
        <v>43770.0</v>
      </c>
      <c r="C61" s="50">
        <v>2023.0</v>
      </c>
      <c r="D61" s="49">
        <v>45131.0</v>
      </c>
      <c r="E61" s="49">
        <v>45135.0</v>
      </c>
      <c r="F61" s="50">
        <v>4.0</v>
      </c>
      <c r="G61" s="50">
        <v>18.0</v>
      </c>
      <c r="H61" s="50">
        <v>4.5</v>
      </c>
      <c r="I61" s="50">
        <v>6.19</v>
      </c>
      <c r="J61" s="50">
        <v>0.3438888888888889</v>
      </c>
      <c r="K61" s="51" t="b">
        <v>0</v>
      </c>
      <c r="L61" s="48" t="s">
        <v>20</v>
      </c>
      <c r="M61" s="48" t="s">
        <v>441</v>
      </c>
      <c r="N61" s="48" t="s">
        <v>18</v>
      </c>
      <c r="O61" s="48" t="s">
        <v>419</v>
      </c>
      <c r="P61" s="48" t="s">
        <v>19</v>
      </c>
      <c r="Q61" s="48" t="s">
        <v>422</v>
      </c>
      <c r="R61" s="51" t="b">
        <v>0</v>
      </c>
      <c r="S61" s="51" t="b">
        <v>0</v>
      </c>
      <c r="T61" s="48" t="s">
        <v>16</v>
      </c>
      <c r="U61" s="48" t="s">
        <v>479</v>
      </c>
    </row>
    <row r="62">
      <c r="A62" s="52" t="s">
        <v>383</v>
      </c>
      <c r="B62" s="53">
        <v>45140.0</v>
      </c>
      <c r="C62" s="54">
        <v>2023.0</v>
      </c>
      <c r="D62" s="53">
        <v>45142.0</v>
      </c>
      <c r="E62" s="53">
        <v>45142.0</v>
      </c>
      <c r="F62" s="54">
        <v>1.0</v>
      </c>
      <c r="G62" s="54">
        <v>6.0</v>
      </c>
      <c r="H62" s="54">
        <v>6.9</v>
      </c>
      <c r="I62" s="54">
        <v>5.3100000000000005</v>
      </c>
      <c r="J62" s="54">
        <v>0.8850000000000001</v>
      </c>
      <c r="K62" s="55" t="b">
        <v>0</v>
      </c>
      <c r="L62" s="52" t="s">
        <v>15</v>
      </c>
      <c r="M62" s="52" t="s">
        <v>441</v>
      </c>
      <c r="N62" s="52" t="s">
        <v>44</v>
      </c>
      <c r="O62" s="52" t="s">
        <v>419</v>
      </c>
      <c r="P62" s="52" t="s">
        <v>19</v>
      </c>
      <c r="Q62" s="52" t="s">
        <v>418</v>
      </c>
      <c r="R62" s="55" t="b">
        <v>0</v>
      </c>
      <c r="S62" s="55" t="b">
        <v>0</v>
      </c>
      <c r="T62" s="52" t="s">
        <v>16</v>
      </c>
      <c r="U62" s="52"/>
    </row>
    <row r="63">
      <c r="A63" s="48" t="s">
        <v>370</v>
      </c>
      <c r="B63" s="49">
        <v>45008.0</v>
      </c>
      <c r="C63" s="50">
        <v>2023.0</v>
      </c>
      <c r="D63" s="49">
        <v>45151.0</v>
      </c>
      <c r="E63" s="49">
        <v>45159.0</v>
      </c>
      <c r="F63" s="50">
        <v>9.0</v>
      </c>
      <c r="G63" s="50">
        <v>36.0</v>
      </c>
      <c r="H63" s="50">
        <v>4.0</v>
      </c>
      <c r="I63" s="50">
        <v>14.39</v>
      </c>
      <c r="J63" s="50">
        <v>0.39972222222222226</v>
      </c>
      <c r="K63" s="51" t="b">
        <v>0</v>
      </c>
      <c r="L63" s="48" t="s">
        <v>15</v>
      </c>
      <c r="M63" s="48" t="s">
        <v>416</v>
      </c>
      <c r="N63" s="48" t="s">
        <v>38</v>
      </c>
      <c r="O63" s="48" t="s">
        <v>419</v>
      </c>
      <c r="P63" s="48" t="s">
        <v>19</v>
      </c>
      <c r="Q63" s="48" t="s">
        <v>423</v>
      </c>
      <c r="R63" s="51" t="b">
        <v>1</v>
      </c>
      <c r="S63" s="51" t="b">
        <v>0</v>
      </c>
      <c r="T63" s="48" t="s">
        <v>16</v>
      </c>
      <c r="U63" s="48" t="s">
        <v>480</v>
      </c>
    </row>
    <row r="64">
      <c r="A64" s="52" t="s">
        <v>385</v>
      </c>
      <c r="B64" s="53">
        <v>45170.0</v>
      </c>
      <c r="C64" s="54">
        <v>2023.0</v>
      </c>
      <c r="D64" s="53">
        <v>45170.0</v>
      </c>
      <c r="E64" s="53">
        <v>45208.0</v>
      </c>
      <c r="F64" s="54">
        <v>18.0</v>
      </c>
      <c r="G64" s="54">
        <v>177.0</v>
      </c>
      <c r="H64" s="54">
        <v>9.87</v>
      </c>
      <c r="I64" s="54">
        <v>85.99</v>
      </c>
      <c r="J64" s="54">
        <v>0.485819209039548</v>
      </c>
      <c r="K64" s="55" t="b">
        <v>0</v>
      </c>
      <c r="L64" s="52" t="s">
        <v>20</v>
      </c>
      <c r="M64" s="52" t="s">
        <v>449</v>
      </c>
      <c r="N64" s="52" t="s">
        <v>18</v>
      </c>
      <c r="O64" s="52" t="s">
        <v>432</v>
      </c>
      <c r="P64" s="52" t="s">
        <v>19</v>
      </c>
      <c r="Q64" s="52" t="s">
        <v>422</v>
      </c>
      <c r="R64" s="55" t="b">
        <v>1</v>
      </c>
      <c r="S64" s="55" t="b">
        <v>1</v>
      </c>
      <c r="T64" s="52" t="s">
        <v>16</v>
      </c>
      <c r="U64" s="52" t="s">
        <v>481</v>
      </c>
    </row>
    <row r="65">
      <c r="A65" s="48" t="s">
        <v>386</v>
      </c>
      <c r="B65" s="49">
        <v>45184.0</v>
      </c>
      <c r="C65" s="50">
        <v>2023.0</v>
      </c>
      <c r="D65" s="49">
        <v>45185.0</v>
      </c>
      <c r="E65" s="49">
        <v>45191.0</v>
      </c>
      <c r="F65" s="50">
        <v>6.0</v>
      </c>
      <c r="G65" s="50">
        <v>32.0</v>
      </c>
      <c r="H65" s="50">
        <v>5.333333333333333</v>
      </c>
      <c r="I65" s="50">
        <v>59.99</v>
      </c>
      <c r="J65" s="50">
        <v>1.8746875</v>
      </c>
      <c r="K65" s="51" t="b">
        <v>1</v>
      </c>
      <c r="L65" s="48" t="s">
        <v>15</v>
      </c>
      <c r="M65" s="48" t="s">
        <v>441</v>
      </c>
      <c r="N65" s="48" t="s">
        <v>295</v>
      </c>
      <c r="O65" s="48" t="s">
        <v>432</v>
      </c>
      <c r="P65" s="48" t="s">
        <v>19</v>
      </c>
      <c r="Q65" s="48" t="s">
        <v>418</v>
      </c>
      <c r="R65" s="51" t="b">
        <v>1</v>
      </c>
      <c r="S65" s="51" t="b">
        <v>0</v>
      </c>
      <c r="T65" s="48" t="s">
        <v>16</v>
      </c>
      <c r="U65" s="48" t="s">
        <v>482</v>
      </c>
    </row>
    <row r="66">
      <c r="A66" s="52" t="s">
        <v>318</v>
      </c>
      <c r="B66" s="53">
        <v>43869.0</v>
      </c>
      <c r="C66" s="54">
        <v>2023.0</v>
      </c>
      <c r="D66" s="53">
        <v>45195.0</v>
      </c>
      <c r="E66" s="53">
        <v>45205.0</v>
      </c>
      <c r="F66" s="54">
        <v>6.0</v>
      </c>
      <c r="G66" s="54">
        <v>56.0</v>
      </c>
      <c r="H66" s="54">
        <v>9.37</v>
      </c>
      <c r="I66" s="54">
        <v>24.99</v>
      </c>
      <c r="J66" s="54">
        <v>0.44625</v>
      </c>
      <c r="K66" s="55" t="b">
        <v>0</v>
      </c>
      <c r="L66" s="52" t="s">
        <v>15</v>
      </c>
      <c r="M66" s="52" t="s">
        <v>416</v>
      </c>
      <c r="N66" s="52" t="s">
        <v>24</v>
      </c>
      <c r="O66" s="52" t="s">
        <v>432</v>
      </c>
      <c r="P66" s="52" t="s">
        <v>19</v>
      </c>
      <c r="Q66" s="52" t="s">
        <v>418</v>
      </c>
      <c r="R66" s="55" t="b">
        <v>0</v>
      </c>
      <c r="S66" s="55" t="b">
        <v>1</v>
      </c>
      <c r="T66" s="52" t="s">
        <v>16</v>
      </c>
      <c r="U66" s="52" t="s">
        <v>483</v>
      </c>
    </row>
    <row r="67">
      <c r="A67" s="48" t="s">
        <v>217</v>
      </c>
      <c r="B67" s="49">
        <v>43213.0</v>
      </c>
      <c r="C67" s="50">
        <v>2023.0</v>
      </c>
      <c r="D67" s="49">
        <v>45209.0</v>
      </c>
      <c r="E67" s="49">
        <v>45212.0</v>
      </c>
      <c r="F67" s="50">
        <v>3.0</v>
      </c>
      <c r="G67" s="50">
        <v>20.0</v>
      </c>
      <c r="H67" s="50">
        <v>6.666666666666667</v>
      </c>
      <c r="I67" s="50">
        <v>4.53</v>
      </c>
      <c r="J67" s="50">
        <v>0.2265</v>
      </c>
      <c r="K67" s="51" t="b">
        <v>0</v>
      </c>
      <c r="L67" s="48" t="s">
        <v>15</v>
      </c>
      <c r="M67" s="48" t="s">
        <v>441</v>
      </c>
      <c r="N67" s="48" t="s">
        <v>67</v>
      </c>
      <c r="O67" s="48" t="s">
        <v>419</v>
      </c>
      <c r="P67" s="48" t="s">
        <v>19</v>
      </c>
      <c r="Q67" s="48" t="s">
        <v>422</v>
      </c>
      <c r="R67" s="51" t="b">
        <v>0</v>
      </c>
      <c r="S67" s="51" t="b">
        <v>0</v>
      </c>
      <c r="T67" s="48" t="s">
        <v>16</v>
      </c>
      <c r="U67" s="48" t="s">
        <v>484</v>
      </c>
    </row>
    <row r="68">
      <c r="A68" s="52" t="s">
        <v>253</v>
      </c>
      <c r="B68" s="53">
        <v>43358.0</v>
      </c>
      <c r="C68" s="54">
        <v>2023.0</v>
      </c>
      <c r="D68" s="53">
        <v>45213.0</v>
      </c>
      <c r="E68" s="53">
        <v>45220.0</v>
      </c>
      <c r="F68" s="54">
        <v>7.0</v>
      </c>
      <c r="G68" s="54">
        <v>48.2</v>
      </c>
      <c r="H68" s="54">
        <v>6.885714285714286</v>
      </c>
      <c r="I68" s="54">
        <v>1.24</v>
      </c>
      <c r="J68" s="54">
        <v>0.025726141078838173</v>
      </c>
      <c r="K68" s="55" t="b">
        <v>0</v>
      </c>
      <c r="L68" s="52" t="s">
        <v>20</v>
      </c>
      <c r="M68" s="52" t="s">
        <v>441</v>
      </c>
      <c r="N68" s="52" t="s">
        <v>18</v>
      </c>
      <c r="O68" s="52" t="s">
        <v>419</v>
      </c>
      <c r="P68" s="52" t="s">
        <v>19</v>
      </c>
      <c r="Q68" s="52" t="s">
        <v>422</v>
      </c>
      <c r="R68" s="55" t="b">
        <v>0</v>
      </c>
      <c r="S68" s="55" t="b">
        <v>0</v>
      </c>
      <c r="T68" s="52" t="s">
        <v>16</v>
      </c>
      <c r="U68" s="52" t="s">
        <v>485</v>
      </c>
    </row>
    <row r="69">
      <c r="A69" s="48" t="s">
        <v>146</v>
      </c>
      <c r="B69" s="49">
        <v>42611.0</v>
      </c>
      <c r="C69" s="50">
        <v>2023.0</v>
      </c>
      <c r="D69" s="49">
        <v>45221.0</v>
      </c>
      <c r="E69" s="49">
        <v>45241.0</v>
      </c>
      <c r="F69" s="50">
        <v>20.0</v>
      </c>
      <c r="G69" s="50">
        <v>130.0</v>
      </c>
      <c r="H69" s="50">
        <v>6.5</v>
      </c>
      <c r="I69" s="50">
        <v>22.48</v>
      </c>
      <c r="J69" s="50">
        <v>0.17292307692307693</v>
      </c>
      <c r="K69" s="51" t="b">
        <v>0</v>
      </c>
      <c r="L69" s="48" t="s">
        <v>15</v>
      </c>
      <c r="M69" s="48" t="s">
        <v>416</v>
      </c>
      <c r="N69" s="48" t="s">
        <v>24</v>
      </c>
      <c r="O69" s="48" t="s">
        <v>417</v>
      </c>
      <c r="P69" s="48" t="s">
        <v>19</v>
      </c>
      <c r="Q69" s="48" t="s">
        <v>422</v>
      </c>
      <c r="R69" s="51" t="b">
        <v>0</v>
      </c>
      <c r="S69" s="51" t="b">
        <v>1</v>
      </c>
      <c r="T69" s="48" t="s">
        <v>39</v>
      </c>
      <c r="U69" s="48" t="s">
        <v>486</v>
      </c>
    </row>
    <row r="70">
      <c r="A70" s="52" t="s">
        <v>192</v>
      </c>
      <c r="B70" s="53">
        <v>43103.0</v>
      </c>
      <c r="C70" s="54">
        <v>2023.0</v>
      </c>
      <c r="D70" s="53">
        <v>45242.0</v>
      </c>
      <c r="E70" s="53">
        <v>45244.0</v>
      </c>
      <c r="F70" s="54">
        <v>2.0</v>
      </c>
      <c r="G70" s="54">
        <v>16.1</v>
      </c>
      <c r="H70" s="54">
        <v>8.05</v>
      </c>
      <c r="I70" s="54">
        <v>9.99</v>
      </c>
      <c r="J70" s="54">
        <v>0.6204968944099378</v>
      </c>
      <c r="K70" s="55" t="b">
        <v>0</v>
      </c>
      <c r="L70" s="52" t="s">
        <v>20</v>
      </c>
      <c r="M70" s="52" t="s">
        <v>449</v>
      </c>
      <c r="N70" s="52" t="s">
        <v>49</v>
      </c>
      <c r="O70" s="52" t="s">
        <v>419</v>
      </c>
      <c r="P70" s="52" t="s">
        <v>19</v>
      </c>
      <c r="Q70" s="52" t="s">
        <v>422</v>
      </c>
      <c r="R70" s="55" t="b">
        <v>0</v>
      </c>
      <c r="S70" s="55" t="b">
        <v>0</v>
      </c>
      <c r="T70" s="52" t="s">
        <v>16</v>
      </c>
      <c r="U70" s="52" t="s">
        <v>487</v>
      </c>
    </row>
    <row r="71">
      <c r="A71" s="48" t="s">
        <v>184</v>
      </c>
      <c r="B71" s="49">
        <v>43089.0</v>
      </c>
      <c r="C71" s="50">
        <v>2023.0</v>
      </c>
      <c r="D71" s="49">
        <v>45244.0</v>
      </c>
      <c r="E71" s="49">
        <v>45245.0</v>
      </c>
      <c r="F71" s="50">
        <v>1.0</v>
      </c>
      <c r="G71" s="50">
        <v>8.8</v>
      </c>
      <c r="H71" s="50">
        <v>8.8</v>
      </c>
      <c r="I71" s="50">
        <v>1.91</v>
      </c>
      <c r="J71" s="50">
        <v>0.2170454545454545</v>
      </c>
      <c r="K71" s="51" t="b">
        <v>0</v>
      </c>
      <c r="L71" s="48" t="s">
        <v>15</v>
      </c>
      <c r="M71" s="48" t="s">
        <v>425</v>
      </c>
      <c r="N71" s="48" t="s">
        <v>158</v>
      </c>
      <c r="O71" s="48" t="s">
        <v>419</v>
      </c>
      <c r="P71" s="48" t="s">
        <v>19</v>
      </c>
      <c r="Q71" s="48" t="s">
        <v>418</v>
      </c>
      <c r="R71" s="51" t="b">
        <v>0</v>
      </c>
      <c r="S71" s="51" t="b">
        <v>0</v>
      </c>
      <c r="T71" s="48" t="s">
        <v>16</v>
      </c>
      <c r="U71" s="48" t="s">
        <v>488</v>
      </c>
    </row>
    <row r="72">
      <c r="A72" s="52" t="s">
        <v>387</v>
      </c>
      <c r="B72" s="53">
        <v>45247.0</v>
      </c>
      <c r="C72" s="54">
        <v>2023.0</v>
      </c>
      <c r="D72" s="53">
        <v>45247.0</v>
      </c>
      <c r="E72" s="53">
        <v>45257.0</v>
      </c>
      <c r="F72" s="54">
        <v>10.0</v>
      </c>
      <c r="G72" s="54">
        <v>83.5</v>
      </c>
      <c r="H72" s="54">
        <v>8.35</v>
      </c>
      <c r="I72" s="54">
        <v>69.98</v>
      </c>
      <c r="J72" s="54">
        <v>0.8380838323353293</v>
      </c>
      <c r="K72" s="55" t="b">
        <v>0</v>
      </c>
      <c r="L72" s="52" t="s">
        <v>15</v>
      </c>
      <c r="M72" s="52" t="s">
        <v>416</v>
      </c>
      <c r="N72" s="52" t="s">
        <v>388</v>
      </c>
      <c r="O72" s="52" t="s">
        <v>432</v>
      </c>
      <c r="P72" s="52" t="s">
        <v>19</v>
      </c>
      <c r="Q72" s="52" t="s">
        <v>422</v>
      </c>
      <c r="R72" s="55" t="b">
        <v>1</v>
      </c>
      <c r="S72" s="55" t="b">
        <v>0</v>
      </c>
      <c r="T72" s="52" t="s">
        <v>16</v>
      </c>
      <c r="U72" s="52"/>
    </row>
    <row r="73">
      <c r="A73" s="48" t="s">
        <v>254</v>
      </c>
      <c r="B73" s="49">
        <v>43358.0</v>
      </c>
      <c r="C73" s="50">
        <v>2023.0</v>
      </c>
      <c r="D73" s="49">
        <v>45257.0</v>
      </c>
      <c r="E73" s="49">
        <v>45265.0</v>
      </c>
      <c r="F73" s="50">
        <v>8.0</v>
      </c>
      <c r="G73" s="50">
        <v>57.3</v>
      </c>
      <c r="H73" s="50">
        <v>7.1625</v>
      </c>
      <c r="I73" s="50">
        <v>1.24</v>
      </c>
      <c r="J73" s="50">
        <v>0.021640488656195462</v>
      </c>
      <c r="K73" s="51" t="b">
        <v>0</v>
      </c>
      <c r="L73" s="48" t="s">
        <v>15</v>
      </c>
      <c r="M73" s="48" t="s">
        <v>441</v>
      </c>
      <c r="N73" s="48" t="s">
        <v>18</v>
      </c>
      <c r="O73" s="48" t="s">
        <v>419</v>
      </c>
      <c r="P73" s="48" t="s">
        <v>19</v>
      </c>
      <c r="Q73" s="48" t="s">
        <v>422</v>
      </c>
      <c r="R73" s="51" t="b">
        <v>0</v>
      </c>
      <c r="S73" s="51" t="b">
        <v>0</v>
      </c>
      <c r="T73" s="48" t="s">
        <v>16</v>
      </c>
      <c r="U73" s="48" t="s">
        <v>489</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56" t="s">
        <v>490</v>
      </c>
    </row>
    <row r="2">
      <c r="A2" s="57">
        <v>6.219959795321637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75"/>
  </cols>
  <sheetData>
    <row r="1">
      <c r="A1" s="1" t="s">
        <v>0</v>
      </c>
      <c r="B1" s="58" t="s">
        <v>1</v>
      </c>
      <c r="C1" s="58" t="s">
        <v>2</v>
      </c>
      <c r="D1" s="59" t="s">
        <v>12</v>
      </c>
      <c r="E1" s="4" t="s">
        <v>491</v>
      </c>
      <c r="F1" s="4" t="s">
        <v>492</v>
      </c>
    </row>
    <row r="2">
      <c r="A2" s="7" t="s">
        <v>13</v>
      </c>
      <c r="B2" s="60">
        <f t="array" ref="B2">INDEX(Backlog!$A$2:$E1000,MATCH(A2,Backlog!$A$2:A2,0),2)</f>
        <v>216</v>
      </c>
      <c r="C2" s="61">
        <f t="array" ref="C2">INDEX(Backlog!$A$2:$E1000,MATCH(A2,Backlog!$A$2:A2,0),3)</f>
        <v>34.72691257</v>
      </c>
      <c r="D2" s="61">
        <f t="array" ref="D2">INDEX(Backlog!$A$2:$M1000,MATCH(A2,Backlog!$A$2:A1000,0),13)</f>
        <v>6.219959795</v>
      </c>
      <c r="E2" s="57" t="str">
        <f t="shared" ref="E2:E342" si="1">B2/F2</f>
        <v>#DIV/0!</v>
      </c>
      <c r="F2" s="4" t="str">
        <f>IFERROR(__xludf.DUMMYFUNCTION("IMPORTRANGE(""https://docs.google.com/spreadsheets/d/18DfrIzhC5fA8A-r3adxOOCzrHWwbHYufiN01iEToBGk/edit#gid=1015091678"",""Inportant calculator!C$50"")"),"")</f>
        <v/>
      </c>
    </row>
    <row r="3">
      <c r="A3" s="7" t="s">
        <v>17</v>
      </c>
      <c r="B3" s="60">
        <f t="array" ref="B3">INDEX(Backlog!$A$2:$E1000,MATCH(A3,Backlog!$A$2:A3,0),2)</f>
        <v>35</v>
      </c>
      <c r="C3" s="61">
        <f t="array" ref="C3">INDEX(Backlog!$A$2:$E1000,MATCH(A3,Backlog!$A$2:A3,0),3)</f>
        <v>5.627046018</v>
      </c>
      <c r="D3" s="61">
        <f t="array" ref="D3">INDEX(Backlog!$A$2:$M1000,MATCH(A3,Backlog!$A$2:A1000,0),13)</f>
        <v>6.219959795</v>
      </c>
      <c r="E3" s="57" t="str">
        <f t="shared" si="1"/>
        <v>#DIV/0!</v>
      </c>
      <c r="F3" s="4" t="str">
        <f>IFERROR(__xludf.DUMMYFUNCTION("IMPORTRANGE(""https://docs.google.com/spreadsheets/d/18DfrIzhC5fA8A-r3adxOOCzrHWwbHYufiN01iEToBGk/edit#gid=1015091678"",""Inportant calculator!C$50"")"),"")</f>
        <v/>
      </c>
    </row>
    <row r="4">
      <c r="A4" s="7" t="s">
        <v>22</v>
      </c>
      <c r="B4" s="60">
        <f t="array" ref="B4">INDEX(Backlog!$A$2:$E1000,MATCH(A4,Backlog!$A$2:A4,0),2)</f>
        <v>42</v>
      </c>
      <c r="C4" s="61">
        <f t="array" ref="C4">INDEX(Backlog!$A$2:$E1000,MATCH(A4,Backlog!$A$2:A4,0),3)</f>
        <v>6.752455222</v>
      </c>
      <c r="D4" s="61">
        <f t="array" ref="D4">INDEX(Backlog!$A$2:$M1000,MATCH(A4,Backlog!$A$2:A1000,0),13)</f>
        <v>6.219959795</v>
      </c>
      <c r="E4" s="57" t="str">
        <f t="shared" si="1"/>
        <v>#DIV/0!</v>
      </c>
      <c r="F4" s="4" t="str">
        <f>IFERROR(__xludf.DUMMYFUNCTION("IMPORTRANGE(""https://docs.google.com/spreadsheets/d/18DfrIzhC5fA8A-r3adxOOCzrHWwbHYufiN01iEToBGk/edit#gid=1015091678"",""Inportant calculator!C$50"")"),"")</f>
        <v/>
      </c>
    </row>
    <row r="5">
      <c r="A5" s="7" t="s">
        <v>23</v>
      </c>
      <c r="B5" s="60">
        <f t="array" ref="B5">INDEX(Backlog!$A$2:$E1000,MATCH(A5,Backlog!$A$2:A5,0),2)</f>
        <v>208</v>
      </c>
      <c r="C5" s="61">
        <f t="array" ref="C5">INDEX(Backlog!$A$2:$E1000,MATCH(A5,Backlog!$A$2:A5,0),3)</f>
        <v>33.44073062</v>
      </c>
      <c r="D5" s="61">
        <f t="array" ref="D5">INDEX(Backlog!$A$2:$M1000,MATCH(A5,Backlog!$A$2:A1000,0),13)</f>
        <v>6.219959795</v>
      </c>
      <c r="E5" s="57" t="str">
        <f t="shared" si="1"/>
        <v>#DIV/0!</v>
      </c>
      <c r="F5" s="4" t="str">
        <f>IFERROR(__xludf.DUMMYFUNCTION("IMPORTRANGE(""https://docs.google.com/spreadsheets/d/18DfrIzhC5fA8A-r3adxOOCzrHWwbHYufiN01iEToBGk/edit#gid=1015091678"",""Inportant calculator!C$50"")"),"")</f>
        <v/>
      </c>
    </row>
    <row r="6">
      <c r="A6" s="7" t="s">
        <v>25</v>
      </c>
      <c r="B6" s="60">
        <f t="array" ref="B6">INDEX(Backlog!$A$2:$E1000,MATCH(A6,Backlog!$A$2:A6,0),2)</f>
        <v>34</v>
      </c>
      <c r="C6" s="61">
        <f t="array" ref="C6">INDEX(Backlog!$A$2:$E1000,MATCH(A6,Backlog!$A$2:A6,0),3)</f>
        <v>5.466273275</v>
      </c>
      <c r="D6" s="61">
        <f t="array" ref="D6">INDEX(Backlog!$A$2:$M1000,MATCH(A6,Backlog!$A$2:A1000,0),13)</f>
        <v>6.219959795</v>
      </c>
      <c r="E6" s="57" t="str">
        <f t="shared" si="1"/>
        <v>#DIV/0!</v>
      </c>
      <c r="F6" s="4" t="str">
        <f>IFERROR(__xludf.DUMMYFUNCTION("IMPORTRANGE(""https://docs.google.com/spreadsheets/d/18DfrIzhC5fA8A-r3adxOOCzrHWwbHYufiN01iEToBGk/edit#gid=1015091678"",""Inportant calculator!C$50"")"),"")</f>
        <v/>
      </c>
    </row>
    <row r="7">
      <c r="A7" s="7" t="s">
        <v>26</v>
      </c>
      <c r="B7" s="60">
        <f t="array" ref="B7">INDEX(Backlog!$A$2:$E1000,MATCH(A7,Backlog!$A$2:A7,0),2)</f>
        <v>30</v>
      </c>
      <c r="C7" s="61">
        <f t="array" ref="C7">INDEX(Backlog!$A$2:$E1000,MATCH(A7,Backlog!$A$2:A7,0),3)</f>
        <v>4.823182301</v>
      </c>
      <c r="D7" s="61">
        <f t="array" ref="D7">INDEX(Backlog!$A$2:$M1000,MATCH(A7,Backlog!$A$2:A1000,0),13)</f>
        <v>6.219959795</v>
      </c>
      <c r="E7" s="57" t="str">
        <f t="shared" si="1"/>
        <v>#DIV/0!</v>
      </c>
      <c r="F7" s="4" t="str">
        <f>IFERROR(__xludf.DUMMYFUNCTION("IMPORTRANGE(""https://docs.google.com/spreadsheets/d/18DfrIzhC5fA8A-r3adxOOCzrHWwbHYufiN01iEToBGk/edit#gid=1015091678"",""Inportant calculator!C$50"")"),"")</f>
        <v/>
      </c>
    </row>
    <row r="8">
      <c r="A8" s="7" t="s">
        <v>28</v>
      </c>
      <c r="B8" s="60">
        <f t="array" ref="B8">INDEX(Backlog!$A$2:$E1000,MATCH(A8,Backlog!$A$2:A8,0),2)</f>
        <v>40</v>
      </c>
      <c r="C8" s="61">
        <f t="array" ref="C8">INDEX(Backlog!$A$2:$E1000,MATCH(A8,Backlog!$A$2:A8,0),3)</f>
        <v>6.430909735</v>
      </c>
      <c r="D8" s="61">
        <f t="array" ref="D8">INDEX(Backlog!$A$2:$M1000,MATCH(A8,Backlog!$A$2:A1000,0),13)</f>
        <v>6.219959795</v>
      </c>
      <c r="E8" s="57" t="str">
        <f t="shared" si="1"/>
        <v>#DIV/0!</v>
      </c>
      <c r="F8" s="4" t="str">
        <f>IFERROR(__xludf.DUMMYFUNCTION("IMPORTRANGE(""https://docs.google.com/spreadsheets/d/18DfrIzhC5fA8A-r3adxOOCzrHWwbHYufiN01iEToBGk/edit#gid=1015091678"",""Inportant calculator!C$50"")"),"")</f>
        <v/>
      </c>
    </row>
    <row r="9">
      <c r="A9" s="7" t="s">
        <v>30</v>
      </c>
      <c r="B9" s="60">
        <f t="array" ref="B9">INDEX(Backlog!$A$2:$E1000,MATCH(A9,Backlog!$A$2:A9,0),2)</f>
        <v>58</v>
      </c>
      <c r="C9" s="61">
        <f t="array" ref="C9">INDEX(Backlog!$A$2:$E1000,MATCH(A9,Backlog!$A$2:A9,0),3)</f>
        <v>9.324819116</v>
      </c>
      <c r="D9" s="61">
        <f t="array" ref="D9">INDEX(Backlog!$A$2:$M1000,MATCH(A9,Backlog!$A$2:A1000,0),13)</f>
        <v>6.219959795</v>
      </c>
      <c r="E9" s="57" t="str">
        <f t="shared" si="1"/>
        <v>#DIV/0!</v>
      </c>
      <c r="F9" s="4" t="str">
        <f>IFERROR(__xludf.DUMMYFUNCTION("IMPORTRANGE(""https://docs.google.com/spreadsheets/d/18DfrIzhC5fA8A-r3adxOOCzrHWwbHYufiN01iEToBGk/edit#gid=1015091678"",""Inportant calculator!C$50"")"),"")</f>
        <v/>
      </c>
    </row>
    <row r="10">
      <c r="A10" s="13" t="s">
        <v>31</v>
      </c>
      <c r="B10" s="60">
        <f t="array" ref="B10">INDEX(Backlog!$A$2:$E1000,MATCH(A10,Backlog!$A$2:A10,0),2)</f>
        <v>80</v>
      </c>
      <c r="C10" s="61">
        <f t="array" ref="C10">INDEX(Backlog!$A$2:$E1000,MATCH(A10,Backlog!$A$2:A10,0),3)</f>
        <v>12.86181947</v>
      </c>
      <c r="D10" s="61">
        <f t="array" ref="D10">INDEX(Backlog!$A$2:$M1000,MATCH(A10,Backlog!$A$2:A1000,0),13)</f>
        <v>6.219959795</v>
      </c>
      <c r="E10" s="57" t="str">
        <f t="shared" si="1"/>
        <v>#DIV/0!</v>
      </c>
      <c r="F10" s="4" t="str">
        <f>IFERROR(__xludf.DUMMYFUNCTION("IMPORTRANGE(""https://docs.google.com/spreadsheets/d/18DfrIzhC5fA8A-r3adxOOCzrHWwbHYufiN01iEToBGk/edit#gid=1015091678"",""Inportant calculator!C$50"")"),"")</f>
        <v/>
      </c>
    </row>
    <row r="11">
      <c r="A11" s="7" t="s">
        <v>32</v>
      </c>
      <c r="B11" s="60">
        <f t="array" ref="B11">INDEX(Backlog!$A$2:$E1000,MATCH(A11,Backlog!$A$2:A11,0),2)</f>
        <v>10</v>
      </c>
      <c r="C11" s="61">
        <f t="array" ref="C11">INDEX(Backlog!$A$2:$E1000,MATCH(A11,Backlog!$A$2:A11,0),3)</f>
        <v>1.607727434</v>
      </c>
      <c r="D11" s="61">
        <f t="array" ref="D11">INDEX(Backlog!$A$2:$M1000,MATCH(A11,Backlog!$A$2:A1000,0),13)</f>
        <v>6.219959795</v>
      </c>
      <c r="E11" s="57" t="str">
        <f t="shared" si="1"/>
        <v>#DIV/0!</v>
      </c>
      <c r="F11" s="4" t="str">
        <f>IFERROR(__xludf.DUMMYFUNCTION("IMPORTRANGE(""https://docs.google.com/spreadsheets/d/18DfrIzhC5fA8A-r3adxOOCzrHWwbHYufiN01iEToBGk/edit#gid=1015091678"",""Inportant calculator!C$50"")"),"")</f>
        <v/>
      </c>
    </row>
    <row r="12">
      <c r="A12" s="7" t="s">
        <v>33</v>
      </c>
      <c r="B12" s="60">
        <f t="array" ref="B12">INDEX(Backlog!$A$2:$E1000,MATCH(A12,Backlog!$A$2:A12,0),2)</f>
        <v>61</v>
      </c>
      <c r="C12" s="61">
        <f t="array" ref="C12">INDEX(Backlog!$A$2:$E1000,MATCH(A12,Backlog!$A$2:A12,0),3)</f>
        <v>9.807137346</v>
      </c>
      <c r="D12" s="61">
        <f t="array" ref="D12">INDEX(Backlog!$A$2:$M1000,MATCH(A12,Backlog!$A$2:A1000,0),13)</f>
        <v>6.219959795</v>
      </c>
      <c r="E12" s="57" t="str">
        <f t="shared" si="1"/>
        <v>#DIV/0!</v>
      </c>
      <c r="F12" s="4" t="str">
        <f>IFERROR(__xludf.DUMMYFUNCTION("IMPORTRANGE(""https://docs.google.com/spreadsheets/d/18DfrIzhC5fA8A-r3adxOOCzrHWwbHYufiN01iEToBGk/edit#gid=1015091678"",""Inportant calculator!C$50"")"),"")</f>
        <v/>
      </c>
    </row>
    <row r="13">
      <c r="A13" s="7" t="s">
        <v>35</v>
      </c>
      <c r="B13" s="60">
        <f t="array" ref="B13">INDEX(Backlog!$A$2:$E1000,MATCH(A13,Backlog!$A$2:A13,0),2)</f>
        <v>23</v>
      </c>
      <c r="C13" s="61">
        <f t="array" ref="C13">INDEX(Backlog!$A$2:$E1000,MATCH(A13,Backlog!$A$2:A13,0),3)</f>
        <v>3.697773098</v>
      </c>
      <c r="D13" s="61">
        <f t="array" ref="D13">INDEX(Backlog!$A$2:$M1000,MATCH(A13,Backlog!$A$2:A1000,0),13)</f>
        <v>6.219959795</v>
      </c>
      <c r="E13" s="57" t="str">
        <f t="shared" si="1"/>
        <v>#DIV/0!</v>
      </c>
      <c r="F13" s="4" t="str">
        <f>IFERROR(__xludf.DUMMYFUNCTION("IMPORTRANGE(""https://docs.google.com/spreadsheets/d/18DfrIzhC5fA8A-r3adxOOCzrHWwbHYufiN01iEToBGk/edit#gid=1015091678"",""Inportant calculator!C$50"")"),"")</f>
        <v/>
      </c>
    </row>
    <row r="14">
      <c r="A14" s="7" t="s">
        <v>36</v>
      </c>
      <c r="B14" s="60">
        <f t="array" ref="B14">INDEX(Backlog!$A$2:$E1000,MATCH(A14,Backlog!$A$2:A14,0),2)</f>
        <v>22</v>
      </c>
      <c r="C14" s="61">
        <f t="array" ref="C14">INDEX(Backlog!$A$2:$E1000,MATCH(A14,Backlog!$A$2:A14,0),3)</f>
        <v>3.537000354</v>
      </c>
      <c r="D14" s="61">
        <f t="array" ref="D14">INDEX(Backlog!$A$2:$M1000,MATCH(A14,Backlog!$A$2:A1000,0),13)</f>
        <v>6.219959795</v>
      </c>
      <c r="E14" s="57" t="str">
        <f t="shared" si="1"/>
        <v>#DIV/0!</v>
      </c>
      <c r="F14" s="4" t="str">
        <f>IFERROR(__xludf.DUMMYFUNCTION("IMPORTRANGE(""https://docs.google.com/spreadsheets/d/18DfrIzhC5fA8A-r3adxOOCzrHWwbHYufiN01iEToBGk/edit#gid=1015091678"",""Inportant calculator!C$50"")"),"")</f>
        <v/>
      </c>
    </row>
    <row r="15">
      <c r="A15" s="7" t="s">
        <v>37</v>
      </c>
      <c r="B15" s="60">
        <f t="array" ref="B15">INDEX(Backlog!$A$2:$E1000,MATCH(A15,Backlog!$A$2:A15,0),2)</f>
        <v>30</v>
      </c>
      <c r="C15" s="61">
        <f t="array" ref="C15">INDEX(Backlog!$A$2:$E1000,MATCH(A15,Backlog!$A$2:A15,0),3)</f>
        <v>4.823182301</v>
      </c>
      <c r="D15" s="61">
        <f t="array" ref="D15">INDEX(Backlog!$A$2:$M1000,MATCH(A15,Backlog!$A$2:A1000,0),13)</f>
        <v>6.219959795</v>
      </c>
      <c r="E15" s="57" t="str">
        <f t="shared" si="1"/>
        <v>#DIV/0!</v>
      </c>
      <c r="F15" s="4" t="str">
        <f>IFERROR(__xludf.DUMMYFUNCTION("IMPORTRANGE(""https://docs.google.com/spreadsheets/d/18DfrIzhC5fA8A-r3adxOOCzrHWwbHYufiN01iEToBGk/edit#gid=1015091678"",""Inportant calculator!C$50"")"),"")</f>
        <v/>
      </c>
    </row>
    <row r="16">
      <c r="A16" s="7" t="s">
        <v>40</v>
      </c>
      <c r="B16" s="60">
        <f t="array" ref="B16">INDEX(Backlog!$A$2:$E1000,MATCH(A16,Backlog!$A$2:A16,0),2)</f>
        <v>16</v>
      </c>
      <c r="C16" s="61">
        <f t="array" ref="C16">INDEX(Backlog!$A$2:$E1000,MATCH(A16,Backlog!$A$2:A16,0),3)</f>
        <v>2.572363894</v>
      </c>
      <c r="D16" s="61">
        <f t="array" ref="D16">INDEX(Backlog!$A$2:$M1000,MATCH(A16,Backlog!$A$2:A1000,0),13)</f>
        <v>6.219959795</v>
      </c>
      <c r="E16" s="57" t="str">
        <f t="shared" si="1"/>
        <v>#DIV/0!</v>
      </c>
      <c r="F16" s="4" t="str">
        <f>IFERROR(__xludf.DUMMYFUNCTION("IMPORTRANGE(""https://docs.google.com/spreadsheets/d/18DfrIzhC5fA8A-r3adxOOCzrHWwbHYufiN01iEToBGk/edit#gid=1015091678"",""Inportant calculator!C$50"")"),"")</f>
        <v/>
      </c>
    </row>
    <row r="17">
      <c r="A17" s="7" t="s">
        <v>41</v>
      </c>
      <c r="B17" s="60">
        <f t="array" ref="B17">INDEX(Backlog!$A$2:$E1000,MATCH(A17,Backlog!$A$2:A17,0),2)</f>
        <v>25</v>
      </c>
      <c r="C17" s="61">
        <f t="array" ref="C17">INDEX(Backlog!$A$2:$E1000,MATCH(A17,Backlog!$A$2:A17,0),3)</f>
        <v>4.019318584</v>
      </c>
      <c r="D17" s="61">
        <f t="array" ref="D17">INDEX(Backlog!$A$2:$M1000,MATCH(A17,Backlog!$A$2:A1000,0),13)</f>
        <v>6.219959795</v>
      </c>
      <c r="E17" s="57" t="str">
        <f t="shared" si="1"/>
        <v>#DIV/0!</v>
      </c>
      <c r="F17" s="4" t="str">
        <f>IFERROR(__xludf.DUMMYFUNCTION("IMPORTRANGE(""https://docs.google.com/spreadsheets/d/18DfrIzhC5fA8A-r3adxOOCzrHWwbHYufiN01iEToBGk/edit#gid=1015091678"",""Inportant calculator!C$50"")"),"")</f>
        <v/>
      </c>
    </row>
    <row r="18">
      <c r="A18" s="7" t="s">
        <v>43</v>
      </c>
      <c r="B18" s="60">
        <f t="array" ref="B18">INDEX(Backlog!$A$2:$E1000,MATCH(A18,Backlog!$A$2:A18,0),2)</f>
        <v>78</v>
      </c>
      <c r="C18" s="61">
        <f t="array" ref="C18">INDEX(Backlog!$A$2:$E1000,MATCH(A18,Backlog!$A$2:A18,0),3)</f>
        <v>12.54027398</v>
      </c>
      <c r="D18" s="61">
        <f t="array" ref="D18">INDEX(Backlog!$A$2:$M1000,MATCH(A18,Backlog!$A$2:A1000,0),13)</f>
        <v>6.219959795</v>
      </c>
      <c r="E18" s="57" t="str">
        <f t="shared" si="1"/>
        <v>#DIV/0!</v>
      </c>
      <c r="F18" s="4" t="str">
        <f>IFERROR(__xludf.DUMMYFUNCTION("IMPORTRANGE(""https://docs.google.com/spreadsheets/d/18DfrIzhC5fA8A-r3adxOOCzrHWwbHYufiN01iEToBGk/edit#gid=1015091678"",""Inportant calculator!C$50"")"),"")</f>
        <v/>
      </c>
    </row>
    <row r="19">
      <c r="A19" s="7" t="s">
        <v>45</v>
      </c>
      <c r="B19" s="60">
        <f t="array" ref="B19">INDEX(Backlog!$A$2:$E1000,MATCH(A19,Backlog!$A$2:A19,0),2)</f>
        <v>57</v>
      </c>
      <c r="C19" s="61">
        <f t="array" ref="C19">INDEX(Backlog!$A$2:$E1000,MATCH(A19,Backlog!$A$2:A19,0),3)</f>
        <v>9.164046373</v>
      </c>
      <c r="D19" s="61">
        <f t="array" ref="D19">INDEX(Backlog!$A$2:$M1000,MATCH(A19,Backlog!$A$2:A1000,0),13)</f>
        <v>6.219959795</v>
      </c>
      <c r="E19" s="57" t="str">
        <f t="shared" si="1"/>
        <v>#DIV/0!</v>
      </c>
      <c r="F19" s="4" t="str">
        <f>IFERROR(__xludf.DUMMYFUNCTION("IMPORTRANGE(""https://docs.google.com/spreadsheets/d/18DfrIzhC5fA8A-r3adxOOCzrHWwbHYufiN01iEToBGk/edit#gid=1015091678"",""Inportant calculator!C$50"")"),"")</f>
        <v/>
      </c>
    </row>
    <row r="20">
      <c r="A20" s="7" t="s">
        <v>46</v>
      </c>
      <c r="B20" s="60">
        <f t="array" ref="B20">INDEX(Backlog!$A$2:$E1000,MATCH(A20,Backlog!$A$2:A20,0),2)</f>
        <v>55</v>
      </c>
      <c r="C20" s="61">
        <f t="array" ref="C20">INDEX(Backlog!$A$2:$E1000,MATCH(A20,Backlog!$A$2:A20,0),3)</f>
        <v>8.842500886</v>
      </c>
      <c r="D20" s="61">
        <f t="array" ref="D20">INDEX(Backlog!$A$2:$M1000,MATCH(A20,Backlog!$A$2:A1000,0),13)</f>
        <v>6.219959795</v>
      </c>
      <c r="E20" s="57" t="str">
        <f t="shared" si="1"/>
        <v>#DIV/0!</v>
      </c>
      <c r="F20" s="4" t="str">
        <f>IFERROR(__xludf.DUMMYFUNCTION("IMPORTRANGE(""https://docs.google.com/spreadsheets/d/18DfrIzhC5fA8A-r3adxOOCzrHWwbHYufiN01iEToBGk/edit#gid=1015091678"",""Inportant calculator!C$50"")"),"")</f>
        <v/>
      </c>
    </row>
    <row r="21">
      <c r="A21" s="7" t="s">
        <v>47</v>
      </c>
      <c r="B21" s="60">
        <f t="array" ref="B21">INDEX(Backlog!$A$2:$E1000,MATCH(A21,Backlog!$A$2:A21,0),2)</f>
        <v>364</v>
      </c>
      <c r="C21" s="61">
        <f t="array" ref="C21">INDEX(Backlog!$A$2:$E1000,MATCH(A21,Backlog!$A$2:A21,0),3)</f>
        <v>58.52127859</v>
      </c>
      <c r="D21" s="61">
        <f t="array" ref="D21">INDEX(Backlog!$A$2:$M1000,MATCH(A21,Backlog!$A$2:A1000,0),13)</f>
        <v>6.219959795</v>
      </c>
      <c r="E21" s="57" t="str">
        <f t="shared" si="1"/>
        <v>#DIV/0!</v>
      </c>
      <c r="F21" s="4" t="str">
        <f>IFERROR(__xludf.DUMMYFUNCTION("IMPORTRANGE(""https://docs.google.com/spreadsheets/d/18DfrIzhC5fA8A-r3adxOOCzrHWwbHYufiN01iEToBGk/edit#gid=1015091678"",""Inportant calculator!C$50"")"),"")</f>
        <v/>
      </c>
    </row>
    <row r="22">
      <c r="A22" s="7" t="s">
        <v>48</v>
      </c>
      <c r="B22" s="60">
        <f t="array" ref="B22">INDEX(Backlog!$A$2:$E1000,MATCH(A22,Backlog!$A$2:A22,0),2)</f>
        <v>36.5</v>
      </c>
      <c r="C22" s="61">
        <f t="array" ref="C22">INDEX(Backlog!$A$2:$E1000,MATCH(A22,Backlog!$A$2:A22,0),3)</f>
        <v>5.868205133</v>
      </c>
      <c r="D22" s="61">
        <f t="array" ref="D22">INDEX(Backlog!$A$2:$M1000,MATCH(A22,Backlog!$A$2:A1000,0),13)</f>
        <v>6.219959795</v>
      </c>
      <c r="E22" s="57" t="str">
        <f t="shared" si="1"/>
        <v>#DIV/0!</v>
      </c>
      <c r="F22" s="4" t="str">
        <f>IFERROR(__xludf.DUMMYFUNCTION("IMPORTRANGE(""https://docs.google.com/spreadsheets/d/18DfrIzhC5fA8A-r3adxOOCzrHWwbHYufiN01iEToBGk/edit#gid=1015091678"",""Inportant calculator!C$50"")"),"")</f>
        <v/>
      </c>
    </row>
    <row r="23">
      <c r="A23" s="7" t="s">
        <v>50</v>
      </c>
      <c r="B23" s="60">
        <f t="array" ref="B23">INDEX(Backlog!$A$2:$E1000,MATCH(A23,Backlog!$A$2:A23,0),2)</f>
        <v>174</v>
      </c>
      <c r="C23" s="61">
        <f t="array" ref="C23">INDEX(Backlog!$A$2:$E1000,MATCH(A23,Backlog!$A$2:A23,0),3)</f>
        <v>27.97445735</v>
      </c>
      <c r="D23" s="61">
        <f t="array" ref="D23">INDEX(Backlog!$A$2:$M1000,MATCH(A23,Backlog!$A$2:A1000,0),13)</f>
        <v>6.219959795</v>
      </c>
      <c r="E23" s="57" t="str">
        <f t="shared" si="1"/>
        <v>#DIV/0!</v>
      </c>
      <c r="F23" s="4" t="str">
        <f>IFERROR(__xludf.DUMMYFUNCTION("IMPORTRANGE(""https://docs.google.com/spreadsheets/d/18DfrIzhC5fA8A-r3adxOOCzrHWwbHYufiN01iEToBGk/edit#gid=1015091678"",""Inportant calculator!C$50"")"),"")</f>
        <v/>
      </c>
    </row>
    <row r="24">
      <c r="A24" s="7" t="s">
        <v>51</v>
      </c>
      <c r="B24" s="60">
        <f t="array" ref="B24">INDEX(Backlog!$A$2:$E1000,MATCH(A24,Backlog!$A$2:A24,0),2)</f>
        <v>129</v>
      </c>
      <c r="C24" s="61">
        <f t="array" ref="C24">INDEX(Backlog!$A$2:$E1000,MATCH(A24,Backlog!$A$2:A24,0),3)</f>
        <v>20.7396839</v>
      </c>
      <c r="D24" s="61">
        <f t="array" ref="D24">INDEX(Backlog!$A$2:$M1000,MATCH(A24,Backlog!$A$2:A1000,0),13)</f>
        <v>6.219959795</v>
      </c>
      <c r="E24" s="57" t="str">
        <f t="shared" si="1"/>
        <v>#DIV/0!</v>
      </c>
      <c r="F24" s="4" t="str">
        <f>IFERROR(__xludf.DUMMYFUNCTION("IMPORTRANGE(""https://docs.google.com/spreadsheets/d/18DfrIzhC5fA8A-r3adxOOCzrHWwbHYufiN01iEToBGk/edit#gid=1015091678"",""Inportant calculator!C$50"")"),"")</f>
        <v/>
      </c>
    </row>
    <row r="25">
      <c r="A25" s="7" t="s">
        <v>52</v>
      </c>
      <c r="B25" s="60">
        <f t="array" ref="B25">INDEX(Backlog!$A$2:$E1000,MATCH(A25,Backlog!$A$2:A25,0),2)</f>
        <v>10</v>
      </c>
      <c r="C25" s="61">
        <f t="array" ref="C25">INDEX(Backlog!$A$2:$E1000,MATCH(A25,Backlog!$A$2:A25,0),3)</f>
        <v>1.607727434</v>
      </c>
      <c r="D25" s="61">
        <f t="array" ref="D25">INDEX(Backlog!$A$2:$M1000,MATCH(A25,Backlog!$A$2:A1000,0),13)</f>
        <v>6.219959795</v>
      </c>
      <c r="E25" s="57" t="str">
        <f t="shared" si="1"/>
        <v>#DIV/0!</v>
      </c>
      <c r="F25" s="4" t="str">
        <f>IFERROR(__xludf.DUMMYFUNCTION("IMPORTRANGE(""https://docs.google.com/spreadsheets/d/18DfrIzhC5fA8A-r3adxOOCzrHWwbHYufiN01iEToBGk/edit#gid=1015091678"",""Inportant calculator!C$50"")"),"")</f>
        <v/>
      </c>
    </row>
    <row r="26">
      <c r="A26" s="7" t="s">
        <v>54</v>
      </c>
      <c r="B26" s="60">
        <f t="array" ref="B26">INDEX(Backlog!$A$2:$E1000,MATCH(A26,Backlog!$A$2:A26,0),2)</f>
        <v>21</v>
      </c>
      <c r="C26" s="61">
        <f t="array" ref="C26">INDEX(Backlog!$A$2:$E1000,MATCH(A26,Backlog!$A$2:A26,0),3)</f>
        <v>3.376227611</v>
      </c>
      <c r="D26" s="61">
        <f t="array" ref="D26">INDEX(Backlog!$A$2:$M1000,MATCH(A26,Backlog!$A$2:A1000,0),13)</f>
        <v>6.219959795</v>
      </c>
      <c r="E26" s="57" t="str">
        <f t="shared" si="1"/>
        <v>#DIV/0!</v>
      </c>
      <c r="F26" s="4" t="str">
        <f>IFERROR(__xludf.DUMMYFUNCTION("IMPORTRANGE(""https://docs.google.com/spreadsheets/d/18DfrIzhC5fA8A-r3adxOOCzrHWwbHYufiN01iEToBGk/edit#gid=1015091678"",""Inportant calculator!C$50"")"),"")</f>
        <v/>
      </c>
    </row>
    <row r="27">
      <c r="A27" s="7" t="s">
        <v>55</v>
      </c>
      <c r="B27" s="60">
        <f t="array" ref="B27">INDEX(Backlog!$A$2:$E1000,MATCH(A27,Backlog!$A$2:A27,0),2)</f>
        <v>5</v>
      </c>
      <c r="C27" s="61">
        <f t="array" ref="C27">INDEX(Backlog!$A$2:$E1000,MATCH(A27,Backlog!$A$2:A27,0),3)</f>
        <v>0.8038637169</v>
      </c>
      <c r="D27" s="61">
        <f t="array" ref="D27">INDEX(Backlog!$A$2:$M1000,MATCH(A27,Backlog!$A$2:A1000,0),13)</f>
        <v>6.219959795</v>
      </c>
      <c r="E27" s="57" t="str">
        <f t="shared" si="1"/>
        <v>#DIV/0!</v>
      </c>
      <c r="F27" s="4" t="str">
        <f>IFERROR(__xludf.DUMMYFUNCTION("IMPORTRANGE(""https://docs.google.com/spreadsheets/d/18DfrIzhC5fA8A-r3adxOOCzrHWwbHYufiN01iEToBGk/edit#gid=1015091678"",""Inportant calculator!C$50"")"),"")</f>
        <v/>
      </c>
    </row>
    <row r="28">
      <c r="A28" s="7" t="s">
        <v>56</v>
      </c>
      <c r="B28" s="60">
        <f t="array" ref="B28">INDEX(Backlog!$A$2:$E1000,MATCH(A28,Backlog!$A$2:A28,0),2)</f>
        <v>12</v>
      </c>
      <c r="C28" s="61">
        <f t="array" ref="C28">INDEX(Backlog!$A$2:$E1000,MATCH(A28,Backlog!$A$2:A28,0),3)</f>
        <v>1.929272921</v>
      </c>
      <c r="D28" s="61">
        <f t="array" ref="D28">INDEX(Backlog!$A$2:$M1000,MATCH(A28,Backlog!$A$2:A1000,0),13)</f>
        <v>6.219959795</v>
      </c>
      <c r="E28" s="57" t="str">
        <f t="shared" si="1"/>
        <v>#DIV/0!</v>
      </c>
      <c r="F28" s="4" t="str">
        <f>IFERROR(__xludf.DUMMYFUNCTION("IMPORTRANGE(""https://docs.google.com/spreadsheets/d/18DfrIzhC5fA8A-r3adxOOCzrHWwbHYufiN01iEToBGk/edit#gid=1015091678"",""Inportant calculator!C$50"")"),"")</f>
        <v/>
      </c>
    </row>
    <row r="29">
      <c r="A29" s="7" t="s">
        <v>57</v>
      </c>
      <c r="B29" s="60">
        <f t="array" ref="B29">INDEX(Backlog!$A$2:$E1000,MATCH(A29,Backlog!$A$2:A29,0),2)</f>
        <v>15.5</v>
      </c>
      <c r="C29" s="61">
        <f t="array" ref="C29">INDEX(Backlog!$A$2:$E1000,MATCH(A29,Backlog!$A$2:A29,0),3)</f>
        <v>2.491977522</v>
      </c>
      <c r="D29" s="61">
        <f t="array" ref="D29">INDEX(Backlog!$A$2:$M1000,MATCH(A29,Backlog!$A$2:A1000,0),13)</f>
        <v>6.219959795</v>
      </c>
      <c r="E29" s="57" t="str">
        <f t="shared" si="1"/>
        <v>#DIV/0!</v>
      </c>
      <c r="F29" s="4" t="str">
        <f>IFERROR(__xludf.DUMMYFUNCTION("IMPORTRANGE(""https://docs.google.com/spreadsheets/d/18DfrIzhC5fA8A-r3adxOOCzrHWwbHYufiN01iEToBGk/edit#gid=1015091678"",""Inportant calculator!C$50"")"),"")</f>
        <v/>
      </c>
    </row>
    <row r="30">
      <c r="A30" s="7" t="s">
        <v>58</v>
      </c>
      <c r="B30" s="60">
        <f t="array" ref="B30">INDEX(Backlog!$A$2:$E1000,MATCH(A30,Backlog!$A$2:A30,0),2)</f>
        <v>19.5</v>
      </c>
      <c r="C30" s="61">
        <f t="array" ref="C30">INDEX(Backlog!$A$2:$E1000,MATCH(A30,Backlog!$A$2:A30,0),3)</f>
        <v>3.135068496</v>
      </c>
      <c r="D30" s="61">
        <f t="array" ref="D30">INDEX(Backlog!$A$2:$M1000,MATCH(A30,Backlog!$A$2:A1000,0),13)</f>
        <v>6.219959795</v>
      </c>
      <c r="E30" s="57" t="str">
        <f t="shared" si="1"/>
        <v>#DIV/0!</v>
      </c>
      <c r="F30" s="4" t="str">
        <f>IFERROR(__xludf.DUMMYFUNCTION("IMPORTRANGE(""https://docs.google.com/spreadsheets/d/18DfrIzhC5fA8A-r3adxOOCzrHWwbHYufiN01iEToBGk/edit#gid=1015091678"",""Inportant calculator!C$50"")"),"")</f>
        <v/>
      </c>
    </row>
    <row r="31">
      <c r="A31" s="7" t="s">
        <v>59</v>
      </c>
      <c r="B31" s="60">
        <f t="array" ref="B31">INDEX(Backlog!$A$2:$E1000,MATCH(A31,Backlog!$A$2:A31,0),2)</f>
        <v>60</v>
      </c>
      <c r="C31" s="61">
        <f t="array" ref="C31">INDEX(Backlog!$A$2:$E1000,MATCH(A31,Backlog!$A$2:A31,0),3)</f>
        <v>9.646364603</v>
      </c>
      <c r="D31" s="61">
        <f t="array" ref="D31">INDEX(Backlog!$A$2:$M1000,MATCH(A31,Backlog!$A$2:A1000,0),13)</f>
        <v>6.219959795</v>
      </c>
      <c r="E31" s="57" t="str">
        <f t="shared" si="1"/>
        <v>#DIV/0!</v>
      </c>
      <c r="F31" s="4" t="str">
        <f>IFERROR(__xludf.DUMMYFUNCTION("IMPORTRANGE(""https://docs.google.com/spreadsheets/d/18DfrIzhC5fA8A-r3adxOOCzrHWwbHYufiN01iEToBGk/edit#gid=1015091678"",""Inportant calculator!C$50"")"),"")</f>
        <v/>
      </c>
    </row>
    <row r="32">
      <c r="A32" s="7" t="s">
        <v>60</v>
      </c>
      <c r="B32" s="60">
        <f t="array" ref="B32">INDEX(Backlog!$A$2:$E1000,MATCH(A32,Backlog!$A$2:A32,0),2)</f>
        <v>5</v>
      </c>
      <c r="C32" s="61">
        <f t="array" ref="C32">INDEX(Backlog!$A$2:$E1000,MATCH(A32,Backlog!$A$2:A32,0),3)</f>
        <v>0.8038637169</v>
      </c>
      <c r="D32" s="61">
        <f t="array" ref="D32">INDEX(Backlog!$A$2:$M1000,MATCH(A32,Backlog!$A$2:A1000,0),13)</f>
        <v>6.219959795</v>
      </c>
      <c r="E32" s="57" t="str">
        <f t="shared" si="1"/>
        <v>#DIV/0!</v>
      </c>
      <c r="F32" s="4" t="str">
        <f>IFERROR(__xludf.DUMMYFUNCTION("IMPORTRANGE(""https://docs.google.com/spreadsheets/d/18DfrIzhC5fA8A-r3adxOOCzrHWwbHYufiN01iEToBGk/edit#gid=1015091678"",""Inportant calculator!C$50"")"),"")</f>
        <v/>
      </c>
    </row>
    <row r="33">
      <c r="A33" s="7" t="s">
        <v>61</v>
      </c>
      <c r="B33" s="60">
        <f t="array" ref="B33">INDEX(Backlog!$A$2:$E1000,MATCH(A33,Backlog!$A$2:A33,0),2)</f>
        <v>9</v>
      </c>
      <c r="C33" s="61">
        <f t="array" ref="C33">INDEX(Backlog!$A$2:$E1000,MATCH(A33,Backlog!$A$2:A33,0),3)</f>
        <v>1.44695469</v>
      </c>
      <c r="D33" s="61">
        <f t="array" ref="D33">INDEX(Backlog!$A$2:$M1000,MATCH(A33,Backlog!$A$2:A1000,0),13)</f>
        <v>6.219959795</v>
      </c>
      <c r="E33" s="57" t="str">
        <f t="shared" si="1"/>
        <v>#DIV/0!</v>
      </c>
      <c r="F33" s="4" t="str">
        <f>IFERROR(__xludf.DUMMYFUNCTION("IMPORTRANGE(""https://docs.google.com/spreadsheets/d/18DfrIzhC5fA8A-r3adxOOCzrHWwbHYufiN01iEToBGk/edit#gid=1015091678"",""Inportant calculator!C$50"")"),"")</f>
        <v/>
      </c>
    </row>
    <row r="34">
      <c r="A34" s="7" t="s">
        <v>62</v>
      </c>
      <c r="B34" s="60">
        <f t="array" ref="B34">INDEX(Backlog!$A$2:$E1000,MATCH(A34,Backlog!$A$2:A34,0),2)</f>
        <v>0.5</v>
      </c>
      <c r="C34" s="61">
        <f t="array" ref="C34">INDEX(Backlog!$A$2:$E1000,MATCH(A34,Backlog!$A$2:A34,0),3)</f>
        <v>0.08038637169</v>
      </c>
      <c r="D34" s="61">
        <f t="array" ref="D34">INDEX(Backlog!$A$2:$M1000,MATCH(A34,Backlog!$A$2:A1000,0),13)</f>
        <v>6.219959795</v>
      </c>
      <c r="E34" s="57" t="str">
        <f t="shared" si="1"/>
        <v>#DIV/0!</v>
      </c>
      <c r="F34" s="4" t="str">
        <f>IFERROR(__xludf.DUMMYFUNCTION("IMPORTRANGE(""https://docs.google.com/spreadsheets/d/18DfrIzhC5fA8A-r3adxOOCzrHWwbHYufiN01iEToBGk/edit#gid=1015091678"",""Inportant calculator!C$50"")"),"")</f>
        <v/>
      </c>
    </row>
    <row r="35">
      <c r="A35" s="7" t="s">
        <v>63</v>
      </c>
      <c r="B35" s="60">
        <f t="array" ref="B35">INDEX(Backlog!$A$2:$E1000,MATCH(A35,Backlog!$A$2:A35,0),2)</f>
        <v>3.5</v>
      </c>
      <c r="C35" s="61">
        <f t="array" ref="C35">INDEX(Backlog!$A$2:$E1000,MATCH(A35,Backlog!$A$2:A35,0),3)</f>
        <v>0.5627046018</v>
      </c>
      <c r="D35" s="61">
        <f t="array" ref="D35">INDEX(Backlog!$A$2:$M1000,MATCH(A35,Backlog!$A$2:A1000,0),13)</f>
        <v>6.219959795</v>
      </c>
      <c r="E35" s="57" t="str">
        <f t="shared" si="1"/>
        <v>#DIV/0!</v>
      </c>
      <c r="F35" s="4" t="str">
        <f>IFERROR(__xludf.DUMMYFUNCTION("IMPORTRANGE(""https://docs.google.com/spreadsheets/d/18DfrIzhC5fA8A-r3adxOOCzrHWwbHYufiN01iEToBGk/edit#gid=1015091678"",""Inportant calculator!C$50"")"),"")</f>
        <v/>
      </c>
    </row>
    <row r="36">
      <c r="A36" s="7" t="s">
        <v>64</v>
      </c>
      <c r="B36" s="60">
        <f t="array" ref="B36">INDEX(Backlog!$A$2:$E1000,MATCH(A36,Backlog!$A$2:A36,0),2)</f>
        <v>7.5</v>
      </c>
      <c r="C36" s="61">
        <f t="array" ref="C36">INDEX(Backlog!$A$2:$E1000,MATCH(A36,Backlog!$A$2:A36,0),3)</f>
        <v>1.205795575</v>
      </c>
      <c r="D36" s="61">
        <f t="array" ref="D36">INDEX(Backlog!$A$2:$M1000,MATCH(A36,Backlog!$A$2:A1000,0),13)</f>
        <v>6.219959795</v>
      </c>
      <c r="E36" s="57" t="str">
        <f t="shared" si="1"/>
        <v>#DIV/0!</v>
      </c>
      <c r="F36" s="4" t="str">
        <f>IFERROR(__xludf.DUMMYFUNCTION("IMPORTRANGE(""https://docs.google.com/spreadsheets/d/18DfrIzhC5fA8A-r3adxOOCzrHWwbHYufiN01iEToBGk/edit#gid=1015091678"",""Inportant calculator!C$50"")"),"")</f>
        <v/>
      </c>
    </row>
    <row r="37">
      <c r="A37" s="7" t="s">
        <v>65</v>
      </c>
      <c r="B37" s="60">
        <f t="array" ref="B37">INDEX(Backlog!$A$2:$E1000,MATCH(A37,Backlog!$A$2:A37,0),2)</f>
        <v>13</v>
      </c>
      <c r="C37" s="61">
        <f t="array" ref="C37">INDEX(Backlog!$A$2:$E1000,MATCH(A37,Backlog!$A$2:A37,0),3)</f>
        <v>2.090045664</v>
      </c>
      <c r="D37" s="61">
        <f t="array" ref="D37">INDEX(Backlog!$A$2:$M1000,MATCH(A37,Backlog!$A$2:A1000,0),13)</f>
        <v>6.219959795</v>
      </c>
      <c r="E37" s="57" t="str">
        <f t="shared" si="1"/>
        <v>#DIV/0!</v>
      </c>
      <c r="F37" s="4" t="str">
        <f>IFERROR(__xludf.DUMMYFUNCTION("IMPORTRANGE(""https://docs.google.com/spreadsheets/d/18DfrIzhC5fA8A-r3adxOOCzrHWwbHYufiN01iEToBGk/edit#gid=1015091678"",""Inportant calculator!C$50"")"),"")</f>
        <v/>
      </c>
    </row>
    <row r="38">
      <c r="A38" s="18" t="s">
        <v>66</v>
      </c>
      <c r="B38" s="60">
        <f t="array" ref="B38">INDEX(Backlog!$A$2:$E1000,MATCH(A38,Backlog!$A$2:A38,0),2)</f>
        <v>5</v>
      </c>
      <c r="C38" s="61">
        <f t="array" ref="C38">INDEX(Backlog!$A$2:$E1000,MATCH(A38,Backlog!$A$2:A38,0),3)</f>
        <v>0.8038637169</v>
      </c>
      <c r="D38" s="61">
        <f t="array" ref="D38">INDEX(Backlog!$A$2:$M1000,MATCH(A38,Backlog!$A$2:A1000,0),13)</f>
        <v>6.219959795</v>
      </c>
      <c r="E38" s="57" t="str">
        <f t="shared" si="1"/>
        <v>#DIV/0!</v>
      </c>
      <c r="F38" s="4" t="str">
        <f>IFERROR(__xludf.DUMMYFUNCTION("IMPORTRANGE(""https://docs.google.com/spreadsheets/d/18DfrIzhC5fA8A-r3adxOOCzrHWwbHYufiN01iEToBGk/edit#gid=1015091678"",""Inportant calculator!C$50"")"),"")</f>
        <v/>
      </c>
    </row>
    <row r="39">
      <c r="A39" s="7" t="s">
        <v>68</v>
      </c>
      <c r="B39" s="60">
        <f t="array" ref="B39">INDEX(Backlog!$A$2:$E1000,MATCH(A39,Backlog!$A$2:A39,0),2)</f>
        <v>3</v>
      </c>
      <c r="C39" s="61">
        <f t="array" ref="C39">INDEX(Backlog!$A$2:$E1000,MATCH(A39,Backlog!$A$2:A39,0),3)</f>
        <v>0.4823182301</v>
      </c>
      <c r="D39" s="61">
        <f t="array" ref="D39">INDEX(Backlog!$A$2:$M1000,MATCH(A39,Backlog!$A$2:A1000,0),13)</f>
        <v>6.219959795</v>
      </c>
      <c r="E39" s="57" t="str">
        <f t="shared" si="1"/>
        <v>#DIV/0!</v>
      </c>
      <c r="F39" s="4" t="str">
        <f>IFERROR(__xludf.DUMMYFUNCTION("IMPORTRANGE(""https://docs.google.com/spreadsheets/d/18DfrIzhC5fA8A-r3adxOOCzrHWwbHYufiN01iEToBGk/edit#gid=1015091678"",""Inportant calculator!C$50"")"),"")</f>
        <v/>
      </c>
    </row>
    <row r="40">
      <c r="A40" s="19" t="s">
        <v>70</v>
      </c>
      <c r="B40" s="60">
        <f t="array" ref="B40">INDEX(Backlog!$A$2:$E1000,MATCH(A40,Backlog!$A$2:A40,0),2)</f>
        <v>23</v>
      </c>
      <c r="C40" s="61">
        <f t="array" ref="C40">INDEX(Backlog!$A$2:$E1000,MATCH(A40,Backlog!$A$2:A40,0),3)</f>
        <v>3.697773098</v>
      </c>
      <c r="D40" s="61">
        <f t="array" ref="D40">INDEX(Backlog!$A$2:$M1000,MATCH(A40,Backlog!$A$2:A1000,0),13)</f>
        <v>6.219959795</v>
      </c>
      <c r="E40" s="57" t="str">
        <f t="shared" si="1"/>
        <v>#DIV/0!</v>
      </c>
      <c r="F40" s="4" t="str">
        <f>IFERROR(__xludf.DUMMYFUNCTION("IMPORTRANGE(""https://docs.google.com/spreadsheets/d/18DfrIzhC5fA8A-r3adxOOCzrHWwbHYufiN01iEToBGk/edit#gid=1015091678"",""Inportant calculator!C$50"")"),"")</f>
        <v/>
      </c>
    </row>
    <row r="41">
      <c r="A41" s="7" t="s">
        <v>71</v>
      </c>
      <c r="B41" s="60">
        <f t="array" ref="B41">INDEX(Backlog!$A$2:$E1000,MATCH(A41,Backlog!$A$2:A41,0),2)</f>
        <v>8</v>
      </c>
      <c r="C41" s="61">
        <f t="array" ref="C41">INDEX(Backlog!$A$2:$E1000,MATCH(A41,Backlog!$A$2:A41,0),3)</f>
        <v>1.286181947</v>
      </c>
      <c r="D41" s="61">
        <f t="array" ref="D41">INDEX(Backlog!$A$2:$M1000,MATCH(A41,Backlog!$A$2:A1000,0),13)</f>
        <v>6.219959795</v>
      </c>
      <c r="E41" s="57" t="str">
        <f t="shared" si="1"/>
        <v>#DIV/0!</v>
      </c>
      <c r="F41" s="4" t="str">
        <f>IFERROR(__xludf.DUMMYFUNCTION("IMPORTRANGE(""https://docs.google.com/spreadsheets/d/18DfrIzhC5fA8A-r3adxOOCzrHWwbHYufiN01iEToBGk/edit#gid=1015091678"",""Inportant calculator!C$50"")"),"")</f>
        <v/>
      </c>
    </row>
    <row r="42">
      <c r="A42" s="7" t="s">
        <v>72</v>
      </c>
      <c r="B42" s="60">
        <f t="array" ref="B42">INDEX(Backlog!$A$2:$E1000,MATCH(A42,Backlog!$A$2:A42,0),2)</f>
        <v>25</v>
      </c>
      <c r="C42" s="61">
        <f t="array" ref="C42">INDEX(Backlog!$A$2:$E1000,MATCH(A42,Backlog!$A$2:A42,0),3)</f>
        <v>4.019318584</v>
      </c>
      <c r="D42" s="61">
        <f t="array" ref="D42">INDEX(Backlog!$A$2:$M1000,MATCH(A42,Backlog!$A$2:A1000,0),13)</f>
        <v>6.219959795</v>
      </c>
      <c r="E42" s="57" t="str">
        <f t="shared" si="1"/>
        <v>#DIV/0!</v>
      </c>
      <c r="F42" s="4" t="str">
        <f>IFERROR(__xludf.DUMMYFUNCTION("IMPORTRANGE(""https://docs.google.com/spreadsheets/d/18DfrIzhC5fA8A-r3adxOOCzrHWwbHYufiN01iEToBGk/edit#gid=1015091678"",""Inportant calculator!C$50"")"),"")</f>
        <v/>
      </c>
    </row>
    <row r="43">
      <c r="A43" s="18" t="s">
        <v>73</v>
      </c>
      <c r="B43" s="60">
        <f t="array" ref="B43">INDEX(Backlog!$A$2:$E1000,MATCH(A43,Backlog!$A$2:A43,0),2)</f>
        <v>30</v>
      </c>
      <c r="C43" s="61">
        <f t="array" ref="C43">INDEX(Backlog!$A$2:$E1000,MATCH(A43,Backlog!$A$2:A43,0),3)</f>
        <v>4.823182301</v>
      </c>
      <c r="D43" s="61">
        <f t="array" ref="D43">INDEX(Backlog!$A$2:$M1000,MATCH(A43,Backlog!$A$2:A1000,0),13)</f>
        <v>6.219959795</v>
      </c>
      <c r="E43" s="57" t="str">
        <f t="shared" si="1"/>
        <v>#DIV/0!</v>
      </c>
      <c r="F43" s="4" t="str">
        <f>IFERROR(__xludf.DUMMYFUNCTION("IMPORTRANGE(""https://docs.google.com/spreadsheets/d/18DfrIzhC5fA8A-r3adxOOCzrHWwbHYufiN01iEToBGk/edit#gid=1015091678"",""Inportant calculator!C$50"")"),"")</f>
        <v/>
      </c>
    </row>
    <row r="44">
      <c r="A44" s="7" t="s">
        <v>74</v>
      </c>
      <c r="B44" s="60">
        <f t="array" ref="B44">INDEX(Backlog!$A$2:$E1000,MATCH(A44,Backlog!$A$2:A44,0),2)</f>
        <v>129</v>
      </c>
      <c r="C44" s="61">
        <f t="array" ref="C44">INDEX(Backlog!$A$2:$E1000,MATCH(A44,Backlog!$A$2:A44,0),3)</f>
        <v>20.7396839</v>
      </c>
      <c r="D44" s="61">
        <f t="array" ref="D44">INDEX(Backlog!$A$2:$M1000,MATCH(A44,Backlog!$A$2:A1000,0),13)</f>
        <v>6.219959795</v>
      </c>
      <c r="E44" s="57" t="str">
        <f t="shared" si="1"/>
        <v>#DIV/0!</v>
      </c>
      <c r="F44" s="4" t="str">
        <f>IFERROR(__xludf.DUMMYFUNCTION("IMPORTRANGE(""https://docs.google.com/spreadsheets/d/18DfrIzhC5fA8A-r3adxOOCzrHWwbHYufiN01iEToBGk/edit#gid=1015091678"",""Inportant calculator!C$50"")"),"")</f>
        <v/>
      </c>
    </row>
    <row r="45">
      <c r="A45" s="20" t="s">
        <v>75</v>
      </c>
      <c r="B45" s="60">
        <f t="array" ref="B45">INDEX(Backlog!$A$2:$E1000,MATCH(A45,Backlog!$A$2:A45,0),2)</f>
        <v>82.5</v>
      </c>
      <c r="C45" s="61">
        <f t="array" ref="C45">INDEX(Backlog!$A$2:$E1000,MATCH(A45,Backlog!$A$2:A45,0),3)</f>
        <v>13.26375133</v>
      </c>
      <c r="D45" s="61">
        <f t="array" ref="D45">INDEX(Backlog!$A$2:$M1000,MATCH(A45,Backlog!$A$2:A1000,0),13)</f>
        <v>6.219959795</v>
      </c>
      <c r="E45" s="57" t="str">
        <f t="shared" si="1"/>
        <v>#DIV/0!</v>
      </c>
      <c r="F45" s="4" t="str">
        <f>IFERROR(__xludf.DUMMYFUNCTION("IMPORTRANGE(""https://docs.google.com/spreadsheets/d/18DfrIzhC5fA8A-r3adxOOCzrHWwbHYufiN01iEToBGk/edit#gid=1015091678"",""Inportant calculator!C$50"")"),"")</f>
        <v/>
      </c>
    </row>
    <row r="46">
      <c r="A46" s="7" t="s">
        <v>76</v>
      </c>
      <c r="B46" s="60">
        <f t="array" ref="B46">INDEX(Backlog!$A$2:$E1000,MATCH(A46,Backlog!$A$2:A46,0),2)</f>
        <v>43</v>
      </c>
      <c r="C46" s="61">
        <f t="array" ref="C46">INDEX(Backlog!$A$2:$E1000,MATCH(A46,Backlog!$A$2:A46,0),3)</f>
        <v>6.913227965</v>
      </c>
      <c r="D46" s="61">
        <f t="array" ref="D46">INDEX(Backlog!$A$2:$M1000,MATCH(A46,Backlog!$A$2:A1000,0),13)</f>
        <v>6.219959795</v>
      </c>
      <c r="E46" s="57" t="str">
        <f t="shared" si="1"/>
        <v>#DIV/0!</v>
      </c>
      <c r="F46" s="4" t="str">
        <f>IFERROR(__xludf.DUMMYFUNCTION("IMPORTRANGE(""https://docs.google.com/spreadsheets/d/18DfrIzhC5fA8A-r3adxOOCzrHWwbHYufiN01iEToBGk/edit#gid=1015091678"",""Inportant calculator!C$50"")"),"")</f>
        <v/>
      </c>
    </row>
    <row r="47">
      <c r="A47" s="19" t="s">
        <v>77</v>
      </c>
      <c r="B47" s="60">
        <f t="array" ref="B47">INDEX(Backlog!$A$2:$E1000,MATCH(A47,Backlog!$A$2:A47,0),2)</f>
        <v>50</v>
      </c>
      <c r="C47" s="61">
        <f t="array" ref="C47">INDEX(Backlog!$A$2:$E1000,MATCH(A47,Backlog!$A$2:A47,0),3)</f>
        <v>8.038637169</v>
      </c>
      <c r="D47" s="61">
        <f t="array" ref="D47">INDEX(Backlog!$A$2:$M1000,MATCH(A47,Backlog!$A$2:A1000,0),13)</f>
        <v>6.219959795</v>
      </c>
      <c r="E47" s="57" t="str">
        <f t="shared" si="1"/>
        <v>#DIV/0!</v>
      </c>
      <c r="F47" s="4" t="str">
        <f>IFERROR(__xludf.DUMMYFUNCTION("IMPORTRANGE(""https://docs.google.com/spreadsheets/d/18DfrIzhC5fA8A-r3adxOOCzrHWwbHYufiN01iEToBGk/edit#gid=1015091678"",""Inportant calculator!C$50"")"),"")</f>
        <v/>
      </c>
    </row>
    <row r="48">
      <c r="A48" s="7" t="s">
        <v>78</v>
      </c>
      <c r="B48" s="60">
        <f t="array" ref="B48">INDEX(Backlog!$A$2:$E1000,MATCH(A48,Backlog!$A$2:A48,0),2)</f>
        <v>14</v>
      </c>
      <c r="C48" s="61">
        <f t="array" ref="C48">INDEX(Backlog!$A$2:$E1000,MATCH(A48,Backlog!$A$2:A48,0),3)</f>
        <v>2.250818407</v>
      </c>
      <c r="D48" s="61">
        <f t="array" ref="D48">INDEX(Backlog!$A$2:$M1000,MATCH(A48,Backlog!$A$2:A1000,0),13)</f>
        <v>6.219959795</v>
      </c>
      <c r="E48" s="57" t="str">
        <f t="shared" si="1"/>
        <v>#DIV/0!</v>
      </c>
      <c r="F48" s="4" t="str">
        <f>IFERROR(__xludf.DUMMYFUNCTION("IMPORTRANGE(""https://docs.google.com/spreadsheets/d/18DfrIzhC5fA8A-r3adxOOCzrHWwbHYufiN01iEToBGk/edit#gid=1015091678"",""Inportant calculator!C$50"")"),"")</f>
        <v/>
      </c>
    </row>
    <row r="49">
      <c r="A49" s="7" t="s">
        <v>79</v>
      </c>
      <c r="B49" s="60">
        <f t="array" ref="B49">INDEX(Backlog!$A$2:$E1000,MATCH(A49,Backlog!$A$2:A49,0),2)</f>
        <v>128</v>
      </c>
      <c r="C49" s="61">
        <f t="array" ref="C49">INDEX(Backlog!$A$2:$E1000,MATCH(A49,Backlog!$A$2:A49,0),3)</f>
        <v>20.57891115</v>
      </c>
      <c r="D49" s="61">
        <f t="array" ref="D49">INDEX(Backlog!$A$2:$M1000,MATCH(A49,Backlog!$A$2:A1000,0),13)</f>
        <v>6.219959795</v>
      </c>
      <c r="E49" s="57" t="str">
        <f t="shared" si="1"/>
        <v>#DIV/0!</v>
      </c>
      <c r="F49" s="4" t="str">
        <f>IFERROR(__xludf.DUMMYFUNCTION("IMPORTRANGE(""https://docs.google.com/spreadsheets/d/18DfrIzhC5fA8A-r3adxOOCzrHWwbHYufiN01iEToBGk/edit#gid=1015091678"",""Inportant calculator!C$50"")"),"")</f>
        <v/>
      </c>
    </row>
    <row r="50">
      <c r="A50" s="7" t="s">
        <v>80</v>
      </c>
      <c r="B50" s="60">
        <f t="array" ref="B50">INDEX(Backlog!$A$2:$E1000,MATCH(A50,Backlog!$A$2:A50,0),2)</f>
        <v>20</v>
      </c>
      <c r="C50" s="61">
        <f t="array" ref="C50">INDEX(Backlog!$A$2:$E1000,MATCH(A50,Backlog!$A$2:A50,0),3)</f>
        <v>3.215454868</v>
      </c>
      <c r="D50" s="61">
        <f t="array" ref="D50">INDEX(Backlog!$A$2:$M1000,MATCH(A50,Backlog!$A$2:A1000,0),13)</f>
        <v>6.219959795</v>
      </c>
      <c r="E50" s="57" t="str">
        <f t="shared" si="1"/>
        <v>#DIV/0!</v>
      </c>
      <c r="F50" s="4" t="str">
        <f>IFERROR(__xludf.DUMMYFUNCTION("IMPORTRANGE(""https://docs.google.com/spreadsheets/d/18DfrIzhC5fA8A-r3adxOOCzrHWwbHYufiN01iEToBGk/edit#gid=1015091678"",""Inportant calculator!C$50"")"),"")</f>
        <v/>
      </c>
    </row>
    <row r="51">
      <c r="A51" s="19" t="s">
        <v>82</v>
      </c>
      <c r="B51" s="60">
        <f t="array" ref="B51">INDEX(Backlog!$A$2:$E1000,MATCH(A51,Backlog!$A$2:A51,0),2)</f>
        <v>21</v>
      </c>
      <c r="C51" s="61">
        <f t="array" ref="C51">INDEX(Backlog!$A$2:$E1000,MATCH(A51,Backlog!$A$2:A51,0),3)</f>
        <v>3.376227611</v>
      </c>
      <c r="D51" s="61">
        <f t="array" ref="D51">INDEX(Backlog!$A$2:$M1000,MATCH(A51,Backlog!$A$2:A1000,0),13)</f>
        <v>6.219959795</v>
      </c>
      <c r="E51" s="57" t="str">
        <f t="shared" si="1"/>
        <v>#DIV/0!</v>
      </c>
      <c r="F51" s="4" t="str">
        <f>IFERROR(__xludf.DUMMYFUNCTION("IMPORTRANGE(""https://docs.google.com/spreadsheets/d/18DfrIzhC5fA8A-r3adxOOCzrHWwbHYufiN01iEToBGk/edit#gid=1015091678"",""Inportant calculator!C$50"")"),"")</f>
        <v/>
      </c>
    </row>
    <row r="52">
      <c r="A52" s="7" t="s">
        <v>83</v>
      </c>
      <c r="B52" s="60">
        <f t="array" ref="B52">INDEX(Backlog!$A$2:$E1000,MATCH(A52,Backlog!$A$2:A52,0),2)</f>
        <v>40</v>
      </c>
      <c r="C52" s="61">
        <f t="array" ref="C52">INDEX(Backlog!$A$2:$E1000,MATCH(A52,Backlog!$A$2:A52,0),3)</f>
        <v>6.430909735</v>
      </c>
      <c r="D52" s="61">
        <f t="array" ref="D52">INDEX(Backlog!$A$2:$M1000,MATCH(A52,Backlog!$A$2:A1000,0),13)</f>
        <v>6.219959795</v>
      </c>
      <c r="E52" s="57" t="str">
        <f t="shared" si="1"/>
        <v>#DIV/0!</v>
      </c>
      <c r="F52" s="4" t="str">
        <f>IFERROR(__xludf.DUMMYFUNCTION("IMPORTRANGE(""https://docs.google.com/spreadsheets/d/18DfrIzhC5fA8A-r3adxOOCzrHWwbHYufiN01iEToBGk/edit#gid=1015091678"",""Inportant calculator!C$50"")"),"")</f>
        <v/>
      </c>
    </row>
    <row r="53">
      <c r="A53" s="19" t="s">
        <v>84</v>
      </c>
      <c r="B53" s="60">
        <f t="array" ref="B53">INDEX(Backlog!$A$2:$E1000,MATCH(A53,Backlog!$A$2:A53,0),2)</f>
        <v>50</v>
      </c>
      <c r="C53" s="61">
        <f t="array" ref="C53">INDEX(Backlog!$A$2:$E1000,MATCH(A53,Backlog!$A$2:A53,0),3)</f>
        <v>8.038637169</v>
      </c>
      <c r="D53" s="61">
        <f t="array" ref="D53">INDEX(Backlog!$A$2:$M1000,MATCH(A53,Backlog!$A$2:A1000,0),13)</f>
        <v>6.219959795</v>
      </c>
      <c r="E53" s="57" t="str">
        <f t="shared" si="1"/>
        <v>#DIV/0!</v>
      </c>
      <c r="F53" s="4" t="str">
        <f>IFERROR(__xludf.DUMMYFUNCTION("IMPORTRANGE(""https://docs.google.com/spreadsheets/d/18DfrIzhC5fA8A-r3adxOOCzrHWwbHYufiN01iEToBGk/edit#gid=1015091678"",""Inportant calculator!C$50"")"),"")</f>
        <v/>
      </c>
    </row>
    <row r="54">
      <c r="A54" s="7" t="s">
        <v>85</v>
      </c>
      <c r="B54" s="60">
        <f t="array" ref="B54">INDEX(Backlog!$A$2:$E1000,MATCH(A54,Backlog!$A$2:A54,0),2)</f>
        <v>12</v>
      </c>
      <c r="C54" s="61">
        <f t="array" ref="C54">INDEX(Backlog!$A$2:$E1000,MATCH(A54,Backlog!$A$2:A54,0),3)</f>
        <v>1.929272921</v>
      </c>
      <c r="D54" s="61">
        <f t="array" ref="D54">INDEX(Backlog!$A$2:$M1000,MATCH(A54,Backlog!$A$2:A1000,0),13)</f>
        <v>6.219959795</v>
      </c>
      <c r="E54" s="57" t="str">
        <f t="shared" si="1"/>
        <v>#DIV/0!</v>
      </c>
      <c r="F54" s="4" t="str">
        <f>IFERROR(__xludf.DUMMYFUNCTION("IMPORTRANGE(""https://docs.google.com/spreadsheets/d/18DfrIzhC5fA8A-r3adxOOCzrHWwbHYufiN01iEToBGk/edit#gid=1015091678"",""Inportant calculator!C$50"")"),"")</f>
        <v/>
      </c>
    </row>
    <row r="55">
      <c r="A55" s="7" t="s">
        <v>86</v>
      </c>
      <c r="B55" s="60">
        <f t="array" ref="B55">INDEX(Backlog!$A$2:$E1000,MATCH(A55,Backlog!$A$2:A55,0),2)</f>
        <v>12</v>
      </c>
      <c r="C55" s="61">
        <f t="array" ref="C55">INDEX(Backlog!$A$2:$E1000,MATCH(A55,Backlog!$A$2:A55,0),3)</f>
        <v>1.929272921</v>
      </c>
      <c r="D55" s="61">
        <f t="array" ref="D55">INDEX(Backlog!$A$2:$M1000,MATCH(A55,Backlog!$A$2:A1000,0),13)</f>
        <v>6.219959795</v>
      </c>
      <c r="E55" s="57" t="str">
        <f t="shared" si="1"/>
        <v>#DIV/0!</v>
      </c>
      <c r="F55" s="4" t="str">
        <f>IFERROR(__xludf.DUMMYFUNCTION("IMPORTRANGE(""https://docs.google.com/spreadsheets/d/18DfrIzhC5fA8A-r3adxOOCzrHWwbHYufiN01iEToBGk/edit#gid=1015091678"",""Inportant calculator!C$50"")"),"")</f>
        <v/>
      </c>
    </row>
    <row r="56">
      <c r="A56" s="7" t="s">
        <v>87</v>
      </c>
      <c r="B56" s="60">
        <f t="array" ref="B56">INDEX(Backlog!$A$2:$E1000,MATCH(A56,Backlog!$A$2:A56,0),2)</f>
        <v>15</v>
      </c>
      <c r="C56" s="61">
        <f t="array" ref="C56">INDEX(Backlog!$A$2:$E1000,MATCH(A56,Backlog!$A$2:A56,0),3)</f>
        <v>2.411591151</v>
      </c>
      <c r="D56" s="61">
        <f t="array" ref="D56">INDEX(Backlog!$A$2:$M1000,MATCH(A56,Backlog!$A$2:A1000,0),13)</f>
        <v>6.219959795</v>
      </c>
      <c r="E56" s="57" t="str">
        <f t="shared" si="1"/>
        <v>#DIV/0!</v>
      </c>
      <c r="F56" s="4" t="str">
        <f>IFERROR(__xludf.DUMMYFUNCTION("IMPORTRANGE(""https://docs.google.com/spreadsheets/d/18DfrIzhC5fA8A-r3adxOOCzrHWwbHYufiN01iEToBGk/edit#gid=1015091678"",""Inportant calculator!C$50"")"),"")</f>
        <v/>
      </c>
    </row>
    <row r="57">
      <c r="A57" s="7" t="s">
        <v>88</v>
      </c>
      <c r="B57" s="60">
        <f t="array" ref="B57">INDEX(Backlog!$A$2:$E1000,MATCH(A57,Backlog!$A$2:A57,0),2)</f>
        <v>7</v>
      </c>
      <c r="C57" s="61">
        <f t="array" ref="C57">INDEX(Backlog!$A$2:$E1000,MATCH(A57,Backlog!$A$2:A57,0),3)</f>
        <v>1.125409204</v>
      </c>
      <c r="D57" s="61">
        <f t="array" ref="D57">INDEX(Backlog!$A$2:$M1000,MATCH(A57,Backlog!$A$2:A1000,0),13)</f>
        <v>6.219959795</v>
      </c>
      <c r="E57" s="57" t="str">
        <f t="shared" si="1"/>
        <v>#DIV/0!</v>
      </c>
      <c r="F57" s="4" t="str">
        <f>IFERROR(__xludf.DUMMYFUNCTION("IMPORTRANGE(""https://docs.google.com/spreadsheets/d/18DfrIzhC5fA8A-r3adxOOCzrHWwbHYufiN01iEToBGk/edit#gid=1015091678"",""Inportant calculator!C$50"")"),"")</f>
        <v/>
      </c>
    </row>
    <row r="58">
      <c r="A58" s="7" t="s">
        <v>89</v>
      </c>
      <c r="B58" s="60">
        <f t="array" ref="B58">INDEX(Backlog!$A$2:$E1000,MATCH(A58,Backlog!$A$2:A58,0),2)</f>
        <v>3</v>
      </c>
      <c r="C58" s="61">
        <f t="array" ref="C58">INDEX(Backlog!$A$2:$E1000,MATCH(A58,Backlog!$A$2:A58,0),3)</f>
        <v>0.4823182301</v>
      </c>
      <c r="D58" s="61">
        <f t="array" ref="D58">INDEX(Backlog!$A$2:$M1000,MATCH(A58,Backlog!$A$2:A1000,0),13)</f>
        <v>6.219959795</v>
      </c>
      <c r="E58" s="57" t="str">
        <f t="shared" si="1"/>
        <v>#DIV/0!</v>
      </c>
      <c r="F58" s="4" t="str">
        <f>IFERROR(__xludf.DUMMYFUNCTION("IMPORTRANGE(""https://docs.google.com/spreadsheets/d/18DfrIzhC5fA8A-r3adxOOCzrHWwbHYufiN01iEToBGk/edit#gid=1015091678"",""Inportant calculator!C$50"")"),"")</f>
        <v/>
      </c>
    </row>
    <row r="59">
      <c r="A59" s="7" t="s">
        <v>90</v>
      </c>
      <c r="B59" s="60">
        <f t="array" ref="B59">INDEX(Backlog!$A$2:$E1000,MATCH(A59,Backlog!$A$2:A59,0),2)</f>
        <v>28</v>
      </c>
      <c r="C59" s="61">
        <f t="array" ref="C59">INDEX(Backlog!$A$2:$E1000,MATCH(A59,Backlog!$A$2:A59,0),3)</f>
        <v>4.501636815</v>
      </c>
      <c r="D59" s="61">
        <f t="array" ref="D59">INDEX(Backlog!$A$2:$M1000,MATCH(A59,Backlog!$A$2:A1000,0),13)</f>
        <v>6.219959795</v>
      </c>
      <c r="E59" s="57" t="str">
        <f t="shared" si="1"/>
        <v>#DIV/0!</v>
      </c>
      <c r="F59" s="4" t="str">
        <f>IFERROR(__xludf.DUMMYFUNCTION("IMPORTRANGE(""https://docs.google.com/spreadsheets/d/18DfrIzhC5fA8A-r3adxOOCzrHWwbHYufiN01iEToBGk/edit#gid=1015091678"",""Inportant calculator!C$50"")"),"")</f>
        <v/>
      </c>
    </row>
    <row r="60">
      <c r="A60" s="7" t="s">
        <v>91</v>
      </c>
      <c r="B60" s="60">
        <f t="array" ref="B60">INDEX(Backlog!$A$2:$E1000,MATCH(A60,Backlog!$A$2:A60,0),2)</f>
        <v>59</v>
      </c>
      <c r="C60" s="61">
        <f t="array" ref="C60">INDEX(Backlog!$A$2:$E1000,MATCH(A60,Backlog!$A$2:A60,0),3)</f>
        <v>9.485591859</v>
      </c>
      <c r="D60" s="61">
        <f t="array" ref="D60">INDEX(Backlog!$A$2:$M1000,MATCH(A60,Backlog!$A$2:A1000,0),13)</f>
        <v>6.219959795</v>
      </c>
      <c r="E60" s="57" t="str">
        <f t="shared" si="1"/>
        <v>#DIV/0!</v>
      </c>
      <c r="F60" s="4" t="str">
        <f>IFERROR(__xludf.DUMMYFUNCTION("IMPORTRANGE(""https://docs.google.com/spreadsheets/d/18DfrIzhC5fA8A-r3adxOOCzrHWwbHYufiN01iEToBGk/edit#gid=1015091678"",""Inportant calculator!C$50"")"),"")</f>
        <v/>
      </c>
    </row>
    <row r="61">
      <c r="A61" s="7" t="s">
        <v>92</v>
      </c>
      <c r="B61" s="60">
        <f t="array" ref="B61">INDEX(Backlog!$A$2:$E1000,MATCH(A61,Backlog!$A$2:A61,0),2)</f>
        <v>39</v>
      </c>
      <c r="C61" s="61">
        <f t="array" ref="C61">INDEX(Backlog!$A$2:$E1000,MATCH(A61,Backlog!$A$2:A61,0),3)</f>
        <v>6.270136992</v>
      </c>
      <c r="D61" s="61">
        <f t="array" ref="D61">INDEX(Backlog!$A$2:$M1000,MATCH(A61,Backlog!$A$2:A1000,0),13)</f>
        <v>6.219959795</v>
      </c>
      <c r="E61" s="57" t="str">
        <f t="shared" si="1"/>
        <v>#DIV/0!</v>
      </c>
      <c r="F61" s="4" t="str">
        <f>IFERROR(__xludf.DUMMYFUNCTION("IMPORTRANGE(""https://docs.google.com/spreadsheets/d/18DfrIzhC5fA8A-r3adxOOCzrHWwbHYufiN01iEToBGk/edit#gid=1015091678"",""Inportant calculator!C$50"")"),"")</f>
        <v/>
      </c>
    </row>
    <row r="62">
      <c r="A62" s="7" t="s">
        <v>93</v>
      </c>
      <c r="B62" s="60">
        <f t="array" ref="B62">INDEX(Backlog!$A$2:$E1000,MATCH(A62,Backlog!$A$2:A62,0),2)</f>
        <v>44</v>
      </c>
      <c r="C62" s="61">
        <f t="array" ref="C62">INDEX(Backlog!$A$2:$E1000,MATCH(A62,Backlog!$A$2:A62,0),3)</f>
        <v>7.074000709</v>
      </c>
      <c r="D62" s="61">
        <f t="array" ref="D62">INDEX(Backlog!$A$2:$M1000,MATCH(A62,Backlog!$A$2:A1000,0),13)</f>
        <v>6.219959795</v>
      </c>
      <c r="E62" s="57" t="str">
        <f t="shared" si="1"/>
        <v>#DIV/0!</v>
      </c>
      <c r="F62" s="4" t="str">
        <f>IFERROR(__xludf.DUMMYFUNCTION("IMPORTRANGE(""https://docs.google.com/spreadsheets/d/18DfrIzhC5fA8A-r3adxOOCzrHWwbHYufiN01iEToBGk/edit#gid=1015091678"",""Inportant calculator!C$50"")"),"")</f>
        <v/>
      </c>
    </row>
    <row r="63">
      <c r="A63" s="7" t="s">
        <v>94</v>
      </c>
      <c r="B63" s="60">
        <f t="array" ref="B63">INDEX(Backlog!$A$2:$E1000,MATCH(A63,Backlog!$A$2:A63,0),2)</f>
        <v>108</v>
      </c>
      <c r="C63" s="61">
        <f t="array" ref="C63">INDEX(Backlog!$A$2:$E1000,MATCH(A63,Backlog!$A$2:A63,0),3)</f>
        <v>17.36345628</v>
      </c>
      <c r="D63" s="61">
        <f t="array" ref="D63">INDEX(Backlog!$A$2:$M1000,MATCH(A63,Backlog!$A$2:A1000,0),13)</f>
        <v>6.219959795</v>
      </c>
      <c r="E63" s="57" t="str">
        <f t="shared" si="1"/>
        <v>#DIV/0!</v>
      </c>
      <c r="F63" s="4" t="str">
        <f>IFERROR(__xludf.DUMMYFUNCTION("IMPORTRANGE(""https://docs.google.com/spreadsheets/d/18DfrIzhC5fA8A-r3adxOOCzrHWwbHYufiN01iEToBGk/edit#gid=1015091678"",""Inportant calculator!C$50"")"),"")</f>
        <v/>
      </c>
    </row>
    <row r="64">
      <c r="A64" s="20" t="s">
        <v>95</v>
      </c>
      <c r="B64" s="60">
        <f t="array" ref="B64">INDEX(Backlog!$A$2:$E1000,MATCH(A64,Backlog!$A$2:A64,0),2)</f>
        <v>42</v>
      </c>
      <c r="C64" s="61">
        <f t="array" ref="C64">INDEX(Backlog!$A$2:$E1000,MATCH(A64,Backlog!$A$2:A64,0),3)</f>
        <v>6.752455222</v>
      </c>
      <c r="D64" s="61">
        <f t="array" ref="D64">INDEX(Backlog!$A$2:$M1000,MATCH(A64,Backlog!$A$2:A1000,0),13)</f>
        <v>6.219959795</v>
      </c>
      <c r="E64" s="57" t="str">
        <f t="shared" si="1"/>
        <v>#DIV/0!</v>
      </c>
      <c r="F64" s="4" t="str">
        <f>IFERROR(__xludf.DUMMYFUNCTION("IMPORTRANGE(""https://docs.google.com/spreadsheets/d/18DfrIzhC5fA8A-r3adxOOCzrHWwbHYufiN01iEToBGk/edit#gid=1015091678"",""Inportant calculator!C$50"")"),"")</f>
        <v/>
      </c>
    </row>
    <row r="65">
      <c r="A65" s="7" t="s">
        <v>97</v>
      </c>
      <c r="B65" s="60">
        <f t="array" ref="B65">INDEX(Backlog!$A$2:$E1000,MATCH(A65,Backlog!$A$2:A65,0),2)</f>
        <v>39</v>
      </c>
      <c r="C65" s="61">
        <f t="array" ref="C65">INDEX(Backlog!$A$2:$E1000,MATCH(A65,Backlog!$A$2:A65,0),3)</f>
        <v>6.270136992</v>
      </c>
      <c r="D65" s="61">
        <f t="array" ref="D65">INDEX(Backlog!$A$2:$M1000,MATCH(A65,Backlog!$A$2:A1000,0),13)</f>
        <v>6.219959795</v>
      </c>
      <c r="E65" s="57" t="str">
        <f t="shared" si="1"/>
        <v>#DIV/0!</v>
      </c>
      <c r="F65" s="4" t="str">
        <f>IFERROR(__xludf.DUMMYFUNCTION("IMPORTRANGE(""https://docs.google.com/spreadsheets/d/18DfrIzhC5fA8A-r3adxOOCzrHWwbHYufiN01iEToBGk/edit#gid=1015091678"",""Inportant calculator!C$50"")"),"")</f>
        <v/>
      </c>
    </row>
    <row r="66">
      <c r="A66" s="7" t="s">
        <v>98</v>
      </c>
      <c r="B66" s="60">
        <f t="array" ref="B66">INDEX(Backlog!$A$2:$E1000,MATCH(A66,Backlog!$A$2:A66,0),2)</f>
        <v>36</v>
      </c>
      <c r="C66" s="61">
        <f t="array" ref="C66">INDEX(Backlog!$A$2:$E1000,MATCH(A66,Backlog!$A$2:A66,0),3)</f>
        <v>5.787818762</v>
      </c>
      <c r="D66" s="61">
        <f t="array" ref="D66">INDEX(Backlog!$A$2:$M1000,MATCH(A66,Backlog!$A$2:A1000,0),13)</f>
        <v>6.219959795</v>
      </c>
      <c r="E66" s="57" t="str">
        <f t="shared" si="1"/>
        <v>#DIV/0!</v>
      </c>
      <c r="F66" s="4" t="str">
        <f>IFERROR(__xludf.DUMMYFUNCTION("IMPORTRANGE(""https://docs.google.com/spreadsheets/d/18DfrIzhC5fA8A-r3adxOOCzrHWwbHYufiN01iEToBGk/edit#gid=1015091678"",""Inportant calculator!C$50"")"),"")</f>
        <v/>
      </c>
    </row>
    <row r="67">
      <c r="A67" s="20" t="s">
        <v>99</v>
      </c>
      <c r="B67" s="60">
        <f t="array" ref="B67">INDEX(Backlog!$A$2:$E1000,MATCH(A67,Backlog!$A$2:A67,0),2)</f>
        <v>53</v>
      </c>
      <c r="C67" s="61">
        <f t="array" ref="C67">INDEX(Backlog!$A$2:$E1000,MATCH(A67,Backlog!$A$2:A67,0),3)</f>
        <v>8.520955399</v>
      </c>
      <c r="D67" s="61">
        <f t="array" ref="D67">INDEX(Backlog!$A$2:$M1000,MATCH(A67,Backlog!$A$2:A1000,0),13)</f>
        <v>6.219959795</v>
      </c>
      <c r="E67" s="57" t="str">
        <f t="shared" si="1"/>
        <v>#DIV/0!</v>
      </c>
      <c r="F67" s="4" t="str">
        <f>IFERROR(__xludf.DUMMYFUNCTION("IMPORTRANGE(""https://docs.google.com/spreadsheets/d/18DfrIzhC5fA8A-r3adxOOCzrHWwbHYufiN01iEToBGk/edit#gid=1015091678"",""Inportant calculator!C$50"")"),"")</f>
        <v/>
      </c>
    </row>
    <row r="68">
      <c r="A68" s="7" t="s">
        <v>100</v>
      </c>
      <c r="B68" s="60">
        <f t="array" ref="B68">INDEX(Backlog!$A$2:$E1000,MATCH(A68,Backlog!$A$2:A68,0),2)</f>
        <v>53</v>
      </c>
      <c r="C68" s="61">
        <f t="array" ref="C68">INDEX(Backlog!$A$2:$E1000,MATCH(A68,Backlog!$A$2:A68,0),3)</f>
        <v>8.520955399</v>
      </c>
      <c r="D68" s="61">
        <f t="array" ref="D68">INDEX(Backlog!$A$2:$M1000,MATCH(A68,Backlog!$A$2:A1000,0),13)</f>
        <v>6.219959795</v>
      </c>
      <c r="E68" s="57" t="str">
        <f t="shared" si="1"/>
        <v>#DIV/0!</v>
      </c>
      <c r="F68" s="4" t="str">
        <f>IFERROR(__xludf.DUMMYFUNCTION("IMPORTRANGE(""https://docs.google.com/spreadsheets/d/18DfrIzhC5fA8A-r3adxOOCzrHWwbHYufiN01iEToBGk/edit#gid=1015091678"",""Inportant calculator!C$50"")"),"")</f>
        <v/>
      </c>
    </row>
    <row r="69">
      <c r="A69" s="7" t="s">
        <v>101</v>
      </c>
      <c r="B69" s="60">
        <f t="array" ref="B69">INDEX(Backlog!$A$2:$E1000,MATCH(A69,Backlog!$A$2:A69,0),2)</f>
        <v>7</v>
      </c>
      <c r="C69" s="61">
        <f t="array" ref="C69">INDEX(Backlog!$A$2:$E1000,MATCH(A69,Backlog!$A$2:A69,0),3)</f>
        <v>1.125409204</v>
      </c>
      <c r="D69" s="61">
        <f t="array" ref="D69">INDEX(Backlog!$A$2:$M1000,MATCH(A69,Backlog!$A$2:A1000,0),13)</f>
        <v>6.219959795</v>
      </c>
      <c r="E69" s="57" t="str">
        <f t="shared" si="1"/>
        <v>#DIV/0!</v>
      </c>
      <c r="F69" s="4" t="str">
        <f>IFERROR(__xludf.DUMMYFUNCTION("IMPORTRANGE(""https://docs.google.com/spreadsheets/d/18DfrIzhC5fA8A-r3adxOOCzrHWwbHYufiN01iEToBGk/edit#gid=1015091678"",""Inportant calculator!C$50"")"),"")</f>
        <v/>
      </c>
    </row>
    <row r="70">
      <c r="A70" s="7" t="s">
        <v>102</v>
      </c>
      <c r="B70" s="60">
        <f t="array" ref="B70">INDEX(Backlog!$A$2:$E1000,MATCH(A70,Backlog!$A$2:A70,0),2)</f>
        <v>13</v>
      </c>
      <c r="C70" s="61">
        <f t="array" ref="C70">INDEX(Backlog!$A$2:$E1000,MATCH(A70,Backlog!$A$2:A70,0),3)</f>
        <v>2.090045664</v>
      </c>
      <c r="D70" s="61">
        <f t="array" ref="D70">INDEX(Backlog!$A$2:$M1000,MATCH(A70,Backlog!$A$2:A1000,0),13)</f>
        <v>6.219959795</v>
      </c>
      <c r="E70" s="57" t="str">
        <f t="shared" si="1"/>
        <v>#DIV/0!</v>
      </c>
      <c r="F70" s="4" t="str">
        <f>IFERROR(__xludf.DUMMYFUNCTION("IMPORTRANGE(""https://docs.google.com/spreadsheets/d/18DfrIzhC5fA8A-r3adxOOCzrHWwbHYufiN01iEToBGk/edit#gid=1015091678"",""Inportant calculator!C$50"")"),"")</f>
        <v/>
      </c>
    </row>
    <row r="71">
      <c r="A71" s="7" t="s">
        <v>104</v>
      </c>
      <c r="B71" s="60">
        <f t="array" ref="B71">INDEX(Backlog!$A$2:$E1000,MATCH(A71,Backlog!$A$2:A71,0),2)</f>
        <v>55</v>
      </c>
      <c r="C71" s="61">
        <f t="array" ref="C71">INDEX(Backlog!$A$2:$E1000,MATCH(A71,Backlog!$A$2:A71,0),3)</f>
        <v>8.842500886</v>
      </c>
      <c r="D71" s="61">
        <f t="array" ref="D71">INDEX(Backlog!$A$2:$M1000,MATCH(A71,Backlog!$A$2:A1000,0),13)</f>
        <v>6.219959795</v>
      </c>
      <c r="E71" s="57" t="str">
        <f t="shared" si="1"/>
        <v>#DIV/0!</v>
      </c>
      <c r="F71" s="4" t="str">
        <f>IFERROR(__xludf.DUMMYFUNCTION("IMPORTRANGE(""https://docs.google.com/spreadsheets/d/18DfrIzhC5fA8A-r3adxOOCzrHWwbHYufiN01iEToBGk/edit#gid=1015091678"",""Inportant calculator!C$50"")"),"")</f>
        <v/>
      </c>
    </row>
    <row r="72">
      <c r="A72" s="7" t="s">
        <v>105</v>
      </c>
      <c r="B72" s="60">
        <f t="array" ref="B72">INDEX(Backlog!$A$2:$E1000,MATCH(A72,Backlog!$A$2:A72,0),2)</f>
        <v>47</v>
      </c>
      <c r="C72" s="61">
        <f t="array" ref="C72">INDEX(Backlog!$A$2:$E1000,MATCH(A72,Backlog!$A$2:A72,0),3)</f>
        <v>7.556318939</v>
      </c>
      <c r="D72" s="61">
        <f t="array" ref="D72">INDEX(Backlog!$A$2:$M1000,MATCH(A72,Backlog!$A$2:A1000,0),13)</f>
        <v>6.219959795</v>
      </c>
      <c r="E72" s="57" t="str">
        <f t="shared" si="1"/>
        <v>#DIV/0!</v>
      </c>
      <c r="F72" s="4" t="str">
        <f>IFERROR(__xludf.DUMMYFUNCTION("IMPORTRANGE(""https://docs.google.com/spreadsheets/d/18DfrIzhC5fA8A-r3adxOOCzrHWwbHYufiN01iEToBGk/edit#gid=1015091678"",""Inportant calculator!C$50"")"),"")</f>
        <v/>
      </c>
    </row>
    <row r="73">
      <c r="A73" s="4" t="s">
        <v>106</v>
      </c>
      <c r="B73" s="60">
        <f t="array" ref="B73">INDEX(Backlog!$A$2:$E1000,MATCH(A73,Backlog!$A$2:A73,0),2)</f>
        <v>60</v>
      </c>
      <c r="C73" s="61">
        <f t="array" ref="C73">INDEX(Backlog!$A$2:$E1000,MATCH(A73,Backlog!$A$2:A73,0),3)</f>
        <v>9.646364603</v>
      </c>
      <c r="D73" s="61">
        <f t="array" ref="D73">INDEX(Backlog!$A$2:$M1000,MATCH(A73,Backlog!$A$2:A1000,0),13)</f>
        <v>6.219959795</v>
      </c>
      <c r="E73" s="57" t="str">
        <f t="shared" si="1"/>
        <v>#DIV/0!</v>
      </c>
      <c r="F73" s="4" t="str">
        <f>IFERROR(__xludf.DUMMYFUNCTION("IMPORTRANGE(""https://docs.google.com/spreadsheets/d/18DfrIzhC5fA8A-r3adxOOCzrHWwbHYufiN01iEToBGk/edit#gid=1015091678"",""Inportant calculator!C$50"")"),"")</f>
        <v/>
      </c>
    </row>
    <row r="74">
      <c r="A74" s="19" t="s">
        <v>107</v>
      </c>
      <c r="B74" s="60">
        <f t="array" ref="B74">INDEX(Backlog!$A$2:$E1000,MATCH(A74,Backlog!$A$2:A74,0),2)</f>
        <v>24</v>
      </c>
      <c r="C74" s="61">
        <f t="array" ref="C74">INDEX(Backlog!$A$2:$E1000,MATCH(A74,Backlog!$A$2:A74,0),3)</f>
        <v>3.858545841</v>
      </c>
      <c r="D74" s="61">
        <f t="array" ref="D74">INDEX(Backlog!$A$2:$M1000,MATCH(A74,Backlog!$A$2:A1000,0),13)</f>
        <v>6.219959795</v>
      </c>
      <c r="E74" s="57" t="str">
        <f t="shared" si="1"/>
        <v>#DIV/0!</v>
      </c>
      <c r="F74" s="4" t="str">
        <f>IFERROR(__xludf.DUMMYFUNCTION("IMPORTRANGE(""https://docs.google.com/spreadsheets/d/18DfrIzhC5fA8A-r3adxOOCzrHWwbHYufiN01iEToBGk/edit#gid=1015091678"",""Inportant calculator!C$50"")"),"")</f>
        <v/>
      </c>
    </row>
    <row r="75">
      <c r="A75" s="7" t="s">
        <v>108</v>
      </c>
      <c r="B75" s="60">
        <f t="array" ref="B75">INDEX(Backlog!$A$2:$E1000,MATCH(A75,Backlog!$A$2:A75,0),2)</f>
        <v>52</v>
      </c>
      <c r="C75" s="61">
        <f t="array" ref="C75">INDEX(Backlog!$A$2:$E1000,MATCH(A75,Backlog!$A$2:A75,0),3)</f>
        <v>8.360182656</v>
      </c>
      <c r="D75" s="61">
        <f t="array" ref="D75">INDEX(Backlog!$A$2:$M1000,MATCH(A75,Backlog!$A$2:A1000,0),13)</f>
        <v>6.219959795</v>
      </c>
      <c r="E75" s="57" t="str">
        <f t="shared" si="1"/>
        <v>#DIV/0!</v>
      </c>
      <c r="F75" s="4" t="str">
        <f>IFERROR(__xludf.DUMMYFUNCTION("IMPORTRANGE(""https://docs.google.com/spreadsheets/d/18DfrIzhC5fA8A-r3adxOOCzrHWwbHYufiN01iEToBGk/edit#gid=1015091678"",""Inportant calculator!C$50"")"),"")</f>
        <v/>
      </c>
    </row>
    <row r="76">
      <c r="A76" s="7" t="s">
        <v>110</v>
      </c>
      <c r="B76" s="60">
        <f t="array" ref="B76">INDEX(Backlog!$A$2:$E1000,MATCH(A76,Backlog!$A$2:A76,0),2)</f>
        <v>27</v>
      </c>
      <c r="C76" s="61">
        <f t="array" ref="C76">INDEX(Backlog!$A$2:$E1000,MATCH(A76,Backlog!$A$2:A76,0),3)</f>
        <v>4.340864071</v>
      </c>
      <c r="D76" s="61">
        <f t="array" ref="D76">INDEX(Backlog!$A$2:$M1000,MATCH(A76,Backlog!$A$2:A1000,0),13)</f>
        <v>6.219959795</v>
      </c>
      <c r="E76" s="57" t="str">
        <f t="shared" si="1"/>
        <v>#DIV/0!</v>
      </c>
      <c r="F76" s="4" t="str">
        <f>IFERROR(__xludf.DUMMYFUNCTION("IMPORTRANGE(""https://docs.google.com/spreadsheets/d/18DfrIzhC5fA8A-r3adxOOCzrHWwbHYufiN01iEToBGk/edit#gid=1015091678"",""Inportant calculator!C$50"")"),"")</f>
        <v/>
      </c>
    </row>
    <row r="77">
      <c r="A77" s="7" t="s">
        <v>111</v>
      </c>
      <c r="B77" s="60">
        <f t="array" ref="B77">INDEX(Backlog!$A$2:$E1000,MATCH(A77,Backlog!$A$2:A77,0),2)</f>
        <v>13</v>
      </c>
      <c r="C77" s="61">
        <f t="array" ref="C77">INDEX(Backlog!$A$2:$E1000,MATCH(A77,Backlog!$A$2:A77,0),3)</f>
        <v>2.090045664</v>
      </c>
      <c r="D77" s="61">
        <f t="array" ref="D77">INDEX(Backlog!$A$2:$M1000,MATCH(A77,Backlog!$A$2:A1000,0),13)</f>
        <v>6.219959795</v>
      </c>
      <c r="E77" s="57" t="str">
        <f t="shared" si="1"/>
        <v>#DIV/0!</v>
      </c>
      <c r="F77" s="4" t="str">
        <f>IFERROR(__xludf.DUMMYFUNCTION("IMPORTRANGE(""https://docs.google.com/spreadsheets/d/18DfrIzhC5fA8A-r3adxOOCzrHWwbHYufiN01iEToBGk/edit#gid=1015091678"",""Inportant calculator!C$50"")"),"")</f>
        <v/>
      </c>
    </row>
    <row r="78">
      <c r="A78" s="7" t="s">
        <v>112</v>
      </c>
      <c r="B78" s="60">
        <f t="array" ref="B78">INDEX(Backlog!$A$2:$E1000,MATCH(A78,Backlog!$A$2:A78,0),2)</f>
        <v>7</v>
      </c>
      <c r="C78" s="61">
        <f t="array" ref="C78">INDEX(Backlog!$A$2:$E1000,MATCH(A78,Backlog!$A$2:A78,0),3)</f>
        <v>1.125409204</v>
      </c>
      <c r="D78" s="61">
        <f t="array" ref="D78">INDEX(Backlog!$A$2:$M1000,MATCH(A78,Backlog!$A$2:A1000,0),13)</f>
        <v>6.219959795</v>
      </c>
      <c r="E78" s="57" t="str">
        <f t="shared" si="1"/>
        <v>#DIV/0!</v>
      </c>
      <c r="F78" s="4" t="str">
        <f>IFERROR(__xludf.DUMMYFUNCTION("IMPORTRANGE(""https://docs.google.com/spreadsheets/d/18DfrIzhC5fA8A-r3adxOOCzrHWwbHYufiN01iEToBGk/edit#gid=1015091678"",""Inportant calculator!C$50"")"),"")</f>
        <v/>
      </c>
    </row>
    <row r="79">
      <c r="A79" s="7" t="s">
        <v>113</v>
      </c>
      <c r="B79" s="60">
        <f t="array" ref="B79">INDEX(Backlog!$A$2:$E1000,MATCH(A79,Backlog!$A$2:A79,0),2)</f>
        <v>37</v>
      </c>
      <c r="C79" s="61">
        <f t="array" ref="C79">INDEX(Backlog!$A$2:$E1000,MATCH(A79,Backlog!$A$2:A79,0),3)</f>
        <v>1.125409204</v>
      </c>
      <c r="D79" s="61">
        <f t="array" ref="D79">INDEX(Backlog!$A$2:$M1000,MATCH(A79,Backlog!$A$2:A1000,0),13)</f>
        <v>6.219959795</v>
      </c>
      <c r="E79" s="57" t="str">
        <f t="shared" si="1"/>
        <v>#DIV/0!</v>
      </c>
      <c r="F79" s="4" t="str">
        <f>IFERROR(__xludf.DUMMYFUNCTION("IMPORTRANGE(""https://docs.google.com/spreadsheets/d/18DfrIzhC5fA8A-r3adxOOCzrHWwbHYufiN01iEToBGk/edit#gid=1015091678"",""Inportant calculator!C$50"")"),"")</f>
        <v/>
      </c>
    </row>
    <row r="80">
      <c r="A80" s="7" t="s">
        <v>114</v>
      </c>
      <c r="B80" s="60">
        <f t="array" ref="B80">INDEX(Backlog!$A$2:$E1000,MATCH(A80,Backlog!$A$2:A80,0),2)</f>
        <v>55.5</v>
      </c>
      <c r="C80" s="61">
        <f t="array" ref="C80">INDEX(Backlog!$A$2:$E1000,MATCH(A80,Backlog!$A$2:A80,0),3)</f>
        <v>8.922887258</v>
      </c>
      <c r="D80" s="61">
        <f t="array" ref="D80">INDEX(Backlog!$A$2:$M1000,MATCH(A80,Backlog!$A$2:A1000,0),13)</f>
        <v>6.219959795</v>
      </c>
      <c r="E80" s="57" t="str">
        <f t="shared" si="1"/>
        <v>#DIV/0!</v>
      </c>
      <c r="F80" s="4" t="str">
        <f>IFERROR(__xludf.DUMMYFUNCTION("IMPORTRANGE(""https://docs.google.com/spreadsheets/d/18DfrIzhC5fA8A-r3adxOOCzrHWwbHYufiN01iEToBGk/edit#gid=1015091678"",""Inportant calculator!C$50"")"),"")</f>
        <v/>
      </c>
    </row>
    <row r="81">
      <c r="A81" s="7" t="s">
        <v>115</v>
      </c>
      <c r="B81" s="60">
        <f t="array" ref="B81">INDEX(Backlog!$A$2:$E1000,MATCH(A81,Backlog!$A$2:A81,0),2)</f>
        <v>64</v>
      </c>
      <c r="C81" s="61">
        <f t="array" ref="C81">INDEX(Backlog!$A$2:$E1000,MATCH(A81,Backlog!$A$2:A81,0),3)</f>
        <v>10.28945558</v>
      </c>
      <c r="D81" s="61">
        <f t="array" ref="D81">INDEX(Backlog!$A$2:$M1000,MATCH(A81,Backlog!$A$2:A1000,0),13)</f>
        <v>6.219959795</v>
      </c>
      <c r="E81" s="57" t="str">
        <f t="shared" si="1"/>
        <v>#DIV/0!</v>
      </c>
      <c r="F81" s="4" t="str">
        <f>IFERROR(__xludf.DUMMYFUNCTION("IMPORTRANGE(""https://docs.google.com/spreadsheets/d/18DfrIzhC5fA8A-r3adxOOCzrHWwbHYufiN01iEToBGk/edit#gid=1015091678"",""Inportant calculator!C$50"")"),"")</f>
        <v/>
      </c>
    </row>
    <row r="82">
      <c r="A82" s="7" t="s">
        <v>116</v>
      </c>
      <c r="B82" s="60">
        <f t="array" ref="B82">INDEX(Backlog!$A$2:$E1000,MATCH(A82,Backlog!$A$2:A82,0),2)</f>
        <v>130</v>
      </c>
      <c r="C82" s="61">
        <f t="array" ref="C82">INDEX(Backlog!$A$2:$E1000,MATCH(A82,Backlog!$A$2:A82,0),3)</f>
        <v>20.90045664</v>
      </c>
      <c r="D82" s="61">
        <f t="array" ref="D82">INDEX(Backlog!$A$2:$M1000,MATCH(A82,Backlog!$A$2:A1000,0),13)</f>
        <v>6.219959795</v>
      </c>
      <c r="E82" s="57" t="str">
        <f t="shared" si="1"/>
        <v>#DIV/0!</v>
      </c>
      <c r="F82" s="4" t="str">
        <f>IFERROR(__xludf.DUMMYFUNCTION("IMPORTRANGE(""https://docs.google.com/spreadsheets/d/18DfrIzhC5fA8A-r3adxOOCzrHWwbHYufiN01iEToBGk/edit#gid=1015091678"",""Inportant calculator!C$50"")"),"")</f>
        <v/>
      </c>
    </row>
    <row r="83">
      <c r="A83" s="7" t="s">
        <v>117</v>
      </c>
      <c r="B83" s="60">
        <f t="array" ref="B83">INDEX(Backlog!$A$2:$E1000,MATCH(A83,Backlog!$A$2:A83,0),2)</f>
        <v>40</v>
      </c>
      <c r="C83" s="61">
        <f t="array" ref="C83">INDEX(Backlog!$A$2:$E1000,MATCH(A83,Backlog!$A$2:A83,0),3)</f>
        <v>6.430909735</v>
      </c>
      <c r="D83" s="61">
        <f t="array" ref="D83">INDEX(Backlog!$A$2:$M1000,MATCH(A83,Backlog!$A$2:A1000,0),13)</f>
        <v>6.219959795</v>
      </c>
      <c r="E83" s="57" t="str">
        <f t="shared" si="1"/>
        <v>#DIV/0!</v>
      </c>
      <c r="F83" s="4" t="str">
        <f>IFERROR(__xludf.DUMMYFUNCTION("IMPORTRANGE(""https://docs.google.com/spreadsheets/d/18DfrIzhC5fA8A-r3adxOOCzrHWwbHYufiN01iEToBGk/edit#gid=1015091678"",""Inportant calculator!C$50"")"),"")</f>
        <v/>
      </c>
    </row>
    <row r="84">
      <c r="A84" s="7" t="s">
        <v>118</v>
      </c>
      <c r="B84" s="60">
        <f t="array" ref="B84">INDEX(Backlog!$A$2:$E1000,MATCH(A84,Backlog!$A$2:A84,0),2)</f>
        <v>13</v>
      </c>
      <c r="C84" s="61">
        <f t="array" ref="C84">INDEX(Backlog!$A$2:$E1000,MATCH(A84,Backlog!$A$2:A84,0),3)</f>
        <v>2.090045664</v>
      </c>
      <c r="D84" s="61">
        <f t="array" ref="D84">INDEX(Backlog!$A$2:$M1000,MATCH(A84,Backlog!$A$2:A1000,0),13)</f>
        <v>6.219959795</v>
      </c>
      <c r="E84" s="57" t="str">
        <f t="shared" si="1"/>
        <v>#DIV/0!</v>
      </c>
      <c r="F84" s="4" t="str">
        <f>IFERROR(__xludf.DUMMYFUNCTION("IMPORTRANGE(""https://docs.google.com/spreadsheets/d/18DfrIzhC5fA8A-r3adxOOCzrHWwbHYufiN01iEToBGk/edit#gid=1015091678"",""Inportant calculator!C$50"")"),"")</f>
        <v/>
      </c>
    </row>
    <row r="85">
      <c r="A85" s="7" t="s">
        <v>119</v>
      </c>
      <c r="B85" s="60">
        <f t="array" ref="B85">INDEX(Backlog!$A$2:$E1000,MATCH(A85,Backlog!$A$2:A85,0),2)</f>
        <v>9</v>
      </c>
      <c r="C85" s="61">
        <f t="array" ref="C85">INDEX(Backlog!$A$2:$E1000,MATCH(A85,Backlog!$A$2:A85,0),3)</f>
        <v>1.44695469</v>
      </c>
      <c r="D85" s="61">
        <f t="array" ref="D85">INDEX(Backlog!$A$2:$M1000,MATCH(A85,Backlog!$A$2:A1000,0),13)</f>
        <v>6.219959795</v>
      </c>
      <c r="E85" s="57" t="str">
        <f t="shared" si="1"/>
        <v>#DIV/0!</v>
      </c>
      <c r="F85" s="4" t="str">
        <f>IFERROR(__xludf.DUMMYFUNCTION("IMPORTRANGE(""https://docs.google.com/spreadsheets/d/18DfrIzhC5fA8A-r3adxOOCzrHWwbHYufiN01iEToBGk/edit#gid=1015091678"",""Inportant calculator!C$50"")"),"")</f>
        <v/>
      </c>
    </row>
    <row r="86">
      <c r="A86" s="7" t="s">
        <v>120</v>
      </c>
      <c r="B86" s="60">
        <f t="array" ref="B86">INDEX(Backlog!$A$2:$E1000,MATCH(A86,Backlog!$A$2:A86,0),2)</f>
        <v>20</v>
      </c>
      <c r="C86" s="61">
        <f t="array" ref="C86">INDEX(Backlog!$A$2:$E1000,MATCH(A86,Backlog!$A$2:A86,0),3)</f>
        <v>3.215454868</v>
      </c>
      <c r="D86" s="61">
        <f t="array" ref="D86">INDEX(Backlog!$A$2:$M1000,MATCH(A86,Backlog!$A$2:A1000,0),13)</f>
        <v>6.219959795</v>
      </c>
      <c r="E86" s="57" t="str">
        <f t="shared" si="1"/>
        <v>#DIV/0!</v>
      </c>
      <c r="F86" s="4" t="str">
        <f>IFERROR(__xludf.DUMMYFUNCTION("IMPORTRANGE(""https://docs.google.com/spreadsheets/d/18DfrIzhC5fA8A-r3adxOOCzrHWwbHYufiN01iEToBGk/edit#gid=1015091678"",""Inportant calculator!C$50"")"),"")</f>
        <v/>
      </c>
    </row>
    <row r="87">
      <c r="A87" s="20" t="s">
        <v>121</v>
      </c>
      <c r="B87" s="60">
        <f t="array" ref="B87">INDEX(Backlog!$A$2:$E1000,MATCH(A87,Backlog!$A$2:A87,0),2)</f>
        <v>26</v>
      </c>
      <c r="C87" s="61">
        <f t="array" ref="C87">INDEX(Backlog!$A$2:$E1000,MATCH(A87,Backlog!$A$2:A87,0),3)</f>
        <v>4.180091328</v>
      </c>
      <c r="D87" s="61">
        <f t="array" ref="D87">INDEX(Backlog!$A$2:$M1000,MATCH(A87,Backlog!$A$2:A1000,0),13)</f>
        <v>6.219959795</v>
      </c>
      <c r="E87" s="57" t="str">
        <f t="shared" si="1"/>
        <v>#DIV/0!</v>
      </c>
      <c r="F87" s="4" t="str">
        <f>IFERROR(__xludf.DUMMYFUNCTION("IMPORTRANGE(""https://docs.google.com/spreadsheets/d/18DfrIzhC5fA8A-r3adxOOCzrHWwbHYufiN01iEToBGk/edit#gid=1015091678"",""Inportant calculator!C$50"")"),"")</f>
        <v/>
      </c>
    </row>
    <row r="88">
      <c r="A88" s="7" t="s">
        <v>122</v>
      </c>
      <c r="B88" s="60">
        <f t="array" ref="B88">INDEX(Backlog!$A$2:$E1000,MATCH(A88,Backlog!$A$2:A88,0),2)</f>
        <v>4</v>
      </c>
      <c r="C88" s="61">
        <f t="array" ref="C88">INDEX(Backlog!$A$2:$E1000,MATCH(A88,Backlog!$A$2:A88,0),3)</f>
        <v>0.6430909735</v>
      </c>
      <c r="D88" s="61">
        <f t="array" ref="D88">INDEX(Backlog!$A$2:$M1000,MATCH(A88,Backlog!$A$2:A1000,0),13)</f>
        <v>6.219959795</v>
      </c>
      <c r="E88" s="57" t="str">
        <f t="shared" si="1"/>
        <v>#DIV/0!</v>
      </c>
      <c r="F88" s="4" t="str">
        <f>IFERROR(__xludf.DUMMYFUNCTION("IMPORTRANGE(""https://docs.google.com/spreadsheets/d/18DfrIzhC5fA8A-r3adxOOCzrHWwbHYufiN01iEToBGk/edit#gid=1015091678"",""Inportant calculator!C$50"")"),"")</f>
        <v/>
      </c>
    </row>
    <row r="89">
      <c r="A89" s="7" t="s">
        <v>123</v>
      </c>
      <c r="B89" s="60">
        <f t="array" ref="B89">INDEX(Backlog!$A$2:$E1000,MATCH(A89,Backlog!$A$2:A89,0),2)</f>
        <v>34</v>
      </c>
      <c r="C89" s="61">
        <f t="array" ref="C89">INDEX(Backlog!$A$2:$E1000,MATCH(A89,Backlog!$A$2:A89,0),3)</f>
        <v>5.466273275</v>
      </c>
      <c r="D89" s="61">
        <f t="array" ref="D89">INDEX(Backlog!$A$2:$M1000,MATCH(A89,Backlog!$A$2:A1000,0),13)</f>
        <v>6.219959795</v>
      </c>
      <c r="E89" s="57" t="str">
        <f t="shared" si="1"/>
        <v>#DIV/0!</v>
      </c>
      <c r="F89" s="4" t="str">
        <f>IFERROR(__xludf.DUMMYFUNCTION("IMPORTRANGE(""https://docs.google.com/spreadsheets/d/18DfrIzhC5fA8A-r3adxOOCzrHWwbHYufiN01iEToBGk/edit#gid=1015091678"",""Inportant calculator!C$50"")"),"")</f>
        <v/>
      </c>
    </row>
    <row r="90">
      <c r="A90" s="7" t="s">
        <v>124</v>
      </c>
      <c r="B90" s="60">
        <f t="array" ref="B90">INDEX(Backlog!$A$2:$E1000,MATCH(A90,Backlog!$A$2:A90,0),2)</f>
        <v>22</v>
      </c>
      <c r="C90" s="61">
        <f t="array" ref="C90">INDEX(Backlog!$A$2:$E1000,MATCH(A90,Backlog!$A$2:A90,0),3)</f>
        <v>3.537000354</v>
      </c>
      <c r="D90" s="61">
        <f t="array" ref="D90">INDEX(Backlog!$A$2:$M1000,MATCH(A90,Backlog!$A$2:A1000,0),13)</f>
        <v>6.219959795</v>
      </c>
      <c r="E90" s="57" t="str">
        <f t="shared" si="1"/>
        <v>#DIV/0!</v>
      </c>
      <c r="F90" s="4" t="str">
        <f>IFERROR(__xludf.DUMMYFUNCTION("IMPORTRANGE(""https://docs.google.com/spreadsheets/d/18DfrIzhC5fA8A-r3adxOOCzrHWwbHYufiN01iEToBGk/edit#gid=1015091678"",""Inportant calculator!C$50"")"),"")</f>
        <v/>
      </c>
    </row>
    <row r="91">
      <c r="A91" s="7" t="s">
        <v>125</v>
      </c>
      <c r="B91" s="60">
        <f t="array" ref="B91">INDEX(Backlog!$A$2:$E1000,MATCH(A91,Backlog!$A$2:A91,0),2)</f>
        <v>57</v>
      </c>
      <c r="C91" s="61">
        <f t="array" ref="C91">INDEX(Backlog!$A$2:$E1000,MATCH(A91,Backlog!$A$2:A91,0),3)</f>
        <v>9.164046373</v>
      </c>
      <c r="D91" s="61">
        <f t="array" ref="D91">INDEX(Backlog!$A$2:$M1000,MATCH(A91,Backlog!$A$2:A1000,0),13)</f>
        <v>6.219959795</v>
      </c>
      <c r="E91" s="57" t="str">
        <f t="shared" si="1"/>
        <v>#DIV/0!</v>
      </c>
      <c r="F91" s="4" t="str">
        <f>IFERROR(__xludf.DUMMYFUNCTION("IMPORTRANGE(""https://docs.google.com/spreadsheets/d/18DfrIzhC5fA8A-r3adxOOCzrHWwbHYufiN01iEToBGk/edit#gid=1015091678"",""Inportant calculator!C$50"")"),"")</f>
        <v/>
      </c>
    </row>
    <row r="92">
      <c r="A92" s="7" t="s">
        <v>126</v>
      </c>
      <c r="B92" s="60">
        <f t="array" ref="B92">INDEX(Backlog!$A$2:$E1000,MATCH(A92,Backlog!$A$2:A92,0),2)</f>
        <v>41</v>
      </c>
      <c r="C92" s="61">
        <f t="array" ref="C92">INDEX(Backlog!$A$2:$E1000,MATCH(A92,Backlog!$A$2:A92,0),3)</f>
        <v>6.591682479</v>
      </c>
      <c r="D92" s="61">
        <f t="array" ref="D92">INDEX(Backlog!$A$2:$M1000,MATCH(A92,Backlog!$A$2:A1000,0),13)</f>
        <v>6.219959795</v>
      </c>
      <c r="E92" s="57" t="str">
        <f t="shared" si="1"/>
        <v>#DIV/0!</v>
      </c>
      <c r="F92" s="4" t="str">
        <f>IFERROR(__xludf.DUMMYFUNCTION("IMPORTRANGE(""https://docs.google.com/spreadsheets/d/18DfrIzhC5fA8A-r3adxOOCzrHWwbHYufiN01iEToBGk/edit#gid=1015091678"",""Inportant calculator!C$50"")"),"")</f>
        <v/>
      </c>
    </row>
    <row r="93">
      <c r="A93" s="7" t="s">
        <v>127</v>
      </c>
      <c r="B93" s="60">
        <f t="array" ref="B93">INDEX(Backlog!$A$2:$E1000,MATCH(A93,Backlog!$A$2:A93,0),2)</f>
        <v>75</v>
      </c>
      <c r="C93" s="61">
        <f t="array" ref="C93">INDEX(Backlog!$A$2:$E1000,MATCH(A93,Backlog!$A$2:A93,0),3)</f>
        <v>12.05795575</v>
      </c>
      <c r="D93" s="61">
        <f t="array" ref="D93">INDEX(Backlog!$A$2:$M1000,MATCH(A93,Backlog!$A$2:A1000,0),13)</f>
        <v>6.219959795</v>
      </c>
      <c r="E93" s="57" t="str">
        <f t="shared" si="1"/>
        <v>#DIV/0!</v>
      </c>
      <c r="F93" s="4" t="str">
        <f>IFERROR(__xludf.DUMMYFUNCTION("IMPORTRANGE(""https://docs.google.com/spreadsheets/d/18DfrIzhC5fA8A-r3adxOOCzrHWwbHYufiN01iEToBGk/edit#gid=1015091678"",""Inportant calculator!C$50"")"),"")</f>
        <v/>
      </c>
    </row>
    <row r="94">
      <c r="A94" s="7" t="s">
        <v>128</v>
      </c>
      <c r="B94" s="60">
        <f t="array" ref="B94">INDEX(Backlog!$A$2:$E1000,MATCH(A94,Backlog!$A$2:A94,0),2)</f>
        <v>150</v>
      </c>
      <c r="C94" s="61">
        <f t="array" ref="C94">INDEX(Backlog!$A$2:$E1000,MATCH(A94,Backlog!$A$2:A94,0),3)</f>
        <v>24.11591151</v>
      </c>
      <c r="D94" s="61">
        <f t="array" ref="D94">INDEX(Backlog!$A$2:$M1000,MATCH(A94,Backlog!$A$2:A1000,0),13)</f>
        <v>6.219959795</v>
      </c>
      <c r="E94" s="57" t="str">
        <f t="shared" si="1"/>
        <v>#DIV/0!</v>
      </c>
      <c r="F94" s="4" t="str">
        <f>IFERROR(__xludf.DUMMYFUNCTION("IMPORTRANGE(""https://docs.google.com/spreadsheets/d/18DfrIzhC5fA8A-r3adxOOCzrHWwbHYufiN01iEToBGk/edit#gid=1015091678"",""Inportant calculator!C$50"")"),"")</f>
        <v/>
      </c>
    </row>
    <row r="95">
      <c r="A95" s="7" t="s">
        <v>129</v>
      </c>
      <c r="B95" s="60">
        <f t="array" ref="B95">INDEX(Backlog!$A$2:$E1000,MATCH(A95,Backlog!$A$2:A95,0),2)</f>
        <v>16</v>
      </c>
      <c r="C95" s="61">
        <f t="array" ref="C95">INDEX(Backlog!$A$2:$E1000,MATCH(A95,Backlog!$A$2:A95,0),3)</f>
        <v>2.572363894</v>
      </c>
      <c r="D95" s="61">
        <f t="array" ref="D95">INDEX(Backlog!$A$2:$M1000,MATCH(A95,Backlog!$A$2:A1000,0),13)</f>
        <v>6.219959795</v>
      </c>
      <c r="E95" s="57" t="str">
        <f t="shared" si="1"/>
        <v>#DIV/0!</v>
      </c>
      <c r="F95" s="4" t="str">
        <f>IFERROR(__xludf.DUMMYFUNCTION("IMPORTRANGE(""https://docs.google.com/spreadsheets/d/18DfrIzhC5fA8A-r3adxOOCzrHWwbHYufiN01iEToBGk/edit#gid=1015091678"",""Inportant calculator!C$50"")"),"")</f>
        <v/>
      </c>
    </row>
    <row r="96">
      <c r="A96" s="7" t="s">
        <v>130</v>
      </c>
      <c r="B96" s="60">
        <f t="array" ref="B96">INDEX(Backlog!$A$2:$E1000,MATCH(A96,Backlog!$A$2:A96,0),2)</f>
        <v>24</v>
      </c>
      <c r="C96" s="61">
        <f t="array" ref="C96">INDEX(Backlog!$A$2:$E1000,MATCH(A96,Backlog!$A$2:A96,0),3)</f>
        <v>3.858545841</v>
      </c>
      <c r="D96" s="61">
        <f t="array" ref="D96">INDEX(Backlog!$A$2:$M1000,MATCH(A96,Backlog!$A$2:A1000,0),13)</f>
        <v>6.219959795</v>
      </c>
      <c r="E96" s="57" t="str">
        <f t="shared" si="1"/>
        <v>#DIV/0!</v>
      </c>
      <c r="F96" s="4" t="str">
        <f>IFERROR(__xludf.DUMMYFUNCTION("IMPORTRANGE(""https://docs.google.com/spreadsheets/d/18DfrIzhC5fA8A-r3adxOOCzrHWwbHYufiN01iEToBGk/edit#gid=1015091678"",""Inportant calculator!C$50"")"),"")</f>
        <v/>
      </c>
    </row>
    <row r="97">
      <c r="A97" s="7" t="s">
        <v>131</v>
      </c>
      <c r="B97" s="60">
        <f t="array" ref="B97">INDEX(Backlog!$A$2:$E1000,MATCH(A97,Backlog!$A$2:A97,0),2)</f>
        <v>103</v>
      </c>
      <c r="C97" s="61">
        <f t="array" ref="C97">INDEX(Backlog!$A$2:$E1000,MATCH(A97,Backlog!$A$2:A97,0),3)</f>
        <v>16.55959257</v>
      </c>
      <c r="D97" s="61">
        <f t="array" ref="D97">INDEX(Backlog!$A$2:$M1000,MATCH(A97,Backlog!$A$2:A1000,0),13)</f>
        <v>6.219959795</v>
      </c>
      <c r="E97" s="57" t="str">
        <f t="shared" si="1"/>
        <v>#DIV/0!</v>
      </c>
      <c r="F97" s="4" t="str">
        <f>IFERROR(__xludf.DUMMYFUNCTION("IMPORTRANGE(""https://docs.google.com/spreadsheets/d/18DfrIzhC5fA8A-r3adxOOCzrHWwbHYufiN01iEToBGk/edit#gid=1015091678"",""Inportant calculator!C$50"")"),"")</f>
        <v/>
      </c>
    </row>
    <row r="98">
      <c r="A98" s="7" t="s">
        <v>133</v>
      </c>
      <c r="B98" s="60">
        <f t="array" ref="B98">INDEX(Backlog!$A$2:$E1000,MATCH(A98,Backlog!$A$2:A98,0),2)</f>
        <v>103</v>
      </c>
      <c r="C98" s="61">
        <f t="array" ref="C98">INDEX(Backlog!$A$2:$E1000,MATCH(A98,Backlog!$A$2:A98,0),3)</f>
        <v>16.55959257</v>
      </c>
      <c r="D98" s="61">
        <f t="array" ref="D98">INDEX(Backlog!$A$2:$M1000,MATCH(A98,Backlog!$A$2:A1000,0),13)</f>
        <v>6.219959795</v>
      </c>
      <c r="E98" s="57" t="str">
        <f t="shared" si="1"/>
        <v>#DIV/0!</v>
      </c>
      <c r="F98" s="4" t="str">
        <f>IFERROR(__xludf.DUMMYFUNCTION("IMPORTRANGE(""https://docs.google.com/spreadsheets/d/18DfrIzhC5fA8A-r3adxOOCzrHWwbHYufiN01iEToBGk/edit#gid=1015091678"",""Inportant calculator!C$50"")"),"")</f>
        <v/>
      </c>
    </row>
    <row r="99">
      <c r="A99" s="7" t="s">
        <v>134</v>
      </c>
      <c r="B99" s="60">
        <f t="array" ref="B99">INDEX(Backlog!$A$2:$E1000,MATCH(A99,Backlog!$A$2:A99,0),2)</f>
        <v>23</v>
      </c>
      <c r="C99" s="61">
        <f t="array" ref="C99">INDEX(Backlog!$A$2:$E1000,MATCH(A99,Backlog!$A$2:A99,0),3)</f>
        <v>3.697773098</v>
      </c>
      <c r="D99" s="61">
        <f t="array" ref="D99">INDEX(Backlog!$A$2:$M1000,MATCH(A99,Backlog!$A$2:A1000,0),13)</f>
        <v>6.219959795</v>
      </c>
      <c r="E99" s="57" t="str">
        <f t="shared" si="1"/>
        <v>#DIV/0!</v>
      </c>
      <c r="F99" s="4" t="str">
        <f>IFERROR(__xludf.DUMMYFUNCTION("IMPORTRANGE(""https://docs.google.com/spreadsheets/d/18DfrIzhC5fA8A-r3adxOOCzrHWwbHYufiN01iEToBGk/edit#gid=1015091678"",""Inportant calculator!C$50"")"),"")</f>
        <v/>
      </c>
    </row>
    <row r="100">
      <c r="A100" s="7" t="s">
        <v>135</v>
      </c>
      <c r="B100" s="60">
        <f t="array" ref="B100">INDEX(Backlog!$A$2:$E1000,MATCH(A100,Backlog!$A$2:A100,0),2)</f>
        <v>44</v>
      </c>
      <c r="C100" s="61">
        <f t="array" ref="C100">INDEX(Backlog!$A$2:$E1000,MATCH(A100,Backlog!$A$2:A100,0),3)</f>
        <v>7.074000709</v>
      </c>
      <c r="D100" s="61">
        <f t="array" ref="D100">INDEX(Backlog!$A$2:$M1000,MATCH(A100,Backlog!$A$2:A1000,0),13)</f>
        <v>6.219959795</v>
      </c>
      <c r="E100" s="57" t="str">
        <f t="shared" si="1"/>
        <v>#DIV/0!</v>
      </c>
      <c r="F100" s="4" t="str">
        <f>IFERROR(__xludf.DUMMYFUNCTION("IMPORTRANGE(""https://docs.google.com/spreadsheets/d/18DfrIzhC5fA8A-r3adxOOCzrHWwbHYufiN01iEToBGk/edit#gid=1015091678"",""Inportant calculator!C$50"")"),"")</f>
        <v/>
      </c>
    </row>
    <row r="101">
      <c r="A101" s="7" t="s">
        <v>136</v>
      </c>
      <c r="B101" s="60">
        <f t="array" ref="B101">INDEX(Backlog!$A$2:$E1000,MATCH(A101,Backlog!$A$2:A101,0),2)</f>
        <v>26</v>
      </c>
      <c r="C101" s="61">
        <f t="array" ref="C101">INDEX(Backlog!$A$2:$E1000,MATCH(A101,Backlog!$A$2:A101,0),3)</f>
        <v>4.180091328</v>
      </c>
      <c r="D101" s="61">
        <f t="array" ref="D101">INDEX(Backlog!$A$2:$M1000,MATCH(A101,Backlog!$A$2:A1000,0),13)</f>
        <v>6.219959795</v>
      </c>
      <c r="E101" s="57" t="str">
        <f t="shared" si="1"/>
        <v>#DIV/0!</v>
      </c>
      <c r="F101" s="4" t="str">
        <f>IFERROR(__xludf.DUMMYFUNCTION("IMPORTRANGE(""https://docs.google.com/spreadsheets/d/18DfrIzhC5fA8A-r3adxOOCzrHWwbHYufiN01iEToBGk/edit#gid=1015091678"",""Inportant calculator!C$50"")"),"")</f>
        <v/>
      </c>
    </row>
    <row r="102">
      <c r="A102" s="7" t="s">
        <v>137</v>
      </c>
      <c r="B102" s="60">
        <f t="array" ref="B102">INDEX(Backlog!$A$2:$E1000,MATCH(A102,Backlog!$A$2:A102,0),2)</f>
        <v>37</v>
      </c>
      <c r="C102" s="61">
        <f t="array" ref="C102">INDEX(Backlog!$A$2:$E1000,MATCH(A102,Backlog!$A$2:A102,0),3)</f>
        <v>5.948591505</v>
      </c>
      <c r="D102" s="61">
        <f t="array" ref="D102">INDEX(Backlog!$A$2:$M1000,MATCH(A102,Backlog!$A$2:A1000,0),13)</f>
        <v>6.219959795</v>
      </c>
      <c r="E102" s="57" t="str">
        <f t="shared" si="1"/>
        <v>#DIV/0!</v>
      </c>
      <c r="F102" s="4" t="str">
        <f>IFERROR(__xludf.DUMMYFUNCTION("IMPORTRANGE(""https://docs.google.com/spreadsheets/d/18DfrIzhC5fA8A-r3adxOOCzrHWwbHYufiN01iEToBGk/edit#gid=1015091678"",""Inportant calculator!C$50"")"),"")</f>
        <v/>
      </c>
    </row>
    <row r="103">
      <c r="A103" s="7" t="s">
        <v>138</v>
      </c>
      <c r="B103" s="60">
        <f t="array" ref="B103">INDEX(Backlog!$A$2:$E1000,MATCH(A103,Backlog!$A$2:A103,0),2)</f>
        <v>30</v>
      </c>
      <c r="C103" s="61">
        <f t="array" ref="C103">INDEX(Backlog!$A$2:$E1000,MATCH(A103,Backlog!$A$2:A103,0),3)</f>
        <v>4.823182301</v>
      </c>
      <c r="D103" s="61">
        <f t="array" ref="D103">INDEX(Backlog!$A$2:$M1000,MATCH(A103,Backlog!$A$2:A1000,0),13)</f>
        <v>6.219959795</v>
      </c>
      <c r="E103" s="57" t="str">
        <f t="shared" si="1"/>
        <v>#DIV/0!</v>
      </c>
      <c r="F103" s="4" t="str">
        <f>IFERROR(__xludf.DUMMYFUNCTION("IMPORTRANGE(""https://docs.google.com/spreadsheets/d/18DfrIzhC5fA8A-r3adxOOCzrHWwbHYufiN01iEToBGk/edit#gid=1015091678"",""Inportant calculator!C$50"")"),"")</f>
        <v/>
      </c>
    </row>
    <row r="104">
      <c r="A104" s="7" t="s">
        <v>139</v>
      </c>
      <c r="B104" s="60">
        <f t="array" ref="B104">INDEX(Backlog!$A$2:$E1000,MATCH(A104,Backlog!$A$2:A104,0),2)</f>
        <v>25</v>
      </c>
      <c r="C104" s="61">
        <f t="array" ref="C104">INDEX(Backlog!$A$2:$E1000,MATCH(A104,Backlog!$A$2:A104,0),3)</f>
        <v>4.019318584</v>
      </c>
      <c r="D104" s="61">
        <f t="array" ref="D104">INDEX(Backlog!$A$2:$M1000,MATCH(A104,Backlog!$A$2:A1000,0),13)</f>
        <v>6.219959795</v>
      </c>
      <c r="E104" s="57" t="str">
        <f t="shared" si="1"/>
        <v>#DIV/0!</v>
      </c>
      <c r="F104" s="4" t="str">
        <f>IFERROR(__xludf.DUMMYFUNCTION("IMPORTRANGE(""https://docs.google.com/spreadsheets/d/18DfrIzhC5fA8A-r3adxOOCzrHWwbHYufiN01iEToBGk/edit#gid=1015091678"",""Inportant calculator!C$50"")"),"")</f>
        <v/>
      </c>
    </row>
    <row r="105">
      <c r="A105" s="7" t="s">
        <v>140</v>
      </c>
      <c r="B105" s="60">
        <f t="array" ref="B105">INDEX(Backlog!$A$2:$E1000,MATCH(A105,Backlog!$A$2:A105,0),2)</f>
        <v>250</v>
      </c>
      <c r="C105" s="61">
        <f t="array" ref="C105">INDEX(Backlog!$A$2:$E1000,MATCH(A105,Backlog!$A$2:A105,0),3)</f>
        <v>40.19318584</v>
      </c>
      <c r="D105" s="61">
        <f t="array" ref="D105">INDEX(Backlog!$A$2:$M1000,MATCH(A105,Backlog!$A$2:A1000,0),13)</f>
        <v>6.219959795</v>
      </c>
      <c r="E105" s="57" t="str">
        <f t="shared" si="1"/>
        <v>#DIV/0!</v>
      </c>
      <c r="F105" s="4" t="str">
        <f>IFERROR(__xludf.DUMMYFUNCTION("IMPORTRANGE(""https://docs.google.com/spreadsheets/d/18DfrIzhC5fA8A-r3adxOOCzrHWwbHYufiN01iEToBGk/edit#gid=1015091678"",""Inportant calculator!C$50"")"),"")</f>
        <v/>
      </c>
    </row>
    <row r="106">
      <c r="A106" s="7" t="s">
        <v>141</v>
      </c>
      <c r="B106" s="60">
        <f t="array" ref="B106">INDEX(Backlog!$A$2:$E1000,MATCH(A106,Backlog!$A$2:A106,0),2)</f>
        <v>39</v>
      </c>
      <c r="C106" s="61">
        <f t="array" ref="C106">INDEX(Backlog!$A$2:$E1000,MATCH(A106,Backlog!$A$2:A106,0),3)</f>
        <v>6.270136992</v>
      </c>
      <c r="D106" s="61">
        <f t="array" ref="D106">INDEX(Backlog!$A$2:$M1000,MATCH(A106,Backlog!$A$2:A1000,0),13)</f>
        <v>6.219959795</v>
      </c>
      <c r="E106" s="57" t="str">
        <f t="shared" si="1"/>
        <v>#DIV/0!</v>
      </c>
      <c r="F106" s="4" t="str">
        <f>IFERROR(__xludf.DUMMYFUNCTION("IMPORTRANGE(""https://docs.google.com/spreadsheets/d/18DfrIzhC5fA8A-r3adxOOCzrHWwbHYufiN01iEToBGk/edit#gid=1015091678"",""Inportant calculator!C$50"")"),"")</f>
        <v/>
      </c>
    </row>
    <row r="107">
      <c r="A107" s="1" t="s">
        <v>142</v>
      </c>
      <c r="B107" s="60">
        <f t="array" ref="B107">INDEX(Backlog!$A$2:$E1000,MATCH(A107,Backlog!$A$2:A107,0),2)</f>
        <v>33</v>
      </c>
      <c r="C107" s="61">
        <f t="array" ref="C107">INDEX(Backlog!$A$2:$E1000,MATCH(A107,Backlog!$A$2:A107,0),3)</f>
        <v>5.305500532</v>
      </c>
      <c r="D107" s="61">
        <f t="array" ref="D107">INDEX(Backlog!$A$2:$M1000,MATCH(A107,Backlog!$A$2:A1000,0),13)</f>
        <v>6.219959795</v>
      </c>
      <c r="E107" s="57" t="str">
        <f t="shared" si="1"/>
        <v>#DIV/0!</v>
      </c>
      <c r="F107" s="4" t="str">
        <f>IFERROR(__xludf.DUMMYFUNCTION("IMPORTRANGE(""https://docs.google.com/spreadsheets/d/18DfrIzhC5fA8A-r3adxOOCzrHWwbHYufiN01iEToBGk/edit#gid=1015091678"",""Inportant calculator!C$50"")"),"")</f>
        <v/>
      </c>
    </row>
    <row r="108">
      <c r="A108" s="7" t="s">
        <v>143</v>
      </c>
      <c r="B108" s="60">
        <f t="array" ref="B108">INDEX(Backlog!$A$2:$E1000,MATCH(A108,Backlog!$A$2:A108,0),2)</f>
        <v>153</v>
      </c>
      <c r="C108" s="61">
        <f t="array" ref="C108">INDEX(Backlog!$A$2:$E1000,MATCH(A108,Backlog!$A$2:A108,0),3)</f>
        <v>24.59822974</v>
      </c>
      <c r="D108" s="61">
        <f t="array" ref="D108">INDEX(Backlog!$A$2:$M1000,MATCH(A108,Backlog!$A$2:A1000,0),13)</f>
        <v>6.219959795</v>
      </c>
      <c r="E108" s="57" t="str">
        <f t="shared" si="1"/>
        <v>#DIV/0!</v>
      </c>
      <c r="F108" s="4" t="str">
        <f>IFERROR(__xludf.DUMMYFUNCTION("IMPORTRANGE(""https://docs.google.com/spreadsheets/d/18DfrIzhC5fA8A-r3adxOOCzrHWwbHYufiN01iEToBGk/edit#gid=1015091678"",""Inportant calculator!C$50"")"),"")</f>
        <v/>
      </c>
    </row>
    <row r="109">
      <c r="A109" s="7" t="s">
        <v>144</v>
      </c>
      <c r="B109" s="60">
        <f t="array" ref="B109">INDEX(Backlog!$A$2:$E1000,MATCH(A109,Backlog!$A$2:A109,0),2)</f>
        <v>32</v>
      </c>
      <c r="C109" s="61">
        <f t="array" ref="C109">INDEX(Backlog!$A$2:$E1000,MATCH(A109,Backlog!$A$2:A109,0),3)</f>
        <v>5.144727788</v>
      </c>
      <c r="D109" s="61">
        <f t="array" ref="D109">INDEX(Backlog!$A$2:$M1000,MATCH(A109,Backlog!$A$2:A1000,0),13)</f>
        <v>6.219959795</v>
      </c>
      <c r="E109" s="57" t="str">
        <f t="shared" si="1"/>
        <v>#DIV/0!</v>
      </c>
      <c r="F109" s="4" t="str">
        <f>IFERROR(__xludf.DUMMYFUNCTION("IMPORTRANGE(""https://docs.google.com/spreadsheets/d/18DfrIzhC5fA8A-r3adxOOCzrHWwbHYufiN01iEToBGk/edit#gid=1015091678"",""Inportant calculator!C$50"")"),"")</f>
        <v/>
      </c>
    </row>
    <row r="110">
      <c r="A110" s="19" t="s">
        <v>145</v>
      </c>
      <c r="B110" s="60">
        <f t="array" ref="B110">INDEX(Backlog!$A$2:$E1000,MATCH(A110,Backlog!$A$2:A110,0),2)</f>
        <v>150</v>
      </c>
      <c r="C110" s="61">
        <f t="array" ref="C110">INDEX(Backlog!$A$2:$E1000,MATCH(A110,Backlog!$A$2:A110,0),3)</f>
        <v>24.11591151</v>
      </c>
      <c r="D110" s="61">
        <f t="array" ref="D110">INDEX(Backlog!$A$2:$M1000,MATCH(A110,Backlog!$A$2:A1000,0),13)</f>
        <v>6.219959795</v>
      </c>
      <c r="E110" s="57" t="str">
        <f t="shared" si="1"/>
        <v>#DIV/0!</v>
      </c>
      <c r="F110" s="4" t="str">
        <f>IFERROR(__xludf.DUMMYFUNCTION("IMPORTRANGE(""https://docs.google.com/spreadsheets/d/18DfrIzhC5fA8A-r3adxOOCzrHWwbHYufiN01iEToBGk/edit#gid=1015091678"",""Inportant calculator!C$50"")"),"")</f>
        <v/>
      </c>
    </row>
    <row r="111">
      <c r="A111" s="4" t="s">
        <v>146</v>
      </c>
      <c r="B111" s="60">
        <f t="array" ref="B111">INDEX(Backlog!$A$2:$E1000,MATCH(A111,Backlog!$A$2:A111,0),2)</f>
        <v>54</v>
      </c>
      <c r="C111" s="61">
        <f t="array" ref="C111">INDEX(Backlog!$A$2:$E1000,MATCH(A111,Backlog!$A$2:A111,0),3)</f>
        <v>8.681728142</v>
      </c>
      <c r="D111" s="61">
        <f t="array" ref="D111">INDEX(Backlog!$A$2:$M1000,MATCH(A111,Backlog!$A$2:A1000,0),13)</f>
        <v>6.219959795</v>
      </c>
      <c r="E111" s="57" t="str">
        <f t="shared" si="1"/>
        <v>#DIV/0!</v>
      </c>
      <c r="F111" s="4" t="str">
        <f>IFERROR(__xludf.DUMMYFUNCTION("IMPORTRANGE(""https://docs.google.com/spreadsheets/d/18DfrIzhC5fA8A-r3adxOOCzrHWwbHYufiN01iEToBGk/edit#gid=1015091678"",""Inportant calculator!C$50"")"),"")</f>
        <v/>
      </c>
    </row>
    <row r="112">
      <c r="A112" s="7" t="s">
        <v>147</v>
      </c>
      <c r="B112" s="60">
        <f t="array" ref="B112">INDEX(Backlog!$A$2:$E1000,MATCH(A112,Backlog!$A$2:A112,0),2)</f>
        <v>24</v>
      </c>
      <c r="C112" s="61">
        <f t="array" ref="C112">INDEX(Backlog!$A$2:$E1000,MATCH(A112,Backlog!$A$2:A112,0),3)</f>
        <v>3.858545841</v>
      </c>
      <c r="D112" s="61">
        <f t="array" ref="D112">INDEX(Backlog!$A$2:$M1000,MATCH(A112,Backlog!$A$2:A1000,0),13)</f>
        <v>6.219959795</v>
      </c>
      <c r="E112" s="57" t="str">
        <f t="shared" si="1"/>
        <v>#DIV/0!</v>
      </c>
      <c r="F112" s="4" t="str">
        <f>IFERROR(__xludf.DUMMYFUNCTION("IMPORTRANGE(""https://docs.google.com/spreadsheets/d/18DfrIzhC5fA8A-r3adxOOCzrHWwbHYufiN01iEToBGk/edit#gid=1015091678"",""Inportant calculator!C$50"")"),"")</f>
        <v/>
      </c>
    </row>
    <row r="113">
      <c r="A113" s="7" t="s">
        <v>148</v>
      </c>
      <c r="B113" s="60">
        <f t="array" ref="B113">INDEX(Backlog!$A$2:$E1000,MATCH(A113,Backlog!$A$2:A113,0),2)</f>
        <v>158</v>
      </c>
      <c r="C113" s="61">
        <f t="array" ref="C113">INDEX(Backlog!$A$2:$E1000,MATCH(A113,Backlog!$A$2:A113,0),3)</f>
        <v>25.40209345</v>
      </c>
      <c r="D113" s="61">
        <f t="array" ref="D113">INDEX(Backlog!$A$2:$M1000,MATCH(A113,Backlog!$A$2:A1000,0),13)</f>
        <v>6.219959795</v>
      </c>
      <c r="E113" s="57" t="str">
        <f t="shared" si="1"/>
        <v>#DIV/0!</v>
      </c>
      <c r="F113" s="4" t="str">
        <f>IFERROR(__xludf.DUMMYFUNCTION("IMPORTRANGE(""https://docs.google.com/spreadsheets/d/18DfrIzhC5fA8A-r3adxOOCzrHWwbHYufiN01iEToBGk/edit#gid=1015091678"",""Inportant calculator!C$50"")"),"")</f>
        <v/>
      </c>
    </row>
    <row r="114">
      <c r="A114" s="19" t="s">
        <v>149</v>
      </c>
      <c r="B114" s="60">
        <f t="array" ref="B114">INDEX(Backlog!$A$2:$E1000,MATCH(A114,Backlog!$A$2:A114,0),2)</f>
        <v>39</v>
      </c>
      <c r="C114" s="61">
        <f t="array" ref="C114">INDEX(Backlog!$A$2:$E1000,MATCH(A114,Backlog!$A$2:A114,0),3)</f>
        <v>6.270136992</v>
      </c>
      <c r="D114" s="61">
        <f t="array" ref="D114">INDEX(Backlog!$A$2:$M1000,MATCH(A114,Backlog!$A$2:A1000,0),13)</f>
        <v>6.219959795</v>
      </c>
      <c r="E114" s="57" t="str">
        <f t="shared" si="1"/>
        <v>#DIV/0!</v>
      </c>
      <c r="F114" s="4" t="str">
        <f>IFERROR(__xludf.DUMMYFUNCTION("IMPORTRANGE(""https://docs.google.com/spreadsheets/d/18DfrIzhC5fA8A-r3adxOOCzrHWwbHYufiN01iEToBGk/edit#gid=1015091678"",""Inportant calculator!C$50"")"),"")</f>
        <v/>
      </c>
    </row>
    <row r="115">
      <c r="A115" s="4" t="s">
        <v>150</v>
      </c>
      <c r="B115" s="60">
        <f t="array" ref="B115">INDEX(Backlog!$A$2:$E1000,MATCH(A115,Backlog!$A$2:A115,0),2)</f>
        <v>12</v>
      </c>
      <c r="C115" s="61">
        <f t="array" ref="C115">INDEX(Backlog!$A$2:$E1000,MATCH(A115,Backlog!$A$2:A115,0),3)</f>
        <v>1.929272921</v>
      </c>
      <c r="D115" s="61">
        <f t="array" ref="D115">INDEX(Backlog!$A$2:$M1000,MATCH(A115,Backlog!$A$2:A1000,0),13)</f>
        <v>6.219959795</v>
      </c>
      <c r="E115" s="57" t="str">
        <f t="shared" si="1"/>
        <v>#DIV/0!</v>
      </c>
      <c r="F115" s="4" t="str">
        <f>IFERROR(__xludf.DUMMYFUNCTION("IMPORTRANGE(""https://docs.google.com/spreadsheets/d/18DfrIzhC5fA8A-r3adxOOCzrHWwbHYufiN01iEToBGk/edit#gid=1015091678"",""Inportant calculator!C$50"")"),"")</f>
        <v/>
      </c>
    </row>
    <row r="116">
      <c r="A116" s="19" t="s">
        <v>151</v>
      </c>
      <c r="B116" s="60">
        <f t="array" ref="B116">INDEX(Backlog!$A$2:$E1000,MATCH(A116,Backlog!$A$2:A116,0),2)</f>
        <v>94</v>
      </c>
      <c r="C116" s="61">
        <f t="array" ref="C116">INDEX(Backlog!$A$2:$E1000,MATCH(A116,Backlog!$A$2:A116,0),3)</f>
        <v>15.11263788</v>
      </c>
      <c r="D116" s="61">
        <f t="array" ref="D116">INDEX(Backlog!$A$2:$M1000,MATCH(A116,Backlog!$A$2:A1000,0),13)</f>
        <v>6.219959795</v>
      </c>
      <c r="E116" s="57" t="str">
        <f t="shared" si="1"/>
        <v>#DIV/0!</v>
      </c>
      <c r="F116" s="4" t="str">
        <f>IFERROR(__xludf.DUMMYFUNCTION("IMPORTRANGE(""https://docs.google.com/spreadsheets/d/18DfrIzhC5fA8A-r3adxOOCzrHWwbHYufiN01iEToBGk/edit#gid=1015091678"",""Inportant calculator!C$50"")"),"")</f>
        <v/>
      </c>
    </row>
    <row r="117">
      <c r="A117" s="7" t="s">
        <v>152</v>
      </c>
      <c r="B117" s="60">
        <f t="array" ref="B117">INDEX(Backlog!$A$2:$E1000,MATCH(A117,Backlog!$A$2:A117,0),2)</f>
        <v>7</v>
      </c>
      <c r="C117" s="61">
        <f t="array" ref="C117">INDEX(Backlog!$A$2:$E1000,MATCH(A117,Backlog!$A$2:A117,0),3)</f>
        <v>1.125409204</v>
      </c>
      <c r="D117" s="61">
        <f t="array" ref="D117">INDEX(Backlog!$A$2:$M1000,MATCH(A117,Backlog!$A$2:A1000,0),13)</f>
        <v>6.219959795</v>
      </c>
      <c r="E117" s="57" t="str">
        <f t="shared" si="1"/>
        <v>#DIV/0!</v>
      </c>
      <c r="F117" s="4" t="str">
        <f>IFERROR(__xludf.DUMMYFUNCTION("IMPORTRANGE(""https://docs.google.com/spreadsheets/d/18DfrIzhC5fA8A-r3adxOOCzrHWwbHYufiN01iEToBGk/edit#gid=1015091678"",""Inportant calculator!C$50"")"),"")</f>
        <v/>
      </c>
    </row>
    <row r="118">
      <c r="A118" s="7" t="s">
        <v>154</v>
      </c>
      <c r="B118" s="60">
        <f t="array" ref="B118">INDEX(Backlog!$A$2:$E1000,MATCH(A118,Backlog!$A$2:A118,0),2)</f>
        <v>12</v>
      </c>
      <c r="C118" s="61">
        <f t="array" ref="C118">INDEX(Backlog!$A$2:$E1000,MATCH(A118,Backlog!$A$2:A118,0),3)</f>
        <v>1.929272921</v>
      </c>
      <c r="D118" s="61">
        <f t="array" ref="D118">INDEX(Backlog!$A$2:$M1000,MATCH(A118,Backlog!$A$2:A1000,0),13)</f>
        <v>6.219959795</v>
      </c>
      <c r="E118" s="57" t="str">
        <f t="shared" si="1"/>
        <v>#DIV/0!</v>
      </c>
      <c r="F118" s="4" t="str">
        <f>IFERROR(__xludf.DUMMYFUNCTION("IMPORTRANGE(""https://docs.google.com/spreadsheets/d/18DfrIzhC5fA8A-r3adxOOCzrHWwbHYufiN01iEToBGk/edit#gid=1015091678"",""Inportant calculator!C$50"")"),"")</f>
        <v/>
      </c>
    </row>
    <row r="119">
      <c r="A119" s="7" t="s">
        <v>155</v>
      </c>
      <c r="B119" s="60">
        <f t="array" ref="B119">INDEX(Backlog!$A$2:$E1000,MATCH(A119,Backlog!$A$2:A119,0),2)</f>
        <v>45</v>
      </c>
      <c r="C119" s="61">
        <f t="array" ref="C119">INDEX(Backlog!$A$2:$E1000,MATCH(A119,Backlog!$A$2:A119,0),3)</f>
        <v>7.234773452</v>
      </c>
      <c r="D119" s="61">
        <f t="array" ref="D119">INDEX(Backlog!$A$2:$M1000,MATCH(A119,Backlog!$A$2:A1000,0),13)</f>
        <v>6.219959795</v>
      </c>
      <c r="E119" s="57" t="str">
        <f t="shared" si="1"/>
        <v>#DIV/0!</v>
      </c>
      <c r="F119" s="4" t="str">
        <f>IFERROR(__xludf.DUMMYFUNCTION("IMPORTRANGE(""https://docs.google.com/spreadsheets/d/18DfrIzhC5fA8A-r3adxOOCzrHWwbHYufiN01iEToBGk/edit#gid=1015091678"",""Inportant calculator!C$50"")"),"")</f>
        <v/>
      </c>
    </row>
    <row r="120">
      <c r="A120" s="7" t="s">
        <v>156</v>
      </c>
      <c r="B120" s="60">
        <f t="array" ref="B120">INDEX(Backlog!$A$2:$E1000,MATCH(A120,Backlog!$A$2:A120,0),2)</f>
        <v>56</v>
      </c>
      <c r="C120" s="61">
        <f t="array" ref="C120">INDEX(Backlog!$A$2:$E1000,MATCH(A120,Backlog!$A$2:A120,0),3)</f>
        <v>9.003273629</v>
      </c>
      <c r="D120" s="61">
        <f t="array" ref="D120">INDEX(Backlog!$A$2:$M1000,MATCH(A120,Backlog!$A$2:A1000,0),13)</f>
        <v>6.219959795</v>
      </c>
      <c r="E120" s="57" t="str">
        <f t="shared" si="1"/>
        <v>#DIV/0!</v>
      </c>
      <c r="F120" s="4" t="str">
        <f>IFERROR(__xludf.DUMMYFUNCTION("IMPORTRANGE(""https://docs.google.com/spreadsheets/d/18DfrIzhC5fA8A-r3adxOOCzrHWwbHYufiN01iEToBGk/edit#gid=1015091678"",""Inportant calculator!C$50"")"),"")</f>
        <v/>
      </c>
    </row>
    <row r="121">
      <c r="A121" s="7" t="s">
        <v>157</v>
      </c>
      <c r="B121" s="60">
        <f t="array" ref="B121">INDEX(Backlog!$A$2:$E1000,MATCH(A121,Backlog!$A$2:A121,0),2)</f>
        <v>112</v>
      </c>
      <c r="C121" s="61">
        <f t="array" ref="C121">INDEX(Backlog!$A$2:$E1000,MATCH(A121,Backlog!$A$2:A121,0),3)</f>
        <v>18.00654726</v>
      </c>
      <c r="D121" s="61">
        <f t="array" ref="D121">INDEX(Backlog!$A$2:$M1000,MATCH(A121,Backlog!$A$2:A1000,0),13)</f>
        <v>6.219959795</v>
      </c>
      <c r="E121" s="57" t="str">
        <f t="shared" si="1"/>
        <v>#DIV/0!</v>
      </c>
      <c r="F121" s="4" t="str">
        <f>IFERROR(__xludf.DUMMYFUNCTION("IMPORTRANGE(""https://docs.google.com/spreadsheets/d/18DfrIzhC5fA8A-r3adxOOCzrHWwbHYufiN01iEToBGk/edit#gid=1015091678"",""Inportant calculator!C$50"")"),"")</f>
        <v/>
      </c>
    </row>
    <row r="122">
      <c r="A122" s="7" t="s">
        <v>159</v>
      </c>
      <c r="B122" s="60">
        <f t="array" ref="B122">INDEX(Backlog!$A$2:$E1000,MATCH(A122,Backlog!$A$2:A122,0),2)</f>
        <v>45</v>
      </c>
      <c r="C122" s="61">
        <f t="array" ref="C122">INDEX(Backlog!$A$2:$E1000,MATCH(A122,Backlog!$A$2:A122,0),3)</f>
        <v>7.234773452</v>
      </c>
      <c r="D122" s="61">
        <f t="array" ref="D122">INDEX(Backlog!$A$2:$M1000,MATCH(A122,Backlog!$A$2:A1000,0),13)</f>
        <v>6.219959795</v>
      </c>
      <c r="E122" s="57" t="str">
        <f t="shared" si="1"/>
        <v>#DIV/0!</v>
      </c>
      <c r="F122" s="4" t="str">
        <f>IFERROR(__xludf.DUMMYFUNCTION("IMPORTRANGE(""https://docs.google.com/spreadsheets/d/18DfrIzhC5fA8A-r3adxOOCzrHWwbHYufiN01iEToBGk/edit#gid=1015091678"",""Inportant calculator!C$50"")"),"")</f>
        <v/>
      </c>
    </row>
    <row r="123">
      <c r="A123" s="7" t="s">
        <v>160</v>
      </c>
      <c r="B123" s="60">
        <f t="array" ref="B123">INDEX(Backlog!$A$2:$E1000,MATCH(A123,Backlog!$A$2:A123,0),2)</f>
        <v>35</v>
      </c>
      <c r="C123" s="61">
        <f t="array" ref="C123">INDEX(Backlog!$A$2:$E1000,MATCH(A123,Backlog!$A$2:A123,0),3)</f>
        <v>5.627046018</v>
      </c>
      <c r="D123" s="61">
        <f t="array" ref="D123">INDEX(Backlog!$A$2:$M1000,MATCH(A123,Backlog!$A$2:A1000,0),13)</f>
        <v>6.219959795</v>
      </c>
      <c r="E123" s="57" t="str">
        <f t="shared" si="1"/>
        <v>#DIV/0!</v>
      </c>
      <c r="F123" s="4" t="str">
        <f>IFERROR(__xludf.DUMMYFUNCTION("IMPORTRANGE(""https://docs.google.com/spreadsheets/d/18DfrIzhC5fA8A-r3adxOOCzrHWwbHYufiN01iEToBGk/edit#gid=1015091678"",""Inportant calculator!C$50"")"),"")</f>
        <v/>
      </c>
    </row>
    <row r="124">
      <c r="A124" s="18" t="s">
        <v>161</v>
      </c>
      <c r="B124" s="60">
        <f t="array" ref="B124">INDEX(Backlog!$A$2:$E1000,MATCH(A124,Backlog!$A$2:A124,0),2)</f>
        <v>28</v>
      </c>
      <c r="C124" s="61">
        <f t="array" ref="C124">INDEX(Backlog!$A$2:$E1000,MATCH(A124,Backlog!$A$2:A124,0),3)</f>
        <v>4.501636815</v>
      </c>
      <c r="D124" s="61">
        <f t="array" ref="D124">INDEX(Backlog!$A$2:$M1000,MATCH(A124,Backlog!$A$2:A1000,0),13)</f>
        <v>6.219959795</v>
      </c>
      <c r="E124" s="57" t="str">
        <f t="shared" si="1"/>
        <v>#DIV/0!</v>
      </c>
      <c r="F124" s="4" t="str">
        <f>IFERROR(__xludf.DUMMYFUNCTION("IMPORTRANGE(""https://docs.google.com/spreadsheets/d/18DfrIzhC5fA8A-r3adxOOCzrHWwbHYufiN01iEToBGk/edit#gid=1015091678"",""Inportant calculator!C$50"")"),"")</f>
        <v/>
      </c>
    </row>
    <row r="125">
      <c r="A125" s="7" t="s">
        <v>162</v>
      </c>
      <c r="B125" s="60">
        <f t="array" ref="B125">INDEX(Backlog!$A$2:$E1000,MATCH(A125,Backlog!$A$2:A125,0),2)</f>
        <v>36</v>
      </c>
      <c r="C125" s="61">
        <f t="array" ref="C125">INDEX(Backlog!$A$2:$E1000,MATCH(A125,Backlog!$A$2:A125,0),3)</f>
        <v>5.787818762</v>
      </c>
      <c r="D125" s="61">
        <f t="array" ref="D125">INDEX(Backlog!$A$2:$M1000,MATCH(A125,Backlog!$A$2:A1000,0),13)</f>
        <v>6.219959795</v>
      </c>
      <c r="E125" s="57" t="str">
        <f t="shared" si="1"/>
        <v>#DIV/0!</v>
      </c>
      <c r="F125" s="4" t="str">
        <f>IFERROR(__xludf.DUMMYFUNCTION("IMPORTRANGE(""https://docs.google.com/spreadsheets/d/18DfrIzhC5fA8A-r3adxOOCzrHWwbHYufiN01iEToBGk/edit#gid=1015091678"",""Inportant calculator!C$50"")"),"")</f>
        <v/>
      </c>
    </row>
    <row r="126">
      <c r="A126" s="7" t="s">
        <v>163</v>
      </c>
      <c r="B126" s="60">
        <f t="array" ref="B126">INDEX(Backlog!$A$2:$E1000,MATCH(A126,Backlog!$A$2:A126,0),2)</f>
        <v>78</v>
      </c>
      <c r="C126" s="61">
        <f t="array" ref="C126">INDEX(Backlog!$A$2:$E1000,MATCH(A126,Backlog!$A$2:A126,0),3)</f>
        <v>12.54027398</v>
      </c>
      <c r="D126" s="61">
        <f t="array" ref="D126">INDEX(Backlog!$A$2:$M1000,MATCH(A126,Backlog!$A$2:A1000,0),13)</f>
        <v>6.219959795</v>
      </c>
      <c r="E126" s="57" t="str">
        <f t="shared" si="1"/>
        <v>#DIV/0!</v>
      </c>
      <c r="F126" s="4" t="str">
        <f>IFERROR(__xludf.DUMMYFUNCTION("IMPORTRANGE(""https://docs.google.com/spreadsheets/d/18DfrIzhC5fA8A-r3adxOOCzrHWwbHYufiN01iEToBGk/edit#gid=1015091678"",""Inportant calculator!C$50"")"),"")</f>
        <v/>
      </c>
    </row>
    <row r="127">
      <c r="A127" s="7" t="s">
        <v>164</v>
      </c>
      <c r="B127" s="60">
        <f t="array" ref="B127">INDEX(Backlog!$A$2:$E1000,MATCH(A127,Backlog!$A$2:A127,0),2)</f>
        <v>42</v>
      </c>
      <c r="C127" s="61">
        <f t="array" ref="C127">INDEX(Backlog!$A$2:$E1000,MATCH(A127,Backlog!$A$2:A127,0),3)</f>
        <v>6.752455222</v>
      </c>
      <c r="D127" s="61">
        <f t="array" ref="D127">INDEX(Backlog!$A$2:$M1000,MATCH(A127,Backlog!$A$2:A1000,0),13)</f>
        <v>6.219959795</v>
      </c>
      <c r="E127" s="57" t="str">
        <f t="shared" si="1"/>
        <v>#DIV/0!</v>
      </c>
      <c r="F127" s="4" t="str">
        <f>IFERROR(__xludf.DUMMYFUNCTION("IMPORTRANGE(""https://docs.google.com/spreadsheets/d/18DfrIzhC5fA8A-r3adxOOCzrHWwbHYufiN01iEToBGk/edit#gid=1015091678"",""Inportant calculator!C$50"")"),"")</f>
        <v/>
      </c>
    </row>
    <row r="128">
      <c r="A128" s="7" t="s">
        <v>165</v>
      </c>
      <c r="B128" s="60">
        <f t="array" ref="B128">INDEX(Backlog!$A$2:$E1000,MATCH(A128,Backlog!$A$2:A128,0),2)</f>
        <v>45</v>
      </c>
      <c r="C128" s="61">
        <f t="array" ref="C128">INDEX(Backlog!$A$2:$E1000,MATCH(A128,Backlog!$A$2:A128,0),3)</f>
        <v>7.234773452</v>
      </c>
      <c r="D128" s="61">
        <f t="array" ref="D128">INDEX(Backlog!$A$2:$M1000,MATCH(A128,Backlog!$A$2:A1000,0),13)</f>
        <v>6.219959795</v>
      </c>
      <c r="E128" s="57" t="str">
        <f t="shared" si="1"/>
        <v>#DIV/0!</v>
      </c>
      <c r="F128" s="4" t="str">
        <f>IFERROR(__xludf.DUMMYFUNCTION("IMPORTRANGE(""https://docs.google.com/spreadsheets/d/18DfrIzhC5fA8A-r3adxOOCzrHWwbHYufiN01iEToBGk/edit#gid=1015091678"",""Inportant calculator!C$50"")"),"")</f>
        <v/>
      </c>
    </row>
    <row r="129">
      <c r="A129" s="7" t="s">
        <v>166</v>
      </c>
      <c r="B129" s="60">
        <f t="array" ref="B129">INDEX(Backlog!$A$2:$E1000,MATCH(A129,Backlog!$A$2:A129,0),2)</f>
        <v>161</v>
      </c>
      <c r="C129" s="61">
        <f t="array" ref="C129">INDEX(Backlog!$A$2:$E1000,MATCH(A129,Backlog!$A$2:A129,0),3)</f>
        <v>25.88441168</v>
      </c>
      <c r="D129" s="61">
        <f t="array" ref="D129">INDEX(Backlog!$A$2:$M1000,MATCH(A129,Backlog!$A$2:A1000,0),13)</f>
        <v>6.219959795</v>
      </c>
      <c r="E129" s="57" t="str">
        <f t="shared" si="1"/>
        <v>#DIV/0!</v>
      </c>
      <c r="F129" s="4" t="str">
        <f>IFERROR(__xludf.DUMMYFUNCTION("IMPORTRANGE(""https://docs.google.com/spreadsheets/d/18DfrIzhC5fA8A-r3adxOOCzrHWwbHYufiN01iEToBGk/edit#gid=1015091678"",""Inportant calculator!C$50"")"),"")</f>
        <v/>
      </c>
    </row>
    <row r="130">
      <c r="A130" s="7" t="s">
        <v>167</v>
      </c>
      <c r="B130" s="60">
        <f t="array" ref="B130">INDEX(Backlog!$A$2:$E1000,MATCH(A130,Backlog!$A$2:A130,0),2)</f>
        <v>46</v>
      </c>
      <c r="C130" s="61">
        <f t="array" ref="C130">INDEX(Backlog!$A$2:$E1000,MATCH(A130,Backlog!$A$2:A130,0),3)</f>
        <v>7.395546195</v>
      </c>
      <c r="D130" s="61">
        <f t="array" ref="D130">INDEX(Backlog!$A$2:$M1000,MATCH(A130,Backlog!$A$2:A1000,0),13)</f>
        <v>6.219959795</v>
      </c>
      <c r="E130" s="57" t="str">
        <f t="shared" si="1"/>
        <v>#DIV/0!</v>
      </c>
      <c r="F130" s="4" t="str">
        <f>IFERROR(__xludf.DUMMYFUNCTION("IMPORTRANGE(""https://docs.google.com/spreadsheets/d/18DfrIzhC5fA8A-r3adxOOCzrHWwbHYufiN01iEToBGk/edit#gid=1015091678"",""Inportant calculator!C$50"")"),"")</f>
        <v/>
      </c>
    </row>
    <row r="131">
      <c r="A131" s="19" t="s">
        <v>168</v>
      </c>
      <c r="B131" s="60">
        <f t="array" ref="B131">INDEX(Backlog!$A$2:$E1000,MATCH(A131,Backlog!$A$2:A131,0),2)</f>
        <v>121</v>
      </c>
      <c r="C131" s="61">
        <f t="array" ref="C131">INDEX(Backlog!$A$2:$E1000,MATCH(A131,Backlog!$A$2:A131,0),3)</f>
        <v>19.45350195</v>
      </c>
      <c r="D131" s="61">
        <f t="array" ref="D131">INDEX(Backlog!$A$2:$M1000,MATCH(A131,Backlog!$A$2:A1000,0),13)</f>
        <v>6.219959795</v>
      </c>
      <c r="E131" s="57" t="str">
        <f t="shared" si="1"/>
        <v>#DIV/0!</v>
      </c>
      <c r="F131" s="4" t="str">
        <f>IFERROR(__xludf.DUMMYFUNCTION("IMPORTRANGE(""https://docs.google.com/spreadsheets/d/18DfrIzhC5fA8A-r3adxOOCzrHWwbHYufiN01iEToBGk/edit#gid=1015091678"",""Inportant calculator!C$50"")"),"")</f>
        <v/>
      </c>
    </row>
    <row r="132">
      <c r="A132" s="7" t="s">
        <v>169</v>
      </c>
      <c r="B132" s="60">
        <f t="array" ref="B132">INDEX(Backlog!$A$2:$E1000,MATCH(A132,Backlog!$A$2:A132,0),2)</f>
        <v>73</v>
      </c>
      <c r="C132" s="61">
        <f t="array" ref="C132">INDEX(Backlog!$A$2:$E1000,MATCH(A132,Backlog!$A$2:A132,0),3)</f>
        <v>11.73641027</v>
      </c>
      <c r="D132" s="61">
        <f t="array" ref="D132">INDEX(Backlog!$A$2:$M1000,MATCH(A132,Backlog!$A$2:A1000,0),13)</f>
        <v>6.219959795</v>
      </c>
      <c r="E132" s="57" t="str">
        <f t="shared" si="1"/>
        <v>#DIV/0!</v>
      </c>
      <c r="F132" s="4" t="str">
        <f>IFERROR(__xludf.DUMMYFUNCTION("IMPORTRANGE(""https://docs.google.com/spreadsheets/d/18DfrIzhC5fA8A-r3adxOOCzrHWwbHYufiN01iEToBGk/edit#gid=1015091678"",""Inportant calculator!C$50"")"),"")</f>
        <v/>
      </c>
    </row>
    <row r="133">
      <c r="A133" s="20" t="s">
        <v>170</v>
      </c>
      <c r="B133" s="60">
        <f t="array" ref="B133">INDEX(Backlog!$A$2:$E1000,MATCH(A133,Backlog!$A$2:A133,0),2)</f>
        <v>15</v>
      </c>
      <c r="C133" s="61">
        <f t="array" ref="C133">INDEX(Backlog!$A$2:$E1000,MATCH(A133,Backlog!$A$2:A133,0),3)</f>
        <v>2.411591151</v>
      </c>
      <c r="D133" s="61">
        <f t="array" ref="D133">INDEX(Backlog!$A$2:$M1000,MATCH(A133,Backlog!$A$2:A1000,0),13)</f>
        <v>6.219959795</v>
      </c>
      <c r="E133" s="57" t="str">
        <f t="shared" si="1"/>
        <v>#DIV/0!</v>
      </c>
      <c r="F133" s="4" t="str">
        <f>IFERROR(__xludf.DUMMYFUNCTION("IMPORTRANGE(""https://docs.google.com/spreadsheets/d/18DfrIzhC5fA8A-r3adxOOCzrHWwbHYufiN01iEToBGk/edit#gid=1015091678"",""Inportant calculator!C$50"")"),"")</f>
        <v/>
      </c>
    </row>
    <row r="134">
      <c r="A134" s="7" t="s">
        <v>171</v>
      </c>
      <c r="B134" s="60">
        <f t="array" ref="B134">INDEX(Backlog!$A$2:$E1000,MATCH(A134,Backlog!$A$2:A134,0),2)</f>
        <v>15</v>
      </c>
      <c r="C134" s="61">
        <f t="array" ref="C134">INDEX(Backlog!$A$2:$E1000,MATCH(A134,Backlog!$A$2:A134,0),3)</f>
        <v>2.411591151</v>
      </c>
      <c r="D134" s="61">
        <f t="array" ref="D134">INDEX(Backlog!$A$2:$M1000,MATCH(A134,Backlog!$A$2:A1000,0),13)</f>
        <v>6.219959795</v>
      </c>
      <c r="E134" s="57" t="str">
        <f t="shared" si="1"/>
        <v>#DIV/0!</v>
      </c>
      <c r="F134" s="4" t="str">
        <f>IFERROR(__xludf.DUMMYFUNCTION("IMPORTRANGE(""https://docs.google.com/spreadsheets/d/18DfrIzhC5fA8A-r3adxOOCzrHWwbHYufiN01iEToBGk/edit#gid=1015091678"",""Inportant calculator!C$50"")"),"")</f>
        <v/>
      </c>
    </row>
    <row r="135">
      <c r="A135" s="7" t="s">
        <v>172</v>
      </c>
      <c r="B135" s="60">
        <f t="array" ref="B135">INDEX(Backlog!$A$2:$E1000,MATCH(A135,Backlog!$A$2:A135,0),2)</f>
        <v>197</v>
      </c>
      <c r="C135" s="61">
        <f t="array" ref="C135">INDEX(Backlog!$A$2:$E1000,MATCH(A135,Backlog!$A$2:A135,0),3)</f>
        <v>31.67223045</v>
      </c>
      <c r="D135" s="61">
        <f t="array" ref="D135">INDEX(Backlog!$A$2:$M1000,MATCH(A135,Backlog!$A$2:A1000,0),13)</f>
        <v>6.219959795</v>
      </c>
      <c r="E135" s="57" t="str">
        <f t="shared" si="1"/>
        <v>#DIV/0!</v>
      </c>
      <c r="F135" s="4" t="str">
        <f>IFERROR(__xludf.DUMMYFUNCTION("IMPORTRANGE(""https://docs.google.com/spreadsheets/d/18DfrIzhC5fA8A-r3adxOOCzrHWwbHYufiN01iEToBGk/edit#gid=1015091678"",""Inportant calculator!C$50"")"),"")</f>
        <v/>
      </c>
    </row>
    <row r="136">
      <c r="A136" s="7" t="s">
        <v>173</v>
      </c>
      <c r="B136" s="60">
        <f t="array" ref="B136">INDEX(Backlog!$A$2:$E1000,MATCH(A136,Backlog!$A$2:A136,0),2)</f>
        <v>143</v>
      </c>
      <c r="C136" s="61">
        <f t="array" ref="C136">INDEX(Backlog!$A$2:$E1000,MATCH(A136,Backlog!$A$2:A136,0),3)</f>
        <v>22.9905023</v>
      </c>
      <c r="D136" s="61">
        <f t="array" ref="D136">INDEX(Backlog!$A$2:$M1000,MATCH(A136,Backlog!$A$2:A1000,0),13)</f>
        <v>6.219959795</v>
      </c>
      <c r="E136" s="57" t="str">
        <f t="shared" si="1"/>
        <v>#DIV/0!</v>
      </c>
      <c r="F136" s="4" t="str">
        <f>IFERROR(__xludf.DUMMYFUNCTION("IMPORTRANGE(""https://docs.google.com/spreadsheets/d/18DfrIzhC5fA8A-r3adxOOCzrHWwbHYufiN01iEToBGk/edit#gid=1015091678"",""Inportant calculator!C$50"")"),"")</f>
        <v/>
      </c>
    </row>
    <row r="137">
      <c r="A137" s="20" t="s">
        <v>174</v>
      </c>
      <c r="B137" s="60">
        <f t="array" ref="B137">INDEX(Backlog!$A$2:$E1000,MATCH(A137,Backlog!$A$2:A137,0),2)</f>
        <v>205</v>
      </c>
      <c r="C137" s="61">
        <f t="array" ref="C137">INDEX(Backlog!$A$2:$E1000,MATCH(A137,Backlog!$A$2:A137,0),3)</f>
        <v>32.95841239</v>
      </c>
      <c r="D137" s="61">
        <f t="array" ref="D137">INDEX(Backlog!$A$2:$M1000,MATCH(A137,Backlog!$A$2:A1000,0),13)</f>
        <v>6.219959795</v>
      </c>
      <c r="E137" s="57" t="str">
        <f t="shared" si="1"/>
        <v>#DIV/0!</v>
      </c>
      <c r="F137" s="4" t="str">
        <f>IFERROR(__xludf.DUMMYFUNCTION("IMPORTRANGE(""https://docs.google.com/spreadsheets/d/18DfrIzhC5fA8A-r3adxOOCzrHWwbHYufiN01iEToBGk/edit#gid=1015091678"",""Inportant calculator!C$50"")"),"")</f>
        <v/>
      </c>
    </row>
    <row r="138">
      <c r="A138" s="7" t="s">
        <v>175</v>
      </c>
      <c r="B138" s="60">
        <f t="array" ref="B138">INDEX(Backlog!$A$2:$E1000,MATCH(A138,Backlog!$A$2:A138,0),2)</f>
        <v>18</v>
      </c>
      <c r="C138" s="61">
        <f t="array" ref="C138">INDEX(Backlog!$A$2:$E1000,MATCH(A138,Backlog!$A$2:A138,0),3)</f>
        <v>2.893909381</v>
      </c>
      <c r="D138" s="61">
        <f t="array" ref="D138">INDEX(Backlog!$A$2:$M1000,MATCH(A138,Backlog!$A$2:A1000,0),13)</f>
        <v>6.219959795</v>
      </c>
      <c r="E138" s="57" t="str">
        <f t="shared" si="1"/>
        <v>#DIV/0!</v>
      </c>
      <c r="F138" s="4" t="str">
        <f>IFERROR(__xludf.DUMMYFUNCTION("IMPORTRANGE(""https://docs.google.com/spreadsheets/d/18DfrIzhC5fA8A-r3adxOOCzrHWwbHYufiN01iEToBGk/edit#gid=1015091678"",""Inportant calculator!C$50"")"),"")</f>
        <v/>
      </c>
    </row>
    <row r="139">
      <c r="A139" s="7" t="s">
        <v>176</v>
      </c>
      <c r="B139" s="60">
        <f t="array" ref="B139">INDEX(Backlog!$A$2:$E1000,MATCH(A139,Backlog!$A$2:A139,0),2)</f>
        <v>18</v>
      </c>
      <c r="C139" s="61">
        <f t="array" ref="C139">INDEX(Backlog!$A$2:$E1000,MATCH(A139,Backlog!$A$2:A139,0),3)</f>
        <v>2.893909381</v>
      </c>
      <c r="D139" s="61">
        <f t="array" ref="D139">INDEX(Backlog!$A$2:$M1000,MATCH(A139,Backlog!$A$2:A1000,0),13)</f>
        <v>6.219959795</v>
      </c>
      <c r="E139" s="57" t="str">
        <f t="shared" si="1"/>
        <v>#DIV/0!</v>
      </c>
      <c r="F139" s="4" t="str">
        <f>IFERROR(__xludf.DUMMYFUNCTION("IMPORTRANGE(""https://docs.google.com/spreadsheets/d/18DfrIzhC5fA8A-r3adxOOCzrHWwbHYufiN01iEToBGk/edit#gid=1015091678"",""Inportant calculator!C$50"")"),"")</f>
        <v/>
      </c>
    </row>
    <row r="140">
      <c r="A140" s="7" t="s">
        <v>177</v>
      </c>
      <c r="B140" s="60">
        <f t="array" ref="B140">INDEX(Backlog!$A$2:$E1000,MATCH(A140,Backlog!$A$2:A140,0),2)</f>
        <v>14</v>
      </c>
      <c r="C140" s="61">
        <f t="array" ref="C140">INDEX(Backlog!$A$2:$E1000,MATCH(A140,Backlog!$A$2:A140,0),3)</f>
        <v>2.250818407</v>
      </c>
      <c r="D140" s="61">
        <f t="array" ref="D140">INDEX(Backlog!$A$2:$M1000,MATCH(A140,Backlog!$A$2:A1000,0),13)</f>
        <v>6.219959795</v>
      </c>
      <c r="E140" s="57" t="str">
        <f t="shared" si="1"/>
        <v>#DIV/0!</v>
      </c>
      <c r="F140" s="4" t="str">
        <f>IFERROR(__xludf.DUMMYFUNCTION("IMPORTRANGE(""https://docs.google.com/spreadsheets/d/18DfrIzhC5fA8A-r3adxOOCzrHWwbHYufiN01iEToBGk/edit#gid=1015091678"",""Inportant calculator!C$50"")"),"")</f>
        <v/>
      </c>
    </row>
    <row r="141">
      <c r="A141" s="7" t="s">
        <v>178</v>
      </c>
      <c r="B141" s="60">
        <f t="array" ref="B141">INDEX(Backlog!$A$2:$E1000,MATCH(A141,Backlog!$A$2:A141,0),2)</f>
        <v>10</v>
      </c>
      <c r="C141" s="61">
        <f t="array" ref="C141">INDEX(Backlog!$A$2:$E1000,MATCH(A141,Backlog!$A$2:A141,0),3)</f>
        <v>1.607727434</v>
      </c>
      <c r="D141" s="61">
        <f t="array" ref="D141">INDEX(Backlog!$A$2:$M1000,MATCH(A141,Backlog!$A$2:A1000,0),13)</f>
        <v>6.219959795</v>
      </c>
      <c r="E141" s="57" t="str">
        <f t="shared" si="1"/>
        <v>#DIV/0!</v>
      </c>
      <c r="F141" s="4" t="str">
        <f>IFERROR(__xludf.DUMMYFUNCTION("IMPORTRANGE(""https://docs.google.com/spreadsheets/d/18DfrIzhC5fA8A-r3adxOOCzrHWwbHYufiN01iEToBGk/edit#gid=1015091678"",""Inportant calculator!C$50"")"),"")</f>
        <v/>
      </c>
    </row>
    <row r="142">
      <c r="A142" s="7" t="s">
        <v>179</v>
      </c>
      <c r="B142" s="60">
        <f t="array" ref="B142">INDEX(Backlog!$A$2:$E1000,MATCH(A142,Backlog!$A$2:A142,0),2)</f>
        <v>53</v>
      </c>
      <c r="C142" s="61">
        <f t="array" ref="C142">INDEX(Backlog!$A$2:$E1000,MATCH(A142,Backlog!$A$2:A142,0),3)</f>
        <v>8.520955399</v>
      </c>
      <c r="D142" s="61">
        <f t="array" ref="D142">INDEX(Backlog!$A$2:$M1000,MATCH(A142,Backlog!$A$2:A1000,0),13)</f>
        <v>6.219959795</v>
      </c>
      <c r="E142" s="57" t="str">
        <f t="shared" si="1"/>
        <v>#DIV/0!</v>
      </c>
      <c r="F142" s="4" t="str">
        <f>IFERROR(__xludf.DUMMYFUNCTION("IMPORTRANGE(""https://docs.google.com/spreadsheets/d/18DfrIzhC5fA8A-r3adxOOCzrHWwbHYufiN01iEToBGk/edit#gid=1015091678"",""Inportant calculator!C$50"")"),"")</f>
        <v/>
      </c>
    </row>
    <row r="143">
      <c r="A143" s="7" t="s">
        <v>180</v>
      </c>
      <c r="B143" s="60">
        <f t="array" ref="B143">INDEX(Backlog!$A$2:$E1000,MATCH(A143,Backlog!$A$2:A143,0),2)</f>
        <v>15.5</v>
      </c>
      <c r="C143" s="61">
        <f t="array" ref="C143">INDEX(Backlog!$A$2:$E1000,MATCH(A143,Backlog!$A$2:A143,0),3)</f>
        <v>2.491977522</v>
      </c>
      <c r="D143" s="61">
        <f t="array" ref="D143">INDEX(Backlog!$A$2:$M1000,MATCH(A143,Backlog!$A$2:A1000,0),13)</f>
        <v>6.219959795</v>
      </c>
      <c r="E143" s="57" t="str">
        <f t="shared" si="1"/>
        <v>#DIV/0!</v>
      </c>
      <c r="F143" s="4" t="str">
        <f>IFERROR(__xludf.DUMMYFUNCTION("IMPORTRANGE(""https://docs.google.com/spreadsheets/d/18DfrIzhC5fA8A-r3adxOOCzrHWwbHYufiN01iEToBGk/edit#gid=1015091678"",""Inportant calculator!C$50"")"),"")</f>
        <v/>
      </c>
    </row>
    <row r="144">
      <c r="A144" s="7" t="s">
        <v>181</v>
      </c>
      <c r="B144" s="60">
        <f t="array" ref="B144">INDEX(Backlog!$A$2:$E1000,MATCH(A144,Backlog!$A$2:A144,0),2)</f>
        <v>11</v>
      </c>
      <c r="C144" s="61">
        <f t="array" ref="C144">INDEX(Backlog!$A$2:$E1000,MATCH(A144,Backlog!$A$2:A144,0),3)</f>
        <v>1.768500177</v>
      </c>
      <c r="D144" s="61">
        <f t="array" ref="D144">INDEX(Backlog!$A$2:$M1000,MATCH(A144,Backlog!$A$2:A1000,0),13)</f>
        <v>6.219959795</v>
      </c>
      <c r="E144" s="57" t="str">
        <f t="shared" si="1"/>
        <v>#DIV/0!</v>
      </c>
      <c r="F144" s="4" t="str">
        <f>IFERROR(__xludf.DUMMYFUNCTION("IMPORTRANGE(""https://docs.google.com/spreadsheets/d/18DfrIzhC5fA8A-r3adxOOCzrHWwbHYufiN01iEToBGk/edit#gid=1015091678"",""Inportant calculator!C$50"")"),"")</f>
        <v/>
      </c>
    </row>
    <row r="145">
      <c r="A145" s="7" t="s">
        <v>182</v>
      </c>
      <c r="B145" s="60">
        <f t="array" ref="B145">INDEX(Backlog!$A$2:$E1000,MATCH(A145,Backlog!$A$2:A145,0),2)</f>
        <v>64</v>
      </c>
      <c r="C145" s="61">
        <f t="array" ref="C145">INDEX(Backlog!$A$2:$E1000,MATCH(A145,Backlog!$A$2:A145,0),3)</f>
        <v>10.28945558</v>
      </c>
      <c r="D145" s="61">
        <f t="array" ref="D145">INDEX(Backlog!$A$2:$M1000,MATCH(A145,Backlog!$A$2:A1000,0),13)</f>
        <v>6.219959795</v>
      </c>
      <c r="E145" s="57" t="str">
        <f t="shared" si="1"/>
        <v>#DIV/0!</v>
      </c>
      <c r="F145" s="4" t="str">
        <f>IFERROR(__xludf.DUMMYFUNCTION("IMPORTRANGE(""https://docs.google.com/spreadsheets/d/18DfrIzhC5fA8A-r3adxOOCzrHWwbHYufiN01iEToBGk/edit#gid=1015091678"",""Inportant calculator!C$50"")"),"")</f>
        <v/>
      </c>
    </row>
    <row r="146">
      <c r="A146" s="22" t="s">
        <v>183</v>
      </c>
      <c r="B146" s="60">
        <f t="array" ref="B146">INDEX(Backlog!$A$2:$E1000,MATCH(A146,Backlog!$A$2:A146,0),2)</f>
        <v>43</v>
      </c>
      <c r="C146" s="61">
        <f t="array" ref="C146">INDEX(Backlog!$A$2:$E1000,MATCH(A146,Backlog!$A$2:A146,0),3)</f>
        <v>6.913227965</v>
      </c>
      <c r="D146" s="61">
        <f t="array" ref="D146">INDEX(Backlog!$A$2:$M1000,MATCH(A146,Backlog!$A$2:A1000,0),13)</f>
        <v>6.219959795</v>
      </c>
      <c r="E146" s="57" t="str">
        <f t="shared" si="1"/>
        <v>#DIV/0!</v>
      </c>
      <c r="F146" s="4" t="str">
        <f>IFERROR(__xludf.DUMMYFUNCTION("IMPORTRANGE(""https://docs.google.com/spreadsheets/d/18DfrIzhC5fA8A-r3adxOOCzrHWwbHYufiN01iEToBGk/edit#gid=1015091678"",""Inportant calculator!C$50"")"),"")</f>
        <v/>
      </c>
    </row>
    <row r="147">
      <c r="A147" s="7" t="s">
        <v>184</v>
      </c>
      <c r="B147" s="60">
        <f t="array" ref="B147">INDEX(Backlog!$A$2:$E1000,MATCH(A147,Backlog!$A$2:A147,0),2)</f>
        <v>7</v>
      </c>
      <c r="C147" s="61">
        <f t="array" ref="C147">INDEX(Backlog!$A$2:$E1000,MATCH(A147,Backlog!$A$2:A147,0),3)</f>
        <v>1.125409204</v>
      </c>
      <c r="D147" s="61">
        <f t="array" ref="D147">INDEX(Backlog!$A$2:$M1000,MATCH(A147,Backlog!$A$2:A1000,0),13)</f>
        <v>6.219959795</v>
      </c>
      <c r="E147" s="57" t="str">
        <f t="shared" si="1"/>
        <v>#DIV/0!</v>
      </c>
      <c r="F147" s="4" t="str">
        <f>IFERROR(__xludf.DUMMYFUNCTION("IMPORTRANGE(""https://docs.google.com/spreadsheets/d/18DfrIzhC5fA8A-r3adxOOCzrHWwbHYufiN01iEToBGk/edit#gid=1015091678"",""Inportant calculator!C$50"")"),"")</f>
        <v/>
      </c>
    </row>
    <row r="148">
      <c r="A148" s="7" t="s">
        <v>185</v>
      </c>
      <c r="B148" s="60">
        <f t="array" ref="B148">INDEX(Backlog!$A$2:$E1000,MATCH(A148,Backlog!$A$2:A148,0),2)</f>
        <v>26</v>
      </c>
      <c r="C148" s="61">
        <f t="array" ref="C148">INDEX(Backlog!$A$2:$E1000,MATCH(A148,Backlog!$A$2:A148,0),3)</f>
        <v>4.180091328</v>
      </c>
      <c r="D148" s="61">
        <f t="array" ref="D148">INDEX(Backlog!$A$2:$M1000,MATCH(A148,Backlog!$A$2:A1000,0),13)</f>
        <v>6.219959795</v>
      </c>
      <c r="E148" s="57" t="str">
        <f t="shared" si="1"/>
        <v>#DIV/0!</v>
      </c>
      <c r="F148" s="4" t="str">
        <f>IFERROR(__xludf.DUMMYFUNCTION("IMPORTRANGE(""https://docs.google.com/spreadsheets/d/18DfrIzhC5fA8A-r3adxOOCzrHWwbHYufiN01iEToBGk/edit#gid=1015091678"",""Inportant calculator!C$50"")"),"")</f>
        <v/>
      </c>
    </row>
    <row r="149">
      <c r="A149" s="7" t="s">
        <v>186</v>
      </c>
      <c r="B149" s="60">
        <f t="array" ref="B149">INDEX(Backlog!$A$2:$E1000,MATCH(A149,Backlog!$A$2:A149,0),2)</f>
        <v>16</v>
      </c>
      <c r="C149" s="61">
        <f t="array" ref="C149">INDEX(Backlog!$A$2:$E1000,MATCH(A149,Backlog!$A$2:A149,0),3)</f>
        <v>2.572363894</v>
      </c>
      <c r="D149" s="61">
        <f t="array" ref="D149">INDEX(Backlog!$A$2:$M1000,MATCH(A149,Backlog!$A$2:A1000,0),13)</f>
        <v>6.219959795</v>
      </c>
      <c r="E149" s="57" t="str">
        <f t="shared" si="1"/>
        <v>#DIV/0!</v>
      </c>
      <c r="F149" s="4" t="str">
        <f>IFERROR(__xludf.DUMMYFUNCTION("IMPORTRANGE(""https://docs.google.com/spreadsheets/d/18DfrIzhC5fA8A-r3adxOOCzrHWwbHYufiN01iEToBGk/edit#gid=1015091678"",""Inportant calculator!C$50"")"),"")</f>
        <v/>
      </c>
    </row>
    <row r="150">
      <c r="A150" s="7" t="s">
        <v>187</v>
      </c>
      <c r="B150" s="60">
        <f t="array" ref="B150">INDEX(Backlog!$A$2:$E1000,MATCH(A150,Backlog!$A$2:A150,0),2)</f>
        <v>12</v>
      </c>
      <c r="C150" s="61">
        <f t="array" ref="C150">INDEX(Backlog!$A$2:$E1000,MATCH(A150,Backlog!$A$2:A150,0),3)</f>
        <v>1.929272921</v>
      </c>
      <c r="D150" s="61">
        <f t="array" ref="D150">INDEX(Backlog!$A$2:$M1000,MATCH(A150,Backlog!$A$2:A1000,0),13)</f>
        <v>6.219959795</v>
      </c>
      <c r="E150" s="57" t="str">
        <f t="shared" si="1"/>
        <v>#DIV/0!</v>
      </c>
      <c r="F150" s="4" t="str">
        <f>IFERROR(__xludf.DUMMYFUNCTION("IMPORTRANGE(""https://docs.google.com/spreadsheets/d/18DfrIzhC5fA8A-r3adxOOCzrHWwbHYufiN01iEToBGk/edit#gid=1015091678"",""Inportant calculator!C$50"")"),"")</f>
        <v/>
      </c>
    </row>
    <row r="151">
      <c r="A151" s="7" t="s">
        <v>188</v>
      </c>
      <c r="B151" s="60">
        <f t="array" ref="B151">INDEX(Backlog!$A$2:$E1000,MATCH(A151,Backlog!$A$2:A151,0),2)</f>
        <v>57</v>
      </c>
      <c r="C151" s="61">
        <f t="array" ref="C151">INDEX(Backlog!$A$2:$E1000,MATCH(A151,Backlog!$A$2:A151,0),3)</f>
        <v>9.164046373</v>
      </c>
      <c r="D151" s="61">
        <f t="array" ref="D151">INDEX(Backlog!$A$2:$M1000,MATCH(A151,Backlog!$A$2:A1000,0),13)</f>
        <v>6.219959795</v>
      </c>
      <c r="E151" s="57" t="str">
        <f t="shared" si="1"/>
        <v>#DIV/0!</v>
      </c>
      <c r="F151" s="4" t="str">
        <f>IFERROR(__xludf.DUMMYFUNCTION("IMPORTRANGE(""https://docs.google.com/spreadsheets/d/18DfrIzhC5fA8A-r3adxOOCzrHWwbHYufiN01iEToBGk/edit#gid=1015091678"",""Inportant calculator!C$50"")"),"")</f>
        <v/>
      </c>
    </row>
    <row r="152">
      <c r="A152" s="7" t="s">
        <v>189</v>
      </c>
      <c r="B152" s="60">
        <f t="array" ref="B152">INDEX(Backlog!$A$2:$E1000,MATCH(A152,Backlog!$A$2:A152,0),2)</f>
        <v>22</v>
      </c>
      <c r="C152" s="61">
        <f t="array" ref="C152">INDEX(Backlog!$A$2:$E1000,MATCH(A152,Backlog!$A$2:A152,0),3)</f>
        <v>3.537000354</v>
      </c>
      <c r="D152" s="61">
        <f t="array" ref="D152">INDEX(Backlog!$A$2:$M1000,MATCH(A152,Backlog!$A$2:A1000,0),13)</f>
        <v>6.219959795</v>
      </c>
      <c r="E152" s="57" t="str">
        <f t="shared" si="1"/>
        <v>#DIV/0!</v>
      </c>
      <c r="F152" s="4" t="str">
        <f>IFERROR(__xludf.DUMMYFUNCTION("IMPORTRANGE(""https://docs.google.com/spreadsheets/d/18DfrIzhC5fA8A-r3adxOOCzrHWwbHYufiN01iEToBGk/edit#gid=1015091678"",""Inportant calculator!C$50"")"),"")</f>
        <v/>
      </c>
    </row>
    <row r="153">
      <c r="A153" s="7" t="s">
        <v>190</v>
      </c>
      <c r="B153" s="60">
        <f t="array" ref="B153">INDEX(Backlog!$A$2:$E1000,MATCH(A153,Backlog!$A$2:A153,0),2)</f>
        <v>46</v>
      </c>
      <c r="C153" s="61">
        <f t="array" ref="C153">INDEX(Backlog!$A$2:$E1000,MATCH(A153,Backlog!$A$2:A153,0),3)</f>
        <v>7.395546195</v>
      </c>
      <c r="D153" s="61">
        <f t="array" ref="D153">INDEX(Backlog!$A$2:$M1000,MATCH(A153,Backlog!$A$2:A1000,0),13)</f>
        <v>6.219959795</v>
      </c>
      <c r="E153" s="57" t="str">
        <f t="shared" si="1"/>
        <v>#DIV/0!</v>
      </c>
      <c r="F153" s="4" t="str">
        <f>IFERROR(__xludf.DUMMYFUNCTION("IMPORTRANGE(""https://docs.google.com/spreadsheets/d/18DfrIzhC5fA8A-r3adxOOCzrHWwbHYufiN01iEToBGk/edit#gid=1015091678"",""Inportant calculator!C$50"")"),"")</f>
        <v/>
      </c>
    </row>
    <row r="154">
      <c r="A154" s="7" t="s">
        <v>191</v>
      </c>
      <c r="B154" s="60">
        <f t="array" ref="B154">INDEX(Backlog!$A$2:$E1000,MATCH(A154,Backlog!$A$2:A154,0),2)</f>
        <v>22</v>
      </c>
      <c r="C154" s="61">
        <f t="array" ref="C154">INDEX(Backlog!$A$2:$E1000,MATCH(A154,Backlog!$A$2:A154,0),3)</f>
        <v>3.537000354</v>
      </c>
      <c r="D154" s="61">
        <f t="array" ref="D154">INDEX(Backlog!$A$2:$M1000,MATCH(A154,Backlog!$A$2:A1000,0),13)</f>
        <v>6.219959795</v>
      </c>
      <c r="E154" s="57" t="str">
        <f t="shared" si="1"/>
        <v>#DIV/0!</v>
      </c>
      <c r="F154" s="4" t="str">
        <f>IFERROR(__xludf.DUMMYFUNCTION("IMPORTRANGE(""https://docs.google.com/spreadsheets/d/18DfrIzhC5fA8A-r3adxOOCzrHWwbHYufiN01iEToBGk/edit#gid=1015091678"",""Inportant calculator!C$50"")"),"")</f>
        <v/>
      </c>
    </row>
    <row r="155">
      <c r="A155" s="7" t="s">
        <v>192</v>
      </c>
      <c r="B155" s="60">
        <f t="array" ref="B155">INDEX(Backlog!$A$2:$E1000,MATCH(A155,Backlog!$A$2:A155,0),2)</f>
        <v>17.5</v>
      </c>
      <c r="C155" s="61">
        <f t="array" ref="C155">INDEX(Backlog!$A$2:$E1000,MATCH(A155,Backlog!$A$2:A155,0),3)</f>
        <v>2.813523009</v>
      </c>
      <c r="D155" s="61">
        <f t="array" ref="D155">INDEX(Backlog!$A$2:$M1000,MATCH(A155,Backlog!$A$2:A1000,0),13)</f>
        <v>6.219959795</v>
      </c>
      <c r="E155" s="57" t="str">
        <f t="shared" si="1"/>
        <v>#DIV/0!</v>
      </c>
      <c r="F155" s="4" t="str">
        <f>IFERROR(__xludf.DUMMYFUNCTION("IMPORTRANGE(""https://docs.google.com/spreadsheets/d/18DfrIzhC5fA8A-r3adxOOCzrHWwbHYufiN01iEToBGk/edit#gid=1015091678"",""Inportant calculator!C$50"")"),"")</f>
        <v/>
      </c>
    </row>
    <row r="156">
      <c r="A156" s="7" t="s">
        <v>193</v>
      </c>
      <c r="B156" s="60">
        <f t="array" ref="B156">INDEX(Backlog!$A$2:$E1000,MATCH(A156,Backlog!$A$2:A156,0),2)</f>
        <v>62</v>
      </c>
      <c r="C156" s="61">
        <f t="array" ref="C156">INDEX(Backlog!$A$2:$E1000,MATCH(A156,Backlog!$A$2:A156,0),3)</f>
        <v>9.967910089</v>
      </c>
      <c r="D156" s="61">
        <f t="array" ref="D156">INDEX(Backlog!$A$2:$M1000,MATCH(A156,Backlog!$A$2:A1000,0),13)</f>
        <v>6.219959795</v>
      </c>
      <c r="E156" s="57" t="str">
        <f t="shared" si="1"/>
        <v>#DIV/0!</v>
      </c>
      <c r="F156" s="4" t="str">
        <f>IFERROR(__xludf.DUMMYFUNCTION("IMPORTRANGE(""https://docs.google.com/spreadsheets/d/18DfrIzhC5fA8A-r3adxOOCzrHWwbHYufiN01iEToBGk/edit#gid=1015091678"",""Inportant calculator!C$50"")"),"")</f>
        <v/>
      </c>
    </row>
    <row r="157">
      <c r="A157" s="7" t="s">
        <v>195</v>
      </c>
      <c r="B157" s="60">
        <f t="array" ref="B157">INDEX(Backlog!$A$2:$E1000,MATCH(A157,Backlog!$A$2:A157,0),2)</f>
        <v>32</v>
      </c>
      <c r="C157" s="61">
        <f t="array" ref="C157">INDEX(Backlog!$A$2:$E1000,MATCH(A157,Backlog!$A$2:A157,0),3)</f>
        <v>5.144727788</v>
      </c>
      <c r="D157" s="61">
        <f t="array" ref="D157">INDEX(Backlog!$A$2:$M1000,MATCH(A157,Backlog!$A$2:A1000,0),13)</f>
        <v>6.219959795</v>
      </c>
      <c r="E157" s="57" t="str">
        <f t="shared" si="1"/>
        <v>#DIV/0!</v>
      </c>
      <c r="F157" s="4" t="str">
        <f>IFERROR(__xludf.DUMMYFUNCTION("IMPORTRANGE(""https://docs.google.com/spreadsheets/d/18DfrIzhC5fA8A-r3adxOOCzrHWwbHYufiN01iEToBGk/edit#gid=1015091678"",""Inportant calculator!C$50"")"),"")</f>
        <v/>
      </c>
    </row>
    <row r="158">
      <c r="A158" s="7" t="s">
        <v>196</v>
      </c>
      <c r="B158" s="60">
        <f t="array" ref="B158">INDEX(Backlog!$A$2:$E1000,MATCH(A158,Backlog!$A$2:A158,0),2)</f>
        <v>52</v>
      </c>
      <c r="C158" s="61">
        <f t="array" ref="C158">INDEX(Backlog!$A$2:$E1000,MATCH(A158,Backlog!$A$2:A158,0),3)</f>
        <v>8.360182656</v>
      </c>
      <c r="D158" s="61">
        <f t="array" ref="D158">INDEX(Backlog!$A$2:$M1000,MATCH(A158,Backlog!$A$2:A1000,0),13)</f>
        <v>6.219959795</v>
      </c>
      <c r="E158" s="57" t="str">
        <f t="shared" si="1"/>
        <v>#DIV/0!</v>
      </c>
      <c r="F158" s="4" t="str">
        <f>IFERROR(__xludf.DUMMYFUNCTION("IMPORTRANGE(""https://docs.google.com/spreadsheets/d/18DfrIzhC5fA8A-r3adxOOCzrHWwbHYufiN01iEToBGk/edit#gid=1015091678"",""Inportant calculator!C$50"")"),"")</f>
        <v/>
      </c>
    </row>
    <row r="159">
      <c r="A159" s="7" t="s">
        <v>197</v>
      </c>
      <c r="B159" s="60">
        <f t="array" ref="B159">INDEX(Backlog!$A$2:$E1000,MATCH(A159,Backlog!$A$2:A159,0),2)</f>
        <v>17</v>
      </c>
      <c r="C159" s="61">
        <f t="array" ref="C159">INDEX(Backlog!$A$2:$E1000,MATCH(A159,Backlog!$A$2:A159,0),3)</f>
        <v>2.733136637</v>
      </c>
      <c r="D159" s="61">
        <f t="array" ref="D159">INDEX(Backlog!$A$2:$M1000,MATCH(A159,Backlog!$A$2:A1000,0),13)</f>
        <v>6.219959795</v>
      </c>
      <c r="E159" s="57" t="str">
        <f t="shared" si="1"/>
        <v>#DIV/0!</v>
      </c>
      <c r="F159" s="4" t="str">
        <f>IFERROR(__xludf.DUMMYFUNCTION("IMPORTRANGE(""https://docs.google.com/spreadsheets/d/18DfrIzhC5fA8A-r3adxOOCzrHWwbHYufiN01iEToBGk/edit#gid=1015091678"",""Inportant calculator!C$50"")"),"")</f>
        <v/>
      </c>
    </row>
    <row r="160">
      <c r="A160" s="7" t="s">
        <v>198</v>
      </c>
      <c r="B160" s="60">
        <f t="array" ref="B160">INDEX(Backlog!$A$2:$E1000,MATCH(A160,Backlog!$A$2:A160,0),2)</f>
        <v>47</v>
      </c>
      <c r="C160" s="61">
        <f t="array" ref="C160">INDEX(Backlog!$A$2:$E1000,MATCH(A160,Backlog!$A$2:A160,0),3)</f>
        <v>7.556318939</v>
      </c>
      <c r="D160" s="61">
        <f t="array" ref="D160">INDEX(Backlog!$A$2:$M1000,MATCH(A160,Backlog!$A$2:A1000,0),13)</f>
        <v>6.219959795</v>
      </c>
      <c r="E160" s="57" t="str">
        <f t="shared" si="1"/>
        <v>#DIV/0!</v>
      </c>
      <c r="F160" s="4" t="str">
        <f>IFERROR(__xludf.DUMMYFUNCTION("IMPORTRANGE(""https://docs.google.com/spreadsheets/d/18DfrIzhC5fA8A-r3adxOOCzrHWwbHYufiN01iEToBGk/edit#gid=1015091678"",""Inportant calculator!C$50"")"),"")</f>
        <v/>
      </c>
    </row>
    <row r="161">
      <c r="A161" s="7" t="s">
        <v>199</v>
      </c>
      <c r="B161" s="60">
        <f t="array" ref="B161">INDEX(Backlog!$A$2:$E1000,MATCH(A161,Backlog!$A$2:A161,0),2)</f>
        <v>19</v>
      </c>
      <c r="C161" s="61">
        <f t="array" ref="C161">INDEX(Backlog!$A$2:$E1000,MATCH(A161,Backlog!$A$2:A161,0),3)</f>
        <v>3.054682124</v>
      </c>
      <c r="D161" s="61">
        <f t="array" ref="D161">INDEX(Backlog!$A$2:$M1000,MATCH(A161,Backlog!$A$2:A1000,0),13)</f>
        <v>6.219959795</v>
      </c>
      <c r="E161" s="57" t="str">
        <f t="shared" si="1"/>
        <v>#DIV/0!</v>
      </c>
      <c r="F161" s="4" t="str">
        <f>IFERROR(__xludf.DUMMYFUNCTION("IMPORTRANGE(""https://docs.google.com/spreadsheets/d/18DfrIzhC5fA8A-r3adxOOCzrHWwbHYufiN01iEToBGk/edit#gid=1015091678"",""Inportant calculator!C$50"")"),"")</f>
        <v/>
      </c>
    </row>
    <row r="162">
      <c r="A162" s="7" t="s">
        <v>200</v>
      </c>
      <c r="B162" s="60">
        <f t="array" ref="B162">INDEX(Backlog!$A$2:$E1000,MATCH(A162,Backlog!$A$2:A162,0),2)</f>
        <v>56</v>
      </c>
      <c r="C162" s="61">
        <f t="array" ref="C162">INDEX(Backlog!$A$2:$E1000,MATCH(A162,Backlog!$A$2:A162,0),3)</f>
        <v>9.003273629</v>
      </c>
      <c r="D162" s="61">
        <f t="array" ref="D162">INDEX(Backlog!$A$2:$M1000,MATCH(A162,Backlog!$A$2:A1000,0),13)</f>
        <v>6.219959795</v>
      </c>
      <c r="E162" s="57" t="str">
        <f t="shared" si="1"/>
        <v>#DIV/0!</v>
      </c>
      <c r="F162" s="4" t="str">
        <f>IFERROR(__xludf.DUMMYFUNCTION("IMPORTRANGE(""https://docs.google.com/spreadsheets/d/18DfrIzhC5fA8A-r3adxOOCzrHWwbHYufiN01iEToBGk/edit#gid=1015091678"",""Inportant calculator!C$50"")"),"")</f>
        <v/>
      </c>
    </row>
    <row r="163">
      <c r="A163" s="7" t="s">
        <v>202</v>
      </c>
      <c r="B163" s="60">
        <f t="array" ref="B163">INDEX(Backlog!$A$2:$E1000,MATCH(A163,Backlog!$A$2:A163,0),2)</f>
        <v>13</v>
      </c>
      <c r="C163" s="61">
        <f t="array" ref="C163">INDEX(Backlog!$A$2:$E1000,MATCH(A163,Backlog!$A$2:A163,0),3)</f>
        <v>2.090045664</v>
      </c>
      <c r="D163" s="61">
        <f t="array" ref="D163">INDEX(Backlog!$A$2:$M1000,MATCH(A163,Backlog!$A$2:A1000,0),13)</f>
        <v>6.219959795</v>
      </c>
      <c r="E163" s="57" t="str">
        <f t="shared" si="1"/>
        <v>#DIV/0!</v>
      </c>
      <c r="F163" s="4" t="str">
        <f>IFERROR(__xludf.DUMMYFUNCTION("IMPORTRANGE(""https://docs.google.com/spreadsheets/d/18DfrIzhC5fA8A-r3adxOOCzrHWwbHYufiN01iEToBGk/edit#gid=1015091678"",""Inportant calculator!C$50"")"),"")</f>
        <v/>
      </c>
    </row>
    <row r="164">
      <c r="A164" s="7" t="s">
        <v>203</v>
      </c>
      <c r="B164" s="60">
        <f t="array" ref="B164">INDEX(Backlog!$A$2:$E1000,MATCH(A164,Backlog!$A$2:A164,0),2)</f>
        <v>14</v>
      </c>
      <c r="C164" s="61">
        <f t="array" ref="C164">INDEX(Backlog!$A$2:$E1000,MATCH(A164,Backlog!$A$2:A164,0),3)</f>
        <v>2.250818407</v>
      </c>
      <c r="D164" s="61">
        <f t="array" ref="D164">INDEX(Backlog!$A$2:$M1000,MATCH(A164,Backlog!$A$2:A1000,0),13)</f>
        <v>6.219959795</v>
      </c>
      <c r="E164" s="57" t="str">
        <f t="shared" si="1"/>
        <v>#DIV/0!</v>
      </c>
      <c r="F164" s="4" t="str">
        <f>IFERROR(__xludf.DUMMYFUNCTION("IMPORTRANGE(""https://docs.google.com/spreadsheets/d/18DfrIzhC5fA8A-r3adxOOCzrHWwbHYufiN01iEToBGk/edit#gid=1015091678"",""Inportant calculator!C$50"")"),"")</f>
        <v/>
      </c>
    </row>
    <row r="165">
      <c r="A165" s="7" t="s">
        <v>204</v>
      </c>
      <c r="B165" s="60">
        <f t="array" ref="B165">INDEX(Backlog!$A$2:$E1000,MATCH(A165,Backlog!$A$2:A165,0),2)</f>
        <v>11</v>
      </c>
      <c r="C165" s="61">
        <f t="array" ref="C165">INDEX(Backlog!$A$2:$E1000,MATCH(A165,Backlog!$A$2:A165,0),3)</f>
        <v>1.768500177</v>
      </c>
      <c r="D165" s="61">
        <f t="array" ref="D165">INDEX(Backlog!$A$2:$M1000,MATCH(A165,Backlog!$A$2:A1000,0),13)</f>
        <v>6.219959795</v>
      </c>
      <c r="E165" s="57" t="str">
        <f t="shared" si="1"/>
        <v>#DIV/0!</v>
      </c>
      <c r="F165" s="4" t="str">
        <f>IFERROR(__xludf.DUMMYFUNCTION("IMPORTRANGE(""https://docs.google.com/spreadsheets/d/18DfrIzhC5fA8A-r3adxOOCzrHWwbHYufiN01iEToBGk/edit#gid=1015091678"",""Inportant calculator!C$50"")"),"")</f>
        <v/>
      </c>
    </row>
    <row r="166">
      <c r="A166" s="7" t="s">
        <v>205</v>
      </c>
      <c r="B166" s="60">
        <f t="array" ref="B166">INDEX(Backlog!$A$2:$E1000,MATCH(A166,Backlog!$A$2:A166,0),2)</f>
        <v>23</v>
      </c>
      <c r="C166" s="61">
        <f t="array" ref="C166">INDEX(Backlog!$A$2:$E1000,MATCH(A166,Backlog!$A$2:A166,0),3)</f>
        <v>3.697773098</v>
      </c>
      <c r="D166" s="61">
        <f t="array" ref="D166">INDEX(Backlog!$A$2:$M1000,MATCH(A166,Backlog!$A$2:A1000,0),13)</f>
        <v>6.219959795</v>
      </c>
      <c r="E166" s="57" t="str">
        <f t="shared" si="1"/>
        <v>#DIV/0!</v>
      </c>
      <c r="F166" s="4" t="str">
        <f>IFERROR(__xludf.DUMMYFUNCTION("IMPORTRANGE(""https://docs.google.com/spreadsheets/d/18DfrIzhC5fA8A-r3adxOOCzrHWwbHYufiN01iEToBGk/edit#gid=1015091678"",""Inportant calculator!C$50"")"),"")</f>
        <v/>
      </c>
    </row>
    <row r="167">
      <c r="A167" s="7" t="s">
        <v>206</v>
      </c>
      <c r="B167" s="60">
        <f t="array" ref="B167">INDEX(Backlog!$A$2:$E1000,MATCH(A167,Backlog!$A$2:A167,0),2)</f>
        <v>27</v>
      </c>
      <c r="C167" s="61">
        <f t="array" ref="C167">INDEX(Backlog!$A$2:$E1000,MATCH(A167,Backlog!$A$2:A167,0),3)</f>
        <v>4.340864071</v>
      </c>
      <c r="D167" s="61">
        <f t="array" ref="D167">INDEX(Backlog!$A$2:$M1000,MATCH(A167,Backlog!$A$2:A1000,0),13)</f>
        <v>6.219959795</v>
      </c>
      <c r="E167" s="57" t="str">
        <f t="shared" si="1"/>
        <v>#DIV/0!</v>
      </c>
      <c r="F167" s="4" t="str">
        <f>IFERROR(__xludf.DUMMYFUNCTION("IMPORTRANGE(""https://docs.google.com/spreadsheets/d/18DfrIzhC5fA8A-r3adxOOCzrHWwbHYufiN01iEToBGk/edit#gid=1015091678"",""Inportant calculator!C$50"")"),"")</f>
        <v/>
      </c>
    </row>
    <row r="168">
      <c r="A168" s="7" t="s">
        <v>207</v>
      </c>
      <c r="B168" s="60">
        <f t="array" ref="B168">INDEX(Backlog!$A$2:$E1000,MATCH(A168,Backlog!$A$2:A168,0),2)</f>
        <v>102</v>
      </c>
      <c r="C168" s="61">
        <f t="array" ref="C168">INDEX(Backlog!$A$2:$E1000,MATCH(A168,Backlog!$A$2:A168,0),3)</f>
        <v>16.39881982</v>
      </c>
      <c r="D168" s="61">
        <f t="array" ref="D168">INDEX(Backlog!$A$2:$M1000,MATCH(A168,Backlog!$A$2:A1000,0),13)</f>
        <v>6.219959795</v>
      </c>
      <c r="E168" s="57" t="str">
        <f t="shared" si="1"/>
        <v>#DIV/0!</v>
      </c>
      <c r="F168" s="4" t="str">
        <f>IFERROR(__xludf.DUMMYFUNCTION("IMPORTRANGE(""https://docs.google.com/spreadsheets/d/18DfrIzhC5fA8A-r3adxOOCzrHWwbHYufiN01iEToBGk/edit#gid=1015091678"",""Inportant calculator!C$50"")"),"")</f>
        <v/>
      </c>
    </row>
    <row r="169">
      <c r="A169" s="7" t="s">
        <v>209</v>
      </c>
      <c r="B169" s="60">
        <f t="array" ref="B169">INDEX(Backlog!$A$2:$E1000,MATCH(A169,Backlog!$A$2:A169,0),2)</f>
        <v>119</v>
      </c>
      <c r="C169" s="61">
        <f t="array" ref="C169">INDEX(Backlog!$A$2:$E1000,MATCH(A169,Backlog!$A$2:A169,0),3)</f>
        <v>19.13195646</v>
      </c>
      <c r="D169" s="61">
        <f t="array" ref="D169">INDEX(Backlog!$A$2:$M1000,MATCH(A169,Backlog!$A$2:A1000,0),13)</f>
        <v>6.219959795</v>
      </c>
      <c r="E169" s="57" t="str">
        <f t="shared" si="1"/>
        <v>#DIV/0!</v>
      </c>
      <c r="F169" s="4" t="str">
        <f>IFERROR(__xludf.DUMMYFUNCTION("IMPORTRANGE(""https://docs.google.com/spreadsheets/d/18DfrIzhC5fA8A-r3adxOOCzrHWwbHYufiN01iEToBGk/edit#gid=1015091678"",""Inportant calculator!C$50"")"),"")</f>
        <v/>
      </c>
    </row>
    <row r="170">
      <c r="A170" s="7" t="s">
        <v>210</v>
      </c>
      <c r="B170" s="60">
        <f t="array" ref="B170">INDEX(Backlog!$A$2:$E1000,MATCH(A170,Backlog!$A$2:A170,0),2)</f>
        <v>69</v>
      </c>
      <c r="C170" s="61">
        <f t="array" ref="C170">INDEX(Backlog!$A$2:$E1000,MATCH(A170,Backlog!$A$2:A170,0),3)</f>
        <v>11.09331929</v>
      </c>
      <c r="D170" s="61">
        <f t="array" ref="D170">INDEX(Backlog!$A$2:$M1000,MATCH(A170,Backlog!$A$2:A1000,0),13)</f>
        <v>6.219959795</v>
      </c>
      <c r="E170" s="57" t="str">
        <f t="shared" si="1"/>
        <v>#DIV/0!</v>
      </c>
      <c r="F170" s="4" t="str">
        <f>IFERROR(__xludf.DUMMYFUNCTION("IMPORTRANGE(""https://docs.google.com/spreadsheets/d/18DfrIzhC5fA8A-r3adxOOCzrHWwbHYufiN01iEToBGk/edit#gid=1015091678"",""Inportant calculator!C$50"")"),"")</f>
        <v/>
      </c>
    </row>
    <row r="171">
      <c r="A171" s="7" t="s">
        <v>211</v>
      </c>
      <c r="B171" s="60">
        <f t="array" ref="B171">INDEX(Backlog!$A$2:$E1000,MATCH(A171,Backlog!$A$2:A171,0),2)</f>
        <v>22</v>
      </c>
      <c r="C171" s="61">
        <f t="array" ref="C171">INDEX(Backlog!$A$2:$E1000,MATCH(A171,Backlog!$A$2:A171,0),3)</f>
        <v>3.537000354</v>
      </c>
      <c r="D171" s="61">
        <f t="array" ref="D171">INDEX(Backlog!$A$2:$M1000,MATCH(A171,Backlog!$A$2:A1000,0),13)</f>
        <v>6.219959795</v>
      </c>
      <c r="E171" s="57" t="str">
        <f t="shared" si="1"/>
        <v>#DIV/0!</v>
      </c>
      <c r="F171" s="4" t="str">
        <f>IFERROR(__xludf.DUMMYFUNCTION("IMPORTRANGE(""https://docs.google.com/spreadsheets/d/18DfrIzhC5fA8A-r3adxOOCzrHWwbHYufiN01iEToBGk/edit#gid=1015091678"",""Inportant calculator!C$50"")"),"")</f>
        <v/>
      </c>
    </row>
    <row r="172">
      <c r="A172" s="7" t="s">
        <v>212</v>
      </c>
      <c r="B172" s="60">
        <f t="array" ref="B172">INDEX(Backlog!$A$2:$E1000,MATCH(A172,Backlog!$A$2:A172,0),2)</f>
        <v>14</v>
      </c>
      <c r="C172" s="61">
        <f t="array" ref="C172">INDEX(Backlog!$A$2:$E1000,MATCH(A172,Backlog!$A$2:A172,0),3)</f>
        <v>2.250818407</v>
      </c>
      <c r="D172" s="61">
        <f t="array" ref="D172">INDEX(Backlog!$A$2:$M1000,MATCH(A172,Backlog!$A$2:A1000,0),13)</f>
        <v>6.219959795</v>
      </c>
      <c r="E172" s="57" t="str">
        <f t="shared" si="1"/>
        <v>#DIV/0!</v>
      </c>
      <c r="F172" s="4" t="str">
        <f>IFERROR(__xludf.DUMMYFUNCTION("IMPORTRANGE(""https://docs.google.com/spreadsheets/d/18DfrIzhC5fA8A-r3adxOOCzrHWwbHYufiN01iEToBGk/edit#gid=1015091678"",""Inportant calculator!C$50"")"),"")</f>
        <v/>
      </c>
    </row>
    <row r="173">
      <c r="A173" s="7" t="s">
        <v>213</v>
      </c>
      <c r="B173" s="60">
        <f t="array" ref="B173">INDEX(Backlog!$A$2:$E1000,MATCH(A173,Backlog!$A$2:A173,0),2)</f>
        <v>12</v>
      </c>
      <c r="C173" s="61">
        <f t="array" ref="C173">INDEX(Backlog!$A$2:$E1000,MATCH(A173,Backlog!$A$2:A173,0),3)</f>
        <v>1.929272921</v>
      </c>
      <c r="D173" s="61">
        <f t="array" ref="D173">INDEX(Backlog!$A$2:$M1000,MATCH(A173,Backlog!$A$2:A1000,0),13)</f>
        <v>6.219959795</v>
      </c>
      <c r="E173" s="57" t="str">
        <f t="shared" si="1"/>
        <v>#DIV/0!</v>
      </c>
      <c r="F173" s="4" t="str">
        <f>IFERROR(__xludf.DUMMYFUNCTION("IMPORTRANGE(""https://docs.google.com/spreadsheets/d/18DfrIzhC5fA8A-r3adxOOCzrHWwbHYufiN01iEToBGk/edit#gid=1015091678"",""Inportant calculator!C$50"")"),"")</f>
        <v/>
      </c>
    </row>
    <row r="174">
      <c r="A174" s="18" t="s">
        <v>214</v>
      </c>
      <c r="B174" s="60">
        <f t="array" ref="B174">INDEX(Backlog!$A$2:$E1000,MATCH(A174,Backlog!$A$2:A174,0),2)</f>
        <v>51</v>
      </c>
      <c r="C174" s="61">
        <f t="array" ref="C174">INDEX(Backlog!$A$2:$E1000,MATCH(A174,Backlog!$A$2:A174,0),3)</f>
        <v>8.199409912</v>
      </c>
      <c r="D174" s="61">
        <f t="array" ref="D174">INDEX(Backlog!$A$2:$M1000,MATCH(A174,Backlog!$A$2:A1000,0),13)</f>
        <v>6.219959795</v>
      </c>
      <c r="E174" s="57" t="str">
        <f t="shared" si="1"/>
        <v>#DIV/0!</v>
      </c>
      <c r="F174" s="4" t="str">
        <f>IFERROR(__xludf.DUMMYFUNCTION("IMPORTRANGE(""https://docs.google.com/spreadsheets/d/18DfrIzhC5fA8A-r3adxOOCzrHWwbHYufiN01iEToBGk/edit#gid=1015091678"",""Inportant calculator!C$50"")"),"")</f>
        <v/>
      </c>
    </row>
    <row r="175">
      <c r="A175" s="7" t="s">
        <v>215</v>
      </c>
      <c r="B175" s="60">
        <f t="array" ref="B175">INDEX(Backlog!$A$2:$E1000,MATCH(A175,Backlog!$A$2:A175,0),2)</f>
        <v>61</v>
      </c>
      <c r="C175" s="61">
        <f t="array" ref="C175">INDEX(Backlog!$A$2:$E1000,MATCH(A175,Backlog!$A$2:A175,0),3)</f>
        <v>9.807137346</v>
      </c>
      <c r="D175" s="61">
        <f t="array" ref="D175">INDEX(Backlog!$A$2:$M1000,MATCH(A175,Backlog!$A$2:A1000,0),13)</f>
        <v>6.219959795</v>
      </c>
      <c r="E175" s="57" t="str">
        <f t="shared" si="1"/>
        <v>#DIV/0!</v>
      </c>
      <c r="F175" s="4" t="str">
        <f>IFERROR(__xludf.DUMMYFUNCTION("IMPORTRANGE(""https://docs.google.com/spreadsheets/d/18DfrIzhC5fA8A-r3adxOOCzrHWwbHYufiN01iEToBGk/edit#gid=1015091678"",""Inportant calculator!C$50"")"),"")</f>
        <v/>
      </c>
    </row>
    <row r="176">
      <c r="A176" s="7" t="s">
        <v>216</v>
      </c>
      <c r="B176" s="60">
        <f t="array" ref="B176">INDEX(Backlog!$A$2:$E1000,MATCH(A176,Backlog!$A$2:A176,0),2)</f>
        <v>6</v>
      </c>
      <c r="C176" s="61">
        <f t="array" ref="C176">INDEX(Backlog!$A$2:$E1000,MATCH(A176,Backlog!$A$2:A176,0),3)</f>
        <v>0.9646364603</v>
      </c>
      <c r="D176" s="61">
        <f t="array" ref="D176">INDEX(Backlog!$A$2:$M1000,MATCH(A176,Backlog!$A$2:A1000,0),13)</f>
        <v>6.219959795</v>
      </c>
      <c r="E176" s="57" t="str">
        <f t="shared" si="1"/>
        <v>#DIV/0!</v>
      </c>
      <c r="F176" s="4" t="str">
        <f>IFERROR(__xludf.DUMMYFUNCTION("IMPORTRANGE(""https://docs.google.com/spreadsheets/d/18DfrIzhC5fA8A-r3adxOOCzrHWwbHYufiN01iEToBGk/edit#gid=1015091678"",""Inportant calculator!C$50"")"),"")</f>
        <v/>
      </c>
    </row>
    <row r="177">
      <c r="A177" s="7" t="s">
        <v>217</v>
      </c>
      <c r="B177" s="60">
        <f t="array" ref="B177">INDEX(Backlog!$A$2:$E1000,MATCH(A177,Backlog!$A$2:A177,0),2)</f>
        <v>13</v>
      </c>
      <c r="C177" s="61">
        <f t="array" ref="C177">INDEX(Backlog!$A$2:$E1000,MATCH(A177,Backlog!$A$2:A177,0),3)</f>
        <v>2.090045664</v>
      </c>
      <c r="D177" s="61">
        <f t="array" ref="D177">INDEX(Backlog!$A$2:$M1000,MATCH(A177,Backlog!$A$2:A1000,0),13)</f>
        <v>6.219959795</v>
      </c>
      <c r="E177" s="57" t="str">
        <f t="shared" si="1"/>
        <v>#DIV/0!</v>
      </c>
      <c r="F177" s="4" t="str">
        <f>IFERROR(__xludf.DUMMYFUNCTION("IMPORTRANGE(""https://docs.google.com/spreadsheets/d/18DfrIzhC5fA8A-r3adxOOCzrHWwbHYufiN01iEToBGk/edit#gid=1015091678"",""Inportant calculator!C$50"")"),"")</f>
        <v/>
      </c>
    </row>
    <row r="178">
      <c r="A178" s="7" t="s">
        <v>218</v>
      </c>
      <c r="B178" s="60">
        <f t="array" ref="B178">INDEX(Backlog!$A$2:$E1000,MATCH(A178,Backlog!$A$2:A178,0),2)</f>
        <v>29</v>
      </c>
      <c r="C178" s="61">
        <f t="array" ref="C178">INDEX(Backlog!$A$2:$E1000,MATCH(A178,Backlog!$A$2:A178,0),3)</f>
        <v>4.662409558</v>
      </c>
      <c r="D178" s="61">
        <f t="array" ref="D178">INDEX(Backlog!$A$2:$M1000,MATCH(A178,Backlog!$A$2:A1000,0),13)</f>
        <v>6.219959795</v>
      </c>
      <c r="E178" s="57" t="str">
        <f t="shared" si="1"/>
        <v>#DIV/0!</v>
      </c>
      <c r="F178" s="4" t="str">
        <f>IFERROR(__xludf.DUMMYFUNCTION("IMPORTRANGE(""https://docs.google.com/spreadsheets/d/18DfrIzhC5fA8A-r3adxOOCzrHWwbHYufiN01iEToBGk/edit#gid=1015091678"",""Inportant calculator!C$50"")"),"")</f>
        <v/>
      </c>
    </row>
    <row r="179">
      <c r="A179" s="19" t="s">
        <v>219</v>
      </c>
      <c r="B179" s="60">
        <f t="array" ref="B179">INDEX(Backlog!$A$2:$E1000,MATCH(A179,Backlog!$A$2:A179,0),2)</f>
        <v>17</v>
      </c>
      <c r="C179" s="61">
        <f t="array" ref="C179">INDEX(Backlog!$A$2:$E1000,MATCH(A179,Backlog!$A$2:A179,0),3)</f>
        <v>2.733136637</v>
      </c>
      <c r="D179" s="61">
        <f t="array" ref="D179">INDEX(Backlog!$A$2:$M1000,MATCH(A179,Backlog!$A$2:A1000,0),13)</f>
        <v>6.219959795</v>
      </c>
      <c r="E179" s="57" t="str">
        <f t="shared" si="1"/>
        <v>#DIV/0!</v>
      </c>
      <c r="F179" s="4" t="str">
        <f>IFERROR(__xludf.DUMMYFUNCTION("IMPORTRANGE(""https://docs.google.com/spreadsheets/d/18DfrIzhC5fA8A-r3adxOOCzrHWwbHYufiN01iEToBGk/edit#gid=1015091678"",""Inportant calculator!C$50"")"),"")</f>
        <v/>
      </c>
    </row>
    <row r="180">
      <c r="A180" s="7" t="s">
        <v>220</v>
      </c>
      <c r="B180" s="60">
        <f t="array" ref="B180">INDEX(Backlog!$A$2:$E1000,MATCH(A180,Backlog!$A$2:A180,0),2)</f>
        <v>20</v>
      </c>
      <c r="C180" s="61">
        <f t="array" ref="C180">INDEX(Backlog!$A$2:$E1000,MATCH(A180,Backlog!$A$2:A180,0),3)</f>
        <v>3.215454868</v>
      </c>
      <c r="D180" s="61">
        <f t="array" ref="D180">INDEX(Backlog!$A$2:$M1000,MATCH(A180,Backlog!$A$2:A1000,0),13)</f>
        <v>6.219959795</v>
      </c>
      <c r="E180" s="57" t="str">
        <f t="shared" si="1"/>
        <v>#DIV/0!</v>
      </c>
      <c r="F180" s="4" t="str">
        <f>IFERROR(__xludf.DUMMYFUNCTION("IMPORTRANGE(""https://docs.google.com/spreadsheets/d/18DfrIzhC5fA8A-r3adxOOCzrHWwbHYufiN01iEToBGk/edit#gid=1015091678"",""Inportant calculator!C$50"")"),"")</f>
        <v/>
      </c>
    </row>
    <row r="181">
      <c r="A181" s="7" t="s">
        <v>221</v>
      </c>
      <c r="B181" s="60">
        <f t="array" ref="B181">INDEX(Backlog!$A$2:$E1000,MATCH(A181,Backlog!$A$2:A181,0),2)</f>
        <v>15</v>
      </c>
      <c r="C181" s="61">
        <f t="array" ref="C181">INDEX(Backlog!$A$2:$E1000,MATCH(A181,Backlog!$A$2:A181,0),3)</f>
        <v>2.411591151</v>
      </c>
      <c r="D181" s="61">
        <f t="array" ref="D181">INDEX(Backlog!$A$2:$M1000,MATCH(A181,Backlog!$A$2:A1000,0),13)</f>
        <v>6.219959795</v>
      </c>
      <c r="E181" s="57" t="str">
        <f t="shared" si="1"/>
        <v>#DIV/0!</v>
      </c>
      <c r="F181" s="4" t="str">
        <f>IFERROR(__xludf.DUMMYFUNCTION("IMPORTRANGE(""https://docs.google.com/spreadsheets/d/18DfrIzhC5fA8A-r3adxOOCzrHWwbHYufiN01iEToBGk/edit#gid=1015091678"",""Inportant calculator!C$50"")"),"")</f>
        <v/>
      </c>
    </row>
    <row r="182">
      <c r="A182" s="7" t="s">
        <v>222</v>
      </c>
      <c r="B182" s="60">
        <f t="array" ref="B182">INDEX(Backlog!$A$2:$E1000,MATCH(A182,Backlog!$A$2:A182,0),2)</f>
        <v>14</v>
      </c>
      <c r="C182" s="61">
        <f t="array" ref="C182">INDEX(Backlog!$A$2:$E1000,MATCH(A182,Backlog!$A$2:A182,0),3)</f>
        <v>2.250818407</v>
      </c>
      <c r="D182" s="61">
        <f t="array" ref="D182">INDEX(Backlog!$A$2:$M1000,MATCH(A182,Backlog!$A$2:A1000,0),13)</f>
        <v>6.219959795</v>
      </c>
      <c r="E182" s="57" t="str">
        <f t="shared" si="1"/>
        <v>#DIV/0!</v>
      </c>
      <c r="F182" s="4" t="str">
        <f>IFERROR(__xludf.DUMMYFUNCTION("IMPORTRANGE(""https://docs.google.com/spreadsheets/d/18DfrIzhC5fA8A-r3adxOOCzrHWwbHYufiN01iEToBGk/edit#gid=1015091678"",""Inportant calculator!C$50"")"),"")</f>
        <v/>
      </c>
    </row>
    <row r="183">
      <c r="A183" s="7" t="s">
        <v>223</v>
      </c>
      <c r="B183" s="60">
        <f t="array" ref="B183">INDEX(Backlog!$A$2:$E1000,MATCH(A183,Backlog!$A$2:A183,0),2)</f>
        <v>10</v>
      </c>
      <c r="C183" s="61">
        <f t="array" ref="C183">INDEX(Backlog!$A$2:$E1000,MATCH(A183,Backlog!$A$2:A183,0),3)</f>
        <v>1.607727434</v>
      </c>
      <c r="D183" s="61">
        <f t="array" ref="D183">INDEX(Backlog!$A$2:$M1000,MATCH(A183,Backlog!$A$2:A1000,0),13)</f>
        <v>6.219959795</v>
      </c>
      <c r="E183" s="57" t="str">
        <f t="shared" si="1"/>
        <v>#DIV/0!</v>
      </c>
      <c r="F183" s="4" t="str">
        <f>IFERROR(__xludf.DUMMYFUNCTION("IMPORTRANGE(""https://docs.google.com/spreadsheets/d/18DfrIzhC5fA8A-r3adxOOCzrHWwbHYufiN01iEToBGk/edit#gid=1015091678"",""Inportant calculator!C$50"")"),"")</f>
        <v/>
      </c>
    </row>
    <row r="184">
      <c r="A184" s="7" t="s">
        <v>224</v>
      </c>
      <c r="B184" s="60">
        <f t="array" ref="B184">INDEX(Backlog!$A$2:$E1000,MATCH(A184,Backlog!$A$2:A184,0),2)</f>
        <v>45</v>
      </c>
      <c r="C184" s="61">
        <f t="array" ref="C184">INDEX(Backlog!$A$2:$E1000,MATCH(A184,Backlog!$A$2:A184,0),3)</f>
        <v>7.234773452</v>
      </c>
      <c r="D184" s="61">
        <f t="array" ref="D184">INDEX(Backlog!$A$2:$M1000,MATCH(A184,Backlog!$A$2:A1000,0),13)</f>
        <v>6.219959795</v>
      </c>
      <c r="E184" s="57" t="str">
        <f t="shared" si="1"/>
        <v>#DIV/0!</v>
      </c>
      <c r="F184" s="4" t="str">
        <f>IFERROR(__xludf.DUMMYFUNCTION("IMPORTRANGE(""https://docs.google.com/spreadsheets/d/18DfrIzhC5fA8A-r3adxOOCzrHWwbHYufiN01iEToBGk/edit#gid=1015091678"",""Inportant calculator!C$50"")"),"")</f>
        <v/>
      </c>
    </row>
    <row r="185">
      <c r="A185" s="7" t="s">
        <v>225</v>
      </c>
      <c r="B185" s="60">
        <f t="array" ref="B185">INDEX(Backlog!$A$2:$E1000,MATCH(A185,Backlog!$A$2:A185,0),2)</f>
        <v>24</v>
      </c>
      <c r="C185" s="61">
        <f t="array" ref="C185">INDEX(Backlog!$A$2:$E1000,MATCH(A185,Backlog!$A$2:A185,0),3)</f>
        <v>3.858545841</v>
      </c>
      <c r="D185" s="61">
        <f t="array" ref="D185">INDEX(Backlog!$A$2:$M1000,MATCH(A185,Backlog!$A$2:A1000,0),13)</f>
        <v>6.219959795</v>
      </c>
      <c r="E185" s="57" t="str">
        <f t="shared" si="1"/>
        <v>#DIV/0!</v>
      </c>
      <c r="F185" s="4" t="str">
        <f>IFERROR(__xludf.DUMMYFUNCTION("IMPORTRANGE(""https://docs.google.com/spreadsheets/d/18DfrIzhC5fA8A-r3adxOOCzrHWwbHYufiN01iEToBGk/edit#gid=1015091678"",""Inportant calculator!C$50"")"),"")</f>
        <v/>
      </c>
    </row>
    <row r="186">
      <c r="A186" s="7" t="s">
        <v>226</v>
      </c>
      <c r="B186" s="60">
        <f t="array" ref="B186">INDEX(Backlog!$A$2:$E1000,MATCH(A186,Backlog!$A$2:A186,0),2)</f>
        <v>16</v>
      </c>
      <c r="C186" s="61">
        <f t="array" ref="C186">INDEX(Backlog!$A$2:$E1000,MATCH(A186,Backlog!$A$2:A186,0),3)</f>
        <v>2.572363894</v>
      </c>
      <c r="D186" s="61">
        <f t="array" ref="D186">INDEX(Backlog!$A$2:$M1000,MATCH(A186,Backlog!$A$2:A1000,0),13)</f>
        <v>6.219959795</v>
      </c>
      <c r="E186" s="57" t="str">
        <f t="shared" si="1"/>
        <v>#DIV/0!</v>
      </c>
      <c r="F186" s="4" t="str">
        <f>IFERROR(__xludf.DUMMYFUNCTION("IMPORTRANGE(""https://docs.google.com/spreadsheets/d/18DfrIzhC5fA8A-r3adxOOCzrHWwbHYufiN01iEToBGk/edit#gid=1015091678"",""Inportant calculator!C$50"")"),"")</f>
        <v/>
      </c>
    </row>
    <row r="187">
      <c r="A187" s="7" t="s">
        <v>227</v>
      </c>
      <c r="B187" s="60">
        <f t="array" ref="B187">INDEX(Backlog!$A$2:$E1000,MATCH(A187,Backlog!$A$2:A187,0),2)</f>
        <v>35</v>
      </c>
      <c r="C187" s="61">
        <f t="array" ref="C187">INDEX(Backlog!$A$2:$E1000,MATCH(A187,Backlog!$A$2:A187,0),3)</f>
        <v>5.627046018</v>
      </c>
      <c r="D187" s="61">
        <f t="array" ref="D187">INDEX(Backlog!$A$2:$M1000,MATCH(A187,Backlog!$A$2:A1000,0),13)</f>
        <v>6.219959795</v>
      </c>
      <c r="E187" s="57" t="str">
        <f t="shared" si="1"/>
        <v>#DIV/0!</v>
      </c>
      <c r="F187" s="4" t="str">
        <f>IFERROR(__xludf.DUMMYFUNCTION("IMPORTRANGE(""https://docs.google.com/spreadsheets/d/18DfrIzhC5fA8A-r3adxOOCzrHWwbHYufiN01iEToBGk/edit#gid=1015091678"",""Inportant calculator!C$50"")"),"")</f>
        <v/>
      </c>
    </row>
    <row r="188">
      <c r="A188" s="7" t="s">
        <v>228</v>
      </c>
      <c r="B188" s="60">
        <f t="array" ref="B188">INDEX(Backlog!$A$2:$E1000,MATCH(A188,Backlog!$A$2:A188,0),2)</f>
        <v>1</v>
      </c>
      <c r="C188" s="61">
        <f t="array" ref="C188">INDEX(Backlog!$A$2:$E1000,MATCH(A188,Backlog!$A$2:A188,0),3)</f>
        <v>0.1607727434</v>
      </c>
      <c r="D188" s="61">
        <f t="array" ref="D188">INDEX(Backlog!$A$2:$M1000,MATCH(A188,Backlog!$A$2:A1000,0),13)</f>
        <v>6.219959795</v>
      </c>
      <c r="E188" s="57" t="str">
        <f t="shared" si="1"/>
        <v>#DIV/0!</v>
      </c>
      <c r="F188" s="4" t="str">
        <f>IFERROR(__xludf.DUMMYFUNCTION("IMPORTRANGE(""https://docs.google.com/spreadsheets/d/18DfrIzhC5fA8A-r3adxOOCzrHWwbHYufiN01iEToBGk/edit#gid=1015091678"",""Inportant calculator!C$50"")"),"")</f>
        <v/>
      </c>
    </row>
    <row r="189">
      <c r="A189" s="7" t="s">
        <v>230</v>
      </c>
      <c r="B189" s="60">
        <f t="array" ref="B189">INDEX(Backlog!$A$2:$E1000,MATCH(A189,Backlog!$A$2:A189,0),2)</f>
        <v>16</v>
      </c>
      <c r="C189" s="61">
        <f t="array" ref="C189">INDEX(Backlog!$A$2:$E1000,MATCH(A189,Backlog!$A$2:A189,0),3)</f>
        <v>2.572363894</v>
      </c>
      <c r="D189" s="61">
        <f t="array" ref="D189">INDEX(Backlog!$A$2:$M1000,MATCH(A189,Backlog!$A$2:A1000,0),13)</f>
        <v>6.219959795</v>
      </c>
      <c r="E189" s="57" t="str">
        <f t="shared" si="1"/>
        <v>#DIV/0!</v>
      </c>
      <c r="F189" s="4" t="str">
        <f>IFERROR(__xludf.DUMMYFUNCTION("IMPORTRANGE(""https://docs.google.com/spreadsheets/d/18DfrIzhC5fA8A-r3adxOOCzrHWwbHYufiN01iEToBGk/edit#gid=1015091678"",""Inportant calculator!C$50"")"),"")</f>
        <v/>
      </c>
    </row>
    <row r="190">
      <c r="A190" s="7" t="s">
        <v>231</v>
      </c>
      <c r="B190" s="60">
        <f t="array" ref="B190">INDEX(Backlog!$A$2:$E1000,MATCH(A190,Backlog!$A$2:A190,0),2)</f>
        <v>12</v>
      </c>
      <c r="C190" s="61">
        <f t="array" ref="C190">INDEX(Backlog!$A$2:$E1000,MATCH(A190,Backlog!$A$2:A190,0),3)</f>
        <v>1.929272921</v>
      </c>
      <c r="D190" s="61">
        <f t="array" ref="D190">INDEX(Backlog!$A$2:$M1000,MATCH(A190,Backlog!$A$2:A1000,0),13)</f>
        <v>6.219959795</v>
      </c>
      <c r="E190" s="57" t="str">
        <f t="shared" si="1"/>
        <v>#DIV/0!</v>
      </c>
      <c r="F190" s="4" t="str">
        <f>IFERROR(__xludf.DUMMYFUNCTION("IMPORTRANGE(""https://docs.google.com/spreadsheets/d/18DfrIzhC5fA8A-r3adxOOCzrHWwbHYufiN01iEToBGk/edit#gid=1015091678"",""Inportant calculator!C$50"")"),"")</f>
        <v/>
      </c>
    </row>
    <row r="191">
      <c r="A191" s="7" t="s">
        <v>233</v>
      </c>
      <c r="B191" s="60">
        <f t="array" ref="B191">INDEX(Backlog!$A$2:$E1000,MATCH(A191,Backlog!$A$2:A191,0),2)</f>
        <v>32.5</v>
      </c>
      <c r="C191" s="61">
        <f t="array" ref="C191">INDEX(Backlog!$A$2:$E1000,MATCH(A191,Backlog!$A$2:A191,0),3)</f>
        <v>5.22511416</v>
      </c>
      <c r="D191" s="61">
        <f t="array" ref="D191">INDEX(Backlog!$A$2:$M1000,MATCH(A191,Backlog!$A$2:A1000,0),13)</f>
        <v>6.219959795</v>
      </c>
      <c r="E191" s="57" t="str">
        <f t="shared" si="1"/>
        <v>#DIV/0!</v>
      </c>
      <c r="F191" s="4" t="str">
        <f>IFERROR(__xludf.DUMMYFUNCTION("IMPORTRANGE(""https://docs.google.com/spreadsheets/d/18DfrIzhC5fA8A-r3adxOOCzrHWwbHYufiN01iEToBGk/edit#gid=1015091678"",""Inportant calculator!C$50"")"),"")</f>
        <v/>
      </c>
    </row>
    <row r="192">
      <c r="A192" s="7" t="s">
        <v>234</v>
      </c>
      <c r="B192" s="60">
        <f t="array" ref="B192">INDEX(Backlog!$A$2:$E1000,MATCH(A192,Backlog!$A$2:A192,0),2)</f>
        <v>84</v>
      </c>
      <c r="C192" s="61">
        <f t="array" ref="C192">INDEX(Backlog!$A$2:$E1000,MATCH(A192,Backlog!$A$2:A192,0),3)</f>
        <v>13.50491044</v>
      </c>
      <c r="D192" s="61">
        <f t="array" ref="D192">INDEX(Backlog!$A$2:$M1000,MATCH(A192,Backlog!$A$2:A1000,0),13)</f>
        <v>6.219959795</v>
      </c>
      <c r="E192" s="57" t="str">
        <f t="shared" si="1"/>
        <v>#DIV/0!</v>
      </c>
      <c r="F192" s="4" t="str">
        <f>IFERROR(__xludf.DUMMYFUNCTION("IMPORTRANGE(""https://docs.google.com/spreadsheets/d/18DfrIzhC5fA8A-r3adxOOCzrHWwbHYufiN01iEToBGk/edit#gid=1015091678"",""Inportant calculator!C$50"")"),"")</f>
        <v/>
      </c>
    </row>
    <row r="193">
      <c r="A193" s="7" t="s">
        <v>235</v>
      </c>
      <c r="B193" s="60">
        <f t="array" ref="B193">INDEX(Backlog!$A$2:$E1000,MATCH(A193,Backlog!$A$2:A193,0),2)</f>
        <v>48</v>
      </c>
      <c r="C193" s="61">
        <f t="array" ref="C193">INDEX(Backlog!$A$2:$E1000,MATCH(A193,Backlog!$A$2:A193,0),3)</f>
        <v>7.717091682</v>
      </c>
      <c r="D193" s="61">
        <f t="array" ref="D193">INDEX(Backlog!$A$2:$M1000,MATCH(A193,Backlog!$A$2:A1000,0),13)</f>
        <v>6.219959795</v>
      </c>
      <c r="E193" s="57" t="str">
        <f t="shared" si="1"/>
        <v>#DIV/0!</v>
      </c>
      <c r="F193" s="4" t="str">
        <f>IFERROR(__xludf.DUMMYFUNCTION("IMPORTRANGE(""https://docs.google.com/spreadsheets/d/18DfrIzhC5fA8A-r3adxOOCzrHWwbHYufiN01iEToBGk/edit#gid=1015091678"",""Inportant calculator!C$50"")"),"")</f>
        <v/>
      </c>
    </row>
    <row r="194">
      <c r="A194" s="7" t="s">
        <v>236</v>
      </c>
      <c r="B194" s="60">
        <f t="array" ref="B194">INDEX(Backlog!$A$2:$E1000,MATCH(A194,Backlog!$A$2:A194,0),2)</f>
        <v>62</v>
      </c>
      <c r="C194" s="61">
        <f t="array" ref="C194">INDEX(Backlog!$A$2:$E1000,MATCH(A194,Backlog!$A$2:A194,0),3)</f>
        <v>9.967910089</v>
      </c>
      <c r="D194" s="61">
        <f t="array" ref="D194">INDEX(Backlog!$A$2:$M1000,MATCH(A194,Backlog!$A$2:A1000,0),13)</f>
        <v>6.219959795</v>
      </c>
      <c r="E194" s="57" t="str">
        <f t="shared" si="1"/>
        <v>#DIV/0!</v>
      </c>
      <c r="F194" s="4" t="str">
        <f>IFERROR(__xludf.DUMMYFUNCTION("IMPORTRANGE(""https://docs.google.com/spreadsheets/d/18DfrIzhC5fA8A-r3adxOOCzrHWwbHYufiN01iEToBGk/edit#gid=1015091678"",""Inportant calculator!C$50"")"),"")</f>
        <v/>
      </c>
    </row>
    <row r="195">
      <c r="A195" s="7" t="s">
        <v>237</v>
      </c>
      <c r="B195" s="60">
        <f t="array" ref="B195">INDEX(Backlog!$A$2:$E1000,MATCH(A195,Backlog!$A$2:A195,0),2)</f>
        <v>109</v>
      </c>
      <c r="C195" s="61">
        <f t="array" ref="C195">INDEX(Backlog!$A$2:$E1000,MATCH(A195,Backlog!$A$2:A195,0),3)</f>
        <v>17.52422903</v>
      </c>
      <c r="D195" s="61">
        <f t="array" ref="D195">INDEX(Backlog!$A$2:$M1000,MATCH(A195,Backlog!$A$2:A1000,0),13)</f>
        <v>6.219959795</v>
      </c>
      <c r="E195" s="57" t="str">
        <f t="shared" si="1"/>
        <v>#DIV/0!</v>
      </c>
      <c r="F195" s="4" t="str">
        <f>IFERROR(__xludf.DUMMYFUNCTION("IMPORTRANGE(""https://docs.google.com/spreadsheets/d/18DfrIzhC5fA8A-r3adxOOCzrHWwbHYufiN01iEToBGk/edit#gid=1015091678"",""Inportant calculator!C$50"")"),"")</f>
        <v/>
      </c>
    </row>
    <row r="196">
      <c r="A196" s="7" t="s">
        <v>238</v>
      </c>
      <c r="B196" s="60">
        <f t="array" ref="B196">INDEX(Backlog!$A$2:$E1000,MATCH(A196,Backlog!$A$2:A196,0),2)</f>
        <v>51</v>
      </c>
      <c r="C196" s="61">
        <f t="array" ref="C196">INDEX(Backlog!$A$2:$E1000,MATCH(A196,Backlog!$A$2:A196,0),3)</f>
        <v>8.199409912</v>
      </c>
      <c r="D196" s="61">
        <f t="array" ref="D196">INDEX(Backlog!$A$2:$M1000,MATCH(A196,Backlog!$A$2:A1000,0),13)</f>
        <v>6.219959795</v>
      </c>
      <c r="E196" s="57" t="str">
        <f t="shared" si="1"/>
        <v>#DIV/0!</v>
      </c>
      <c r="F196" s="4" t="str">
        <f>IFERROR(__xludf.DUMMYFUNCTION("IMPORTRANGE(""https://docs.google.com/spreadsheets/d/18DfrIzhC5fA8A-r3adxOOCzrHWwbHYufiN01iEToBGk/edit#gid=1015091678"",""Inportant calculator!C$50"")"),"")</f>
        <v/>
      </c>
    </row>
    <row r="197">
      <c r="A197" s="7" t="s">
        <v>239</v>
      </c>
      <c r="B197" s="60">
        <f t="array" ref="B197">INDEX(Backlog!$A$2:$E1000,MATCH(A197,Backlog!$A$2:A197,0),2)</f>
        <v>36</v>
      </c>
      <c r="C197" s="61">
        <f t="array" ref="C197">INDEX(Backlog!$A$2:$E1000,MATCH(A197,Backlog!$A$2:A197,0),3)</f>
        <v>5.787818762</v>
      </c>
      <c r="D197" s="61">
        <f t="array" ref="D197">INDEX(Backlog!$A$2:$M1000,MATCH(A197,Backlog!$A$2:A1000,0),13)</f>
        <v>6.219959795</v>
      </c>
      <c r="E197" s="57" t="str">
        <f t="shared" si="1"/>
        <v>#DIV/0!</v>
      </c>
      <c r="F197" s="4" t="str">
        <f>IFERROR(__xludf.DUMMYFUNCTION("IMPORTRANGE(""https://docs.google.com/spreadsheets/d/18DfrIzhC5fA8A-r3adxOOCzrHWwbHYufiN01iEToBGk/edit#gid=1015091678"",""Inportant calculator!C$50"")"),"")</f>
        <v/>
      </c>
    </row>
    <row r="198">
      <c r="A198" s="7" t="s">
        <v>240</v>
      </c>
      <c r="B198" s="60">
        <f t="array" ref="B198">INDEX(Backlog!$A$2:$E1000,MATCH(A198,Backlog!$A$2:A198,0),2)</f>
        <v>20</v>
      </c>
      <c r="C198" s="61">
        <f t="array" ref="C198">INDEX(Backlog!$A$2:$E1000,MATCH(A198,Backlog!$A$2:A198,0),3)</f>
        <v>3.215454868</v>
      </c>
      <c r="D198" s="61">
        <f t="array" ref="D198">INDEX(Backlog!$A$2:$M1000,MATCH(A198,Backlog!$A$2:A1000,0),13)</f>
        <v>6.219959795</v>
      </c>
      <c r="E198" s="57" t="str">
        <f t="shared" si="1"/>
        <v>#DIV/0!</v>
      </c>
      <c r="F198" s="4" t="str">
        <f>IFERROR(__xludf.DUMMYFUNCTION("IMPORTRANGE(""https://docs.google.com/spreadsheets/d/18DfrIzhC5fA8A-r3adxOOCzrHWwbHYufiN01iEToBGk/edit#gid=1015091678"",""Inportant calculator!C$50"")"),"")</f>
        <v/>
      </c>
    </row>
    <row r="199">
      <c r="A199" s="7" t="s">
        <v>241</v>
      </c>
      <c r="B199" s="60">
        <f t="array" ref="B199">INDEX(Backlog!$A$2:$E1000,MATCH(A199,Backlog!$A$2:A199,0),2)</f>
        <v>44</v>
      </c>
      <c r="C199" s="61">
        <f t="array" ref="C199">INDEX(Backlog!$A$2:$E1000,MATCH(A199,Backlog!$A$2:A199,0),3)</f>
        <v>7.074000709</v>
      </c>
      <c r="D199" s="61">
        <f t="array" ref="D199">INDEX(Backlog!$A$2:$M1000,MATCH(A199,Backlog!$A$2:A1000,0),13)</f>
        <v>6.219959795</v>
      </c>
      <c r="E199" s="57" t="str">
        <f t="shared" si="1"/>
        <v>#DIV/0!</v>
      </c>
      <c r="F199" s="4" t="str">
        <f>IFERROR(__xludf.DUMMYFUNCTION("IMPORTRANGE(""https://docs.google.com/spreadsheets/d/18DfrIzhC5fA8A-r3adxOOCzrHWwbHYufiN01iEToBGk/edit#gid=1015091678"",""Inportant calculator!C$50"")"),"")</f>
        <v/>
      </c>
    </row>
    <row r="200">
      <c r="A200" s="7" t="s">
        <v>242</v>
      </c>
      <c r="B200" s="60">
        <f t="array" ref="B200">INDEX(Backlog!$A$2:$E1000,MATCH(A200,Backlog!$A$2:A200,0),2)</f>
        <v>82</v>
      </c>
      <c r="C200" s="61">
        <f t="array" ref="C200">INDEX(Backlog!$A$2:$E1000,MATCH(A200,Backlog!$A$2:A200,0),3)</f>
        <v>13.18336496</v>
      </c>
      <c r="D200" s="61">
        <f t="array" ref="D200">INDEX(Backlog!$A$2:$M1000,MATCH(A200,Backlog!$A$2:A1000,0),13)</f>
        <v>6.219959795</v>
      </c>
      <c r="E200" s="57" t="str">
        <f t="shared" si="1"/>
        <v>#DIV/0!</v>
      </c>
      <c r="F200" s="4" t="str">
        <f>IFERROR(__xludf.DUMMYFUNCTION("IMPORTRANGE(""https://docs.google.com/spreadsheets/d/18DfrIzhC5fA8A-r3adxOOCzrHWwbHYufiN01iEToBGk/edit#gid=1015091678"",""Inportant calculator!C$50"")"),"")</f>
        <v/>
      </c>
    </row>
    <row r="201">
      <c r="A201" s="7" t="s">
        <v>243</v>
      </c>
      <c r="B201" s="60">
        <f t="array" ref="B201">INDEX(Backlog!$A$2:$E1000,MATCH(A201,Backlog!$A$2:A201,0),2)</f>
        <v>31.5</v>
      </c>
      <c r="C201" s="61">
        <f t="array" ref="C201">INDEX(Backlog!$A$2:$E1000,MATCH(A201,Backlog!$A$2:A201,0),3)</f>
        <v>5.064341416</v>
      </c>
      <c r="D201" s="61">
        <f t="array" ref="D201">INDEX(Backlog!$A$2:$M1000,MATCH(A201,Backlog!$A$2:A1000,0),13)</f>
        <v>6.219959795</v>
      </c>
      <c r="E201" s="57" t="str">
        <f t="shared" si="1"/>
        <v>#DIV/0!</v>
      </c>
      <c r="F201" s="4" t="str">
        <f>IFERROR(__xludf.DUMMYFUNCTION("IMPORTRANGE(""https://docs.google.com/spreadsheets/d/18DfrIzhC5fA8A-r3adxOOCzrHWwbHYufiN01iEToBGk/edit#gid=1015091678"",""Inportant calculator!C$50"")"),"")</f>
        <v/>
      </c>
    </row>
    <row r="202">
      <c r="A202" s="7" t="s">
        <v>244</v>
      </c>
      <c r="B202" s="60">
        <f t="array" ref="B202">INDEX(Backlog!$A$2:$E1000,MATCH(A202,Backlog!$A$2:A202,0),2)</f>
        <v>93</v>
      </c>
      <c r="C202" s="61">
        <f t="array" ref="C202">INDEX(Backlog!$A$2:$E1000,MATCH(A202,Backlog!$A$2:A202,0),3)</f>
        <v>14.95186513</v>
      </c>
      <c r="D202" s="61">
        <f t="array" ref="D202">INDEX(Backlog!$A$2:$M1000,MATCH(A202,Backlog!$A$2:A1000,0),13)</f>
        <v>6.219959795</v>
      </c>
      <c r="E202" s="57" t="str">
        <f t="shared" si="1"/>
        <v>#DIV/0!</v>
      </c>
      <c r="F202" s="4" t="str">
        <f>IFERROR(__xludf.DUMMYFUNCTION("IMPORTRANGE(""https://docs.google.com/spreadsheets/d/18DfrIzhC5fA8A-r3adxOOCzrHWwbHYufiN01iEToBGk/edit#gid=1015091678"",""Inportant calculator!C$50"")"),"")</f>
        <v/>
      </c>
    </row>
    <row r="203">
      <c r="A203" s="7" t="s">
        <v>245</v>
      </c>
      <c r="B203" s="60">
        <f t="array" ref="B203">INDEX(Backlog!$A$2:$E1000,MATCH(A203,Backlog!$A$2:A203,0),2)</f>
        <v>82</v>
      </c>
      <c r="C203" s="61">
        <f t="array" ref="C203">INDEX(Backlog!$A$2:$E1000,MATCH(A203,Backlog!$A$2:A203,0),3)</f>
        <v>13.18336496</v>
      </c>
      <c r="D203" s="61">
        <f t="array" ref="D203">INDEX(Backlog!$A$2:$M1000,MATCH(A203,Backlog!$A$2:A1000,0),13)</f>
        <v>6.219959795</v>
      </c>
      <c r="E203" s="57" t="str">
        <f t="shared" si="1"/>
        <v>#DIV/0!</v>
      </c>
      <c r="F203" s="4" t="str">
        <f>IFERROR(__xludf.DUMMYFUNCTION("IMPORTRANGE(""https://docs.google.com/spreadsheets/d/18DfrIzhC5fA8A-r3adxOOCzrHWwbHYufiN01iEToBGk/edit#gid=1015091678"",""Inportant calculator!C$50"")"),"")</f>
        <v/>
      </c>
    </row>
    <row r="204">
      <c r="A204" s="18" t="s">
        <v>246</v>
      </c>
      <c r="B204" s="60">
        <f t="array" ref="B204">INDEX(Backlog!$A$2:$E1000,MATCH(A204,Backlog!$A$2:A204,0),2)</f>
        <v>62</v>
      </c>
      <c r="C204" s="61">
        <f t="array" ref="C204">INDEX(Backlog!$A$2:$E1000,MATCH(A204,Backlog!$A$2:A204,0),3)</f>
        <v>9.967910089</v>
      </c>
      <c r="D204" s="61">
        <f t="array" ref="D204">INDEX(Backlog!$A$2:$M1000,MATCH(A204,Backlog!$A$2:A1000,0),13)</f>
        <v>6.219959795</v>
      </c>
      <c r="E204" s="57" t="str">
        <f t="shared" si="1"/>
        <v>#DIV/0!</v>
      </c>
      <c r="F204" s="4" t="str">
        <f>IFERROR(__xludf.DUMMYFUNCTION("IMPORTRANGE(""https://docs.google.com/spreadsheets/d/18DfrIzhC5fA8A-r3adxOOCzrHWwbHYufiN01iEToBGk/edit#gid=1015091678"",""Inportant calculator!C$50"")"),"")</f>
        <v/>
      </c>
    </row>
    <row r="205">
      <c r="A205" s="7" t="s">
        <v>247</v>
      </c>
      <c r="B205" s="60">
        <f t="array" ref="B205">INDEX(Backlog!$A$2:$E1000,MATCH(A205,Backlog!$A$2:A205,0),2)</f>
        <v>62</v>
      </c>
      <c r="C205" s="61">
        <f t="array" ref="C205">INDEX(Backlog!$A$2:$E1000,MATCH(A205,Backlog!$A$2:A205,0),3)</f>
        <v>9.967910089</v>
      </c>
      <c r="D205" s="61">
        <f t="array" ref="D205">INDEX(Backlog!$A$2:$M1000,MATCH(A205,Backlog!$A$2:A1000,0),13)</f>
        <v>6.219959795</v>
      </c>
      <c r="E205" s="57" t="str">
        <f t="shared" si="1"/>
        <v>#DIV/0!</v>
      </c>
      <c r="F205" s="4" t="str">
        <f>IFERROR(__xludf.DUMMYFUNCTION("IMPORTRANGE(""https://docs.google.com/spreadsheets/d/18DfrIzhC5fA8A-r3adxOOCzrHWwbHYufiN01iEToBGk/edit#gid=1015091678"",""Inportant calculator!C$50"")"),"")</f>
        <v/>
      </c>
    </row>
    <row r="206">
      <c r="A206" s="7" t="s">
        <v>248</v>
      </c>
      <c r="B206" s="60">
        <f t="array" ref="B206">INDEX(Backlog!$A$2:$E1000,MATCH(A206,Backlog!$A$2:A206,0),2)</f>
        <v>82</v>
      </c>
      <c r="C206" s="61">
        <f t="array" ref="C206">INDEX(Backlog!$A$2:$E1000,MATCH(A206,Backlog!$A$2:A206,0),3)</f>
        <v>13.18336496</v>
      </c>
      <c r="D206" s="61">
        <f t="array" ref="D206">INDEX(Backlog!$A$2:$M1000,MATCH(A206,Backlog!$A$2:A1000,0),13)</f>
        <v>6.219959795</v>
      </c>
      <c r="E206" s="57" t="str">
        <f t="shared" si="1"/>
        <v>#DIV/0!</v>
      </c>
      <c r="F206" s="4" t="str">
        <f>IFERROR(__xludf.DUMMYFUNCTION("IMPORTRANGE(""https://docs.google.com/spreadsheets/d/18DfrIzhC5fA8A-r3adxOOCzrHWwbHYufiN01iEToBGk/edit#gid=1015091678"",""Inportant calculator!C$50"")"),"")</f>
        <v/>
      </c>
    </row>
    <row r="207">
      <c r="A207" s="7" t="s">
        <v>249</v>
      </c>
      <c r="B207" s="60">
        <f t="array" ref="B207">INDEX(Backlog!$A$2:$E1000,MATCH(A207,Backlog!$A$2:A207,0),2)</f>
        <v>80</v>
      </c>
      <c r="C207" s="61">
        <f t="array" ref="C207">INDEX(Backlog!$A$2:$E1000,MATCH(A207,Backlog!$A$2:A207,0),3)</f>
        <v>12.86181947</v>
      </c>
      <c r="D207" s="61">
        <f t="array" ref="D207">INDEX(Backlog!$A$2:$M1000,MATCH(A207,Backlog!$A$2:A1000,0),13)</f>
        <v>6.219959795</v>
      </c>
      <c r="E207" s="57" t="str">
        <f t="shared" si="1"/>
        <v>#DIV/0!</v>
      </c>
      <c r="F207" s="4" t="str">
        <f>IFERROR(__xludf.DUMMYFUNCTION("IMPORTRANGE(""https://docs.google.com/spreadsheets/d/18DfrIzhC5fA8A-r3adxOOCzrHWwbHYufiN01iEToBGk/edit#gid=1015091678"",""Inportant calculator!C$50"")"),"")</f>
        <v/>
      </c>
    </row>
    <row r="208">
      <c r="A208" s="7" t="s">
        <v>250</v>
      </c>
      <c r="B208" s="60">
        <f t="array" ref="B208">INDEX(Backlog!$A$2:$E1000,MATCH(A208,Backlog!$A$2:A208,0),2)</f>
        <v>19</v>
      </c>
      <c r="C208" s="61">
        <f t="array" ref="C208">INDEX(Backlog!$A$2:$E1000,MATCH(A208,Backlog!$A$2:A208,0),3)</f>
        <v>3.054682124</v>
      </c>
      <c r="D208" s="61">
        <f t="array" ref="D208">INDEX(Backlog!$A$2:$M1000,MATCH(A208,Backlog!$A$2:A1000,0),13)</f>
        <v>6.219959795</v>
      </c>
      <c r="E208" s="57" t="str">
        <f t="shared" si="1"/>
        <v>#DIV/0!</v>
      </c>
      <c r="F208" s="4" t="str">
        <f>IFERROR(__xludf.DUMMYFUNCTION("IMPORTRANGE(""https://docs.google.com/spreadsheets/d/18DfrIzhC5fA8A-r3adxOOCzrHWwbHYufiN01iEToBGk/edit#gid=1015091678"",""Inportant calculator!C$50"")"),"")</f>
        <v/>
      </c>
    </row>
    <row r="209">
      <c r="A209" s="7" t="s">
        <v>251</v>
      </c>
      <c r="B209" s="60">
        <f t="array" ref="B209">INDEX(Backlog!$A$2:$E1000,MATCH(A209,Backlog!$A$2:A209,0),2)</f>
        <v>21</v>
      </c>
      <c r="C209" s="61">
        <f t="array" ref="C209">INDEX(Backlog!$A$2:$E1000,MATCH(A209,Backlog!$A$2:A209,0),3)</f>
        <v>3.376227611</v>
      </c>
      <c r="D209" s="61">
        <f t="array" ref="D209">INDEX(Backlog!$A$2:$M1000,MATCH(A209,Backlog!$A$2:A1000,0),13)</f>
        <v>6.219959795</v>
      </c>
      <c r="E209" s="57" t="str">
        <f t="shared" si="1"/>
        <v>#DIV/0!</v>
      </c>
      <c r="F209" s="4" t="str">
        <f>IFERROR(__xludf.DUMMYFUNCTION("IMPORTRANGE(""https://docs.google.com/spreadsheets/d/18DfrIzhC5fA8A-r3adxOOCzrHWwbHYufiN01iEToBGk/edit#gid=1015091678"",""Inportant calculator!C$50"")"),"")</f>
        <v/>
      </c>
    </row>
    <row r="210">
      <c r="A210" s="7" t="s">
        <v>252</v>
      </c>
      <c r="B210" s="60">
        <f t="array" ref="B210">INDEX(Backlog!$A$2:$E1000,MATCH(A210,Backlog!$A$2:A210,0),2)</f>
        <v>18</v>
      </c>
      <c r="C210" s="61">
        <f t="array" ref="C210">INDEX(Backlog!$A$2:$E1000,MATCH(A210,Backlog!$A$2:A210,0),3)</f>
        <v>2.893909381</v>
      </c>
      <c r="D210" s="61">
        <f t="array" ref="D210">INDEX(Backlog!$A$2:$M1000,MATCH(A210,Backlog!$A$2:A1000,0),13)</f>
        <v>6.219959795</v>
      </c>
      <c r="E210" s="57" t="str">
        <f t="shared" si="1"/>
        <v>#DIV/0!</v>
      </c>
      <c r="F210" s="4" t="str">
        <f>IFERROR(__xludf.DUMMYFUNCTION("IMPORTRANGE(""https://docs.google.com/spreadsheets/d/18DfrIzhC5fA8A-r3adxOOCzrHWwbHYufiN01iEToBGk/edit#gid=1015091678"",""Inportant calculator!C$50"")"),"")</f>
        <v/>
      </c>
    </row>
    <row r="211">
      <c r="A211" s="7" t="s">
        <v>253</v>
      </c>
      <c r="B211" s="60">
        <f t="array" ref="B211">INDEX(Backlog!$A$2:$E1000,MATCH(A211,Backlog!$A$2:A211,0),2)</f>
        <v>19</v>
      </c>
      <c r="C211" s="61">
        <f t="array" ref="C211">INDEX(Backlog!$A$2:$E1000,MATCH(A211,Backlog!$A$2:A211,0),3)</f>
        <v>3.054682124</v>
      </c>
      <c r="D211" s="61">
        <f t="array" ref="D211">INDEX(Backlog!$A$2:$M1000,MATCH(A211,Backlog!$A$2:A1000,0),13)</f>
        <v>6.219959795</v>
      </c>
      <c r="E211" s="57" t="str">
        <f t="shared" si="1"/>
        <v>#DIV/0!</v>
      </c>
      <c r="F211" s="4" t="str">
        <f>IFERROR(__xludf.DUMMYFUNCTION("IMPORTRANGE(""https://docs.google.com/spreadsheets/d/18DfrIzhC5fA8A-r3adxOOCzrHWwbHYufiN01iEToBGk/edit#gid=1015091678"",""Inportant calculator!C$50"")"),"")</f>
        <v/>
      </c>
    </row>
    <row r="212">
      <c r="A212" s="7" t="s">
        <v>254</v>
      </c>
      <c r="B212" s="60">
        <f t="array" ref="B212">INDEX(Backlog!$A$2:$E1000,MATCH(A212,Backlog!$A$2:A212,0),2)</f>
        <v>21</v>
      </c>
      <c r="C212" s="61">
        <f t="array" ref="C212">INDEX(Backlog!$A$2:$E1000,MATCH(A212,Backlog!$A$2:A212,0),3)</f>
        <v>3.376227611</v>
      </c>
      <c r="D212" s="61">
        <f t="array" ref="D212">INDEX(Backlog!$A$2:$M1000,MATCH(A212,Backlog!$A$2:A1000,0),13)</f>
        <v>6.219959795</v>
      </c>
      <c r="E212" s="57" t="str">
        <f t="shared" si="1"/>
        <v>#DIV/0!</v>
      </c>
      <c r="F212" s="4" t="str">
        <f>IFERROR(__xludf.DUMMYFUNCTION("IMPORTRANGE(""https://docs.google.com/spreadsheets/d/18DfrIzhC5fA8A-r3adxOOCzrHWwbHYufiN01iEToBGk/edit#gid=1015091678"",""Inportant calculator!C$50"")"),"")</f>
        <v/>
      </c>
    </row>
    <row r="213">
      <c r="A213" s="7" t="s">
        <v>255</v>
      </c>
      <c r="B213" s="60">
        <f t="array" ref="B213">INDEX(Backlog!$A$2:$E1000,MATCH(A213,Backlog!$A$2:A213,0),2)</f>
        <v>24</v>
      </c>
      <c r="C213" s="61">
        <f t="array" ref="C213">INDEX(Backlog!$A$2:$E1000,MATCH(A213,Backlog!$A$2:A213,0),3)</f>
        <v>3.858545841</v>
      </c>
      <c r="D213" s="61">
        <f t="array" ref="D213">INDEX(Backlog!$A$2:$M1000,MATCH(A213,Backlog!$A$2:A1000,0),13)</f>
        <v>6.219959795</v>
      </c>
      <c r="E213" s="57" t="str">
        <f t="shared" si="1"/>
        <v>#DIV/0!</v>
      </c>
      <c r="F213" s="4" t="str">
        <f>IFERROR(__xludf.DUMMYFUNCTION("IMPORTRANGE(""https://docs.google.com/spreadsheets/d/18DfrIzhC5fA8A-r3adxOOCzrHWwbHYufiN01iEToBGk/edit#gid=1015091678"",""Inportant calculator!C$50"")"),"")</f>
        <v/>
      </c>
    </row>
    <row r="214">
      <c r="A214" s="7" t="s">
        <v>256</v>
      </c>
      <c r="B214" s="60">
        <f t="array" ref="B214">INDEX(Backlog!$A$2:$E1000,MATCH(A214,Backlog!$A$2:A214,0),2)</f>
        <v>21</v>
      </c>
      <c r="C214" s="61">
        <f t="array" ref="C214">INDEX(Backlog!$A$2:$E1000,MATCH(A214,Backlog!$A$2:A214,0),3)</f>
        <v>3.376227611</v>
      </c>
      <c r="D214" s="61">
        <f t="array" ref="D214">INDEX(Backlog!$A$2:$M1000,MATCH(A214,Backlog!$A$2:A1000,0),13)</f>
        <v>6.219959795</v>
      </c>
      <c r="E214" s="57" t="str">
        <f t="shared" si="1"/>
        <v>#DIV/0!</v>
      </c>
      <c r="F214" s="4" t="str">
        <f>IFERROR(__xludf.DUMMYFUNCTION("IMPORTRANGE(""https://docs.google.com/spreadsheets/d/18DfrIzhC5fA8A-r3adxOOCzrHWwbHYufiN01iEToBGk/edit#gid=1015091678"",""Inportant calculator!C$50"")"),"")</f>
        <v/>
      </c>
    </row>
    <row r="215">
      <c r="A215" s="7" t="s">
        <v>257</v>
      </c>
      <c r="B215" s="60">
        <f t="array" ref="B215">INDEX(Backlog!$A$2:$E1000,MATCH(A215,Backlog!$A$2:A215,0),2)</f>
        <v>14</v>
      </c>
      <c r="C215" s="61">
        <f t="array" ref="C215">INDEX(Backlog!$A$2:$E1000,MATCH(A215,Backlog!$A$2:A215,0),3)</f>
        <v>2.250818407</v>
      </c>
      <c r="D215" s="61">
        <f t="array" ref="D215">INDEX(Backlog!$A$2:$M1000,MATCH(A215,Backlog!$A$2:A1000,0),13)</f>
        <v>6.219959795</v>
      </c>
      <c r="E215" s="57" t="str">
        <f t="shared" si="1"/>
        <v>#DIV/0!</v>
      </c>
      <c r="F215" s="4" t="str">
        <f>IFERROR(__xludf.DUMMYFUNCTION("IMPORTRANGE(""https://docs.google.com/spreadsheets/d/18DfrIzhC5fA8A-r3adxOOCzrHWwbHYufiN01iEToBGk/edit#gid=1015091678"",""Inportant calculator!C$50"")"),"")</f>
        <v/>
      </c>
    </row>
    <row r="216">
      <c r="A216" s="7" t="s">
        <v>258</v>
      </c>
      <c r="B216" s="60">
        <f t="array" ref="B216">INDEX(Backlog!$A$2:$E1000,MATCH(A216,Backlog!$A$2:A216,0),2)</f>
        <v>15</v>
      </c>
      <c r="C216" s="61">
        <f t="array" ref="C216">INDEX(Backlog!$A$2:$E1000,MATCH(A216,Backlog!$A$2:A216,0),3)</f>
        <v>2.411591151</v>
      </c>
      <c r="D216" s="61">
        <f t="array" ref="D216">INDEX(Backlog!$A$2:$M1000,MATCH(A216,Backlog!$A$2:A1000,0),13)</f>
        <v>6.219959795</v>
      </c>
      <c r="E216" s="57" t="str">
        <f t="shared" si="1"/>
        <v>#DIV/0!</v>
      </c>
      <c r="F216" s="4" t="str">
        <f>IFERROR(__xludf.DUMMYFUNCTION("IMPORTRANGE(""https://docs.google.com/spreadsheets/d/18DfrIzhC5fA8A-r3adxOOCzrHWwbHYufiN01iEToBGk/edit#gid=1015091678"",""Inportant calculator!C$50"")"),"")</f>
        <v/>
      </c>
    </row>
    <row r="217">
      <c r="A217" s="7" t="s">
        <v>259</v>
      </c>
      <c r="B217" s="60">
        <f t="array" ref="B217">INDEX(Backlog!$A$2:$E1000,MATCH(A217,Backlog!$A$2:A217,0),2)</f>
        <v>24</v>
      </c>
      <c r="C217" s="61">
        <f t="array" ref="C217">INDEX(Backlog!$A$2:$E1000,MATCH(A217,Backlog!$A$2:A217,0),3)</f>
        <v>3.858545841</v>
      </c>
      <c r="D217" s="61">
        <f t="array" ref="D217">INDEX(Backlog!$A$2:$M1000,MATCH(A217,Backlog!$A$2:A1000,0),13)</f>
        <v>6.219959795</v>
      </c>
      <c r="E217" s="57" t="str">
        <f t="shared" si="1"/>
        <v>#DIV/0!</v>
      </c>
      <c r="F217" s="4" t="str">
        <f>IFERROR(__xludf.DUMMYFUNCTION("IMPORTRANGE(""https://docs.google.com/spreadsheets/d/18DfrIzhC5fA8A-r3adxOOCzrHWwbHYufiN01iEToBGk/edit#gid=1015091678"",""Inportant calculator!C$50"")"),"")</f>
        <v/>
      </c>
    </row>
    <row r="218">
      <c r="A218" s="7" t="s">
        <v>260</v>
      </c>
      <c r="B218" s="60">
        <f t="array" ref="B218">INDEX(Backlog!$A$2:$E1000,MATCH(A218,Backlog!$A$2:A218,0),2)</f>
        <v>24</v>
      </c>
      <c r="C218" s="61">
        <f t="array" ref="C218">INDEX(Backlog!$A$2:$E1000,MATCH(A218,Backlog!$A$2:A218,0),3)</f>
        <v>3.858545841</v>
      </c>
      <c r="D218" s="61">
        <f t="array" ref="D218">INDEX(Backlog!$A$2:$M1000,MATCH(A218,Backlog!$A$2:A1000,0),13)</f>
        <v>6.219959795</v>
      </c>
      <c r="E218" s="57" t="str">
        <f t="shared" si="1"/>
        <v>#DIV/0!</v>
      </c>
      <c r="F218" s="4" t="str">
        <f>IFERROR(__xludf.DUMMYFUNCTION("IMPORTRANGE(""https://docs.google.com/spreadsheets/d/18DfrIzhC5fA8A-r3adxOOCzrHWwbHYufiN01iEToBGk/edit#gid=1015091678"",""Inportant calculator!C$50"")"),"")</f>
        <v/>
      </c>
    </row>
    <row r="219">
      <c r="A219" s="7" t="s">
        <v>261</v>
      </c>
      <c r="B219" s="60">
        <f t="array" ref="B219">INDEX(Backlog!$A$2:$E1000,MATCH(A219,Backlog!$A$2:A219,0),2)</f>
        <v>93</v>
      </c>
      <c r="C219" s="61">
        <f t="array" ref="C219">INDEX(Backlog!$A$2:$E1000,MATCH(A219,Backlog!$A$2:A219,0),3)</f>
        <v>14.95186513</v>
      </c>
      <c r="D219" s="61">
        <f t="array" ref="D219">INDEX(Backlog!$A$2:$M1000,MATCH(A219,Backlog!$A$2:A1000,0),13)</f>
        <v>6.219959795</v>
      </c>
      <c r="E219" s="57" t="str">
        <f t="shared" si="1"/>
        <v>#DIV/0!</v>
      </c>
      <c r="F219" s="4" t="str">
        <f>IFERROR(__xludf.DUMMYFUNCTION("IMPORTRANGE(""https://docs.google.com/spreadsheets/d/18DfrIzhC5fA8A-r3adxOOCzrHWwbHYufiN01iEToBGk/edit#gid=1015091678"",""Inportant calculator!C$50"")"),"")</f>
        <v/>
      </c>
    </row>
    <row r="220">
      <c r="A220" s="7" t="s">
        <v>262</v>
      </c>
      <c r="B220" s="60">
        <f t="array" ref="B220">INDEX(Backlog!$A$2:$E1000,MATCH(A220,Backlog!$A$2:A220,0),2)</f>
        <v>113</v>
      </c>
      <c r="C220" s="61">
        <f t="array" ref="C220">INDEX(Backlog!$A$2:$E1000,MATCH(A220,Backlog!$A$2:A220,0),3)</f>
        <v>18.16732</v>
      </c>
      <c r="D220" s="61">
        <f t="array" ref="D220">INDEX(Backlog!$A$2:$M1000,MATCH(A220,Backlog!$A$2:A1000,0),13)</f>
        <v>6.219959795</v>
      </c>
      <c r="E220" s="57" t="str">
        <f t="shared" si="1"/>
        <v>#DIV/0!</v>
      </c>
      <c r="F220" s="4" t="str">
        <f>IFERROR(__xludf.DUMMYFUNCTION("IMPORTRANGE(""https://docs.google.com/spreadsheets/d/18DfrIzhC5fA8A-r3adxOOCzrHWwbHYufiN01iEToBGk/edit#gid=1015091678"",""Inportant calculator!C$50"")"),"")</f>
        <v/>
      </c>
    </row>
    <row r="221">
      <c r="A221" s="7" t="s">
        <v>263</v>
      </c>
      <c r="B221" s="60">
        <f t="array" ref="B221">INDEX(Backlog!$A$2:$E1000,MATCH(A221,Backlog!$A$2:A221,0),2)</f>
        <v>8</v>
      </c>
      <c r="C221" s="61">
        <f t="array" ref="C221">INDEX(Backlog!$A$2:$E1000,MATCH(A221,Backlog!$A$2:A221,0),3)</f>
        <v>1.286181947</v>
      </c>
      <c r="D221" s="61">
        <f t="array" ref="D221">INDEX(Backlog!$A$2:$M1000,MATCH(A221,Backlog!$A$2:A1000,0),13)</f>
        <v>6.219959795</v>
      </c>
      <c r="E221" s="57" t="str">
        <f t="shared" si="1"/>
        <v>#DIV/0!</v>
      </c>
      <c r="F221" s="4" t="str">
        <f>IFERROR(__xludf.DUMMYFUNCTION("IMPORTRANGE(""https://docs.google.com/spreadsheets/d/18DfrIzhC5fA8A-r3adxOOCzrHWwbHYufiN01iEToBGk/edit#gid=1015091678"",""Inportant calculator!C$50"")"),"")</f>
        <v/>
      </c>
    </row>
    <row r="222">
      <c r="A222" s="19" t="s">
        <v>264</v>
      </c>
      <c r="B222" s="60">
        <f t="array" ref="B222">INDEX(Backlog!$A$2:$E1000,MATCH(A222,Backlog!$A$2:A222,0),2)</f>
        <v>45</v>
      </c>
      <c r="C222" s="61">
        <f t="array" ref="C222">INDEX(Backlog!$A$2:$E1000,MATCH(A222,Backlog!$A$2:A222,0),3)</f>
        <v>7.234773452</v>
      </c>
      <c r="D222" s="61">
        <f t="array" ref="D222">INDEX(Backlog!$A$2:$M1000,MATCH(A222,Backlog!$A$2:A1000,0),13)</f>
        <v>6.219959795</v>
      </c>
      <c r="E222" s="57" t="str">
        <f t="shared" si="1"/>
        <v>#DIV/0!</v>
      </c>
      <c r="F222" s="4" t="str">
        <f>IFERROR(__xludf.DUMMYFUNCTION("IMPORTRANGE(""https://docs.google.com/spreadsheets/d/18DfrIzhC5fA8A-r3adxOOCzrHWwbHYufiN01iEToBGk/edit#gid=1015091678"",""Inportant calculator!C$50"")"),"")</f>
        <v/>
      </c>
    </row>
    <row r="223">
      <c r="A223" s="7" t="s">
        <v>265</v>
      </c>
      <c r="B223" s="60">
        <f t="array" ref="B223">INDEX(Backlog!$A$2:$E1000,MATCH(A223,Backlog!$A$2:A223,0),2)</f>
        <v>47</v>
      </c>
      <c r="C223" s="61">
        <f t="array" ref="C223">INDEX(Backlog!$A$2:$E1000,MATCH(A223,Backlog!$A$2:A223,0),3)</f>
        <v>7.556318939</v>
      </c>
      <c r="D223" s="61">
        <f t="array" ref="D223">INDEX(Backlog!$A$2:$M1000,MATCH(A223,Backlog!$A$2:A1000,0),13)</f>
        <v>6.219959795</v>
      </c>
      <c r="E223" s="57" t="str">
        <f t="shared" si="1"/>
        <v>#DIV/0!</v>
      </c>
      <c r="F223" s="4" t="str">
        <f>IFERROR(__xludf.DUMMYFUNCTION("IMPORTRANGE(""https://docs.google.com/spreadsheets/d/18DfrIzhC5fA8A-r3adxOOCzrHWwbHYufiN01iEToBGk/edit#gid=1015091678"",""Inportant calculator!C$50"")"),"")</f>
        <v/>
      </c>
    </row>
    <row r="224">
      <c r="A224" s="7" t="s">
        <v>266</v>
      </c>
      <c r="B224" s="60">
        <f t="array" ref="B224">INDEX(Backlog!$A$2:$E1000,MATCH(A224,Backlog!$A$2:A224,0),2)</f>
        <v>53</v>
      </c>
      <c r="C224" s="61">
        <f t="array" ref="C224">INDEX(Backlog!$A$2:$E1000,MATCH(A224,Backlog!$A$2:A224,0),3)</f>
        <v>8.520955399</v>
      </c>
      <c r="D224" s="61">
        <f t="array" ref="D224">INDEX(Backlog!$A$2:$M1000,MATCH(A224,Backlog!$A$2:A1000,0),13)</f>
        <v>6.219959795</v>
      </c>
      <c r="E224" s="57" t="str">
        <f t="shared" si="1"/>
        <v>#DIV/0!</v>
      </c>
      <c r="F224" s="4" t="str">
        <f>IFERROR(__xludf.DUMMYFUNCTION("IMPORTRANGE(""https://docs.google.com/spreadsheets/d/18DfrIzhC5fA8A-r3adxOOCzrHWwbHYufiN01iEToBGk/edit#gid=1015091678"",""Inportant calculator!C$50"")"),"")</f>
        <v/>
      </c>
    </row>
    <row r="225">
      <c r="A225" s="20" t="s">
        <v>267</v>
      </c>
      <c r="B225" s="60">
        <f t="array" ref="B225">INDEX(Backlog!$A$2:$E1000,MATCH(A225,Backlog!$A$2:A225,0),2)</f>
        <v>9</v>
      </c>
      <c r="C225" s="61">
        <f t="array" ref="C225">INDEX(Backlog!$A$2:$E1000,MATCH(A225,Backlog!$A$2:A225,0),3)</f>
        <v>1.44695469</v>
      </c>
      <c r="D225" s="61">
        <f t="array" ref="D225">INDEX(Backlog!$A$2:$M1000,MATCH(A225,Backlog!$A$2:A1000,0),13)</f>
        <v>6.219959795</v>
      </c>
      <c r="E225" s="57" t="str">
        <f t="shared" si="1"/>
        <v>#DIV/0!</v>
      </c>
      <c r="F225" s="4" t="str">
        <f>IFERROR(__xludf.DUMMYFUNCTION("IMPORTRANGE(""https://docs.google.com/spreadsheets/d/18DfrIzhC5fA8A-r3adxOOCzrHWwbHYufiN01iEToBGk/edit#gid=1015091678"",""Inportant calculator!C$50"")"),"")</f>
        <v/>
      </c>
    </row>
    <row r="226">
      <c r="A226" s="7" t="s">
        <v>268</v>
      </c>
      <c r="B226" s="60">
        <f t="array" ref="B226">INDEX(Backlog!$A$2:$E1000,MATCH(A226,Backlog!$A$2:A226,0),2)</f>
        <v>20</v>
      </c>
      <c r="C226" s="61">
        <f t="array" ref="C226">INDEX(Backlog!$A$2:$E1000,MATCH(A226,Backlog!$A$2:A226,0),3)</f>
        <v>3.215454868</v>
      </c>
      <c r="D226" s="61">
        <f t="array" ref="D226">INDEX(Backlog!$A$2:$M1000,MATCH(A226,Backlog!$A$2:A1000,0),13)</f>
        <v>6.219959795</v>
      </c>
      <c r="E226" s="57" t="str">
        <f t="shared" si="1"/>
        <v>#DIV/0!</v>
      </c>
      <c r="F226" s="4" t="str">
        <f>IFERROR(__xludf.DUMMYFUNCTION("IMPORTRANGE(""https://docs.google.com/spreadsheets/d/18DfrIzhC5fA8A-r3adxOOCzrHWwbHYufiN01iEToBGk/edit#gid=1015091678"",""Inportant calculator!C$50"")"),"")</f>
        <v/>
      </c>
    </row>
    <row r="227">
      <c r="A227" s="7" t="s">
        <v>269</v>
      </c>
      <c r="B227" s="60">
        <f t="array" ref="B227">INDEX(Backlog!$A$2:$E1000,MATCH(A227,Backlog!$A$2:A227,0),2)</f>
        <v>20</v>
      </c>
      <c r="C227" s="61">
        <f t="array" ref="C227">INDEX(Backlog!$A$2:$E1000,MATCH(A227,Backlog!$A$2:A227,0),3)</f>
        <v>3.215454868</v>
      </c>
      <c r="D227" s="61">
        <f t="array" ref="D227">INDEX(Backlog!$A$2:$M1000,MATCH(A227,Backlog!$A$2:A1000,0),13)</f>
        <v>6.219959795</v>
      </c>
      <c r="E227" s="57" t="str">
        <f t="shared" si="1"/>
        <v>#DIV/0!</v>
      </c>
      <c r="F227" s="4" t="str">
        <f>IFERROR(__xludf.DUMMYFUNCTION("IMPORTRANGE(""https://docs.google.com/spreadsheets/d/18DfrIzhC5fA8A-r3adxOOCzrHWwbHYufiN01iEToBGk/edit#gid=1015091678"",""Inportant calculator!C$50"")"),"")</f>
        <v/>
      </c>
    </row>
    <row r="228">
      <c r="A228" s="7" t="s">
        <v>270</v>
      </c>
      <c r="B228" s="60">
        <f t="array" ref="B228">INDEX(Backlog!$A$2:$E1000,MATCH(A228,Backlog!$A$2:A228,0),2)</f>
        <v>29</v>
      </c>
      <c r="C228" s="61">
        <f t="array" ref="C228">INDEX(Backlog!$A$2:$E1000,MATCH(A228,Backlog!$A$2:A228,0),3)</f>
        <v>4.662409558</v>
      </c>
      <c r="D228" s="61">
        <f t="array" ref="D228">INDEX(Backlog!$A$2:$M1000,MATCH(A228,Backlog!$A$2:A1000,0),13)</f>
        <v>6.219959795</v>
      </c>
      <c r="E228" s="57" t="str">
        <f t="shared" si="1"/>
        <v>#DIV/0!</v>
      </c>
      <c r="F228" s="4" t="str">
        <f>IFERROR(__xludf.DUMMYFUNCTION("IMPORTRANGE(""https://docs.google.com/spreadsheets/d/18DfrIzhC5fA8A-r3adxOOCzrHWwbHYufiN01iEToBGk/edit#gid=1015091678"",""Inportant calculator!C$50"")"),"")</f>
        <v/>
      </c>
    </row>
    <row r="229">
      <c r="A229" s="7" t="s">
        <v>271</v>
      </c>
      <c r="B229" s="60">
        <f t="array" ref="B229">INDEX(Backlog!$A$2:$E1000,MATCH(A229,Backlog!$A$2:A229,0),2)</f>
        <v>40</v>
      </c>
      <c r="C229" s="61">
        <f t="array" ref="C229">INDEX(Backlog!$A$2:$E1000,MATCH(A229,Backlog!$A$2:A229,0),3)</f>
        <v>6.430909735</v>
      </c>
      <c r="D229" s="61">
        <f t="array" ref="D229">INDEX(Backlog!$A$2:$M1000,MATCH(A229,Backlog!$A$2:A1000,0),13)</f>
        <v>6.219959795</v>
      </c>
      <c r="E229" s="57" t="str">
        <f t="shared" si="1"/>
        <v>#DIV/0!</v>
      </c>
      <c r="F229" s="4" t="str">
        <f>IFERROR(__xludf.DUMMYFUNCTION("IMPORTRANGE(""https://docs.google.com/spreadsheets/d/18DfrIzhC5fA8A-r3adxOOCzrHWwbHYufiN01iEToBGk/edit#gid=1015091678"",""Inportant calculator!C$50"")"),"")</f>
        <v/>
      </c>
    </row>
    <row r="230">
      <c r="A230" s="7" t="s">
        <v>272</v>
      </c>
      <c r="B230" s="60">
        <f t="array" ref="B230">INDEX(Backlog!$A$2:$E1000,MATCH(A230,Backlog!$A$2:A230,0),2)</f>
        <v>62</v>
      </c>
      <c r="C230" s="61">
        <f t="array" ref="C230">INDEX(Backlog!$A$2:$E1000,MATCH(A230,Backlog!$A$2:A230,0),3)</f>
        <v>9.967910089</v>
      </c>
      <c r="D230" s="61">
        <f t="array" ref="D230">INDEX(Backlog!$A$2:$M1000,MATCH(A230,Backlog!$A$2:A1000,0),13)</f>
        <v>6.219959795</v>
      </c>
      <c r="E230" s="57" t="str">
        <f t="shared" si="1"/>
        <v>#DIV/0!</v>
      </c>
      <c r="F230" s="4" t="str">
        <f>IFERROR(__xludf.DUMMYFUNCTION("IMPORTRANGE(""https://docs.google.com/spreadsheets/d/18DfrIzhC5fA8A-r3adxOOCzrHWwbHYufiN01iEToBGk/edit#gid=1015091678"",""Inportant calculator!C$50"")"),"")</f>
        <v/>
      </c>
    </row>
    <row r="231">
      <c r="A231" s="7" t="s">
        <v>273</v>
      </c>
      <c r="B231" s="60">
        <f t="array" ref="B231">INDEX(Backlog!$A$2:$E1000,MATCH(A231,Backlog!$A$2:A231,0),2)</f>
        <v>47</v>
      </c>
      <c r="C231" s="61">
        <f t="array" ref="C231">INDEX(Backlog!$A$2:$E1000,MATCH(A231,Backlog!$A$2:A231,0),3)</f>
        <v>7.556318939</v>
      </c>
      <c r="D231" s="61">
        <f t="array" ref="D231">INDEX(Backlog!$A$2:$M1000,MATCH(A231,Backlog!$A$2:A1000,0),13)</f>
        <v>6.219959795</v>
      </c>
      <c r="E231" s="57" t="str">
        <f t="shared" si="1"/>
        <v>#DIV/0!</v>
      </c>
      <c r="F231" s="4" t="str">
        <f>IFERROR(__xludf.DUMMYFUNCTION("IMPORTRANGE(""https://docs.google.com/spreadsheets/d/18DfrIzhC5fA8A-r3adxOOCzrHWwbHYufiN01iEToBGk/edit#gid=1015091678"",""Inportant calculator!C$50"")"),"")</f>
        <v/>
      </c>
    </row>
    <row r="232">
      <c r="A232" s="7" t="s">
        <v>274</v>
      </c>
      <c r="B232" s="60">
        <f t="array" ref="B232">INDEX(Backlog!$A$2:$E1000,MATCH(A232,Backlog!$A$2:A232,0),2)</f>
        <v>76</v>
      </c>
      <c r="C232" s="61">
        <f t="array" ref="C232">INDEX(Backlog!$A$2:$E1000,MATCH(A232,Backlog!$A$2:A232,0),3)</f>
        <v>12.2187285</v>
      </c>
      <c r="D232" s="61">
        <f t="array" ref="D232">INDEX(Backlog!$A$2:$M1000,MATCH(A232,Backlog!$A$2:A1000,0),13)</f>
        <v>6.219959795</v>
      </c>
      <c r="E232" s="57" t="str">
        <f t="shared" si="1"/>
        <v>#DIV/0!</v>
      </c>
      <c r="F232" s="4" t="str">
        <f>IFERROR(__xludf.DUMMYFUNCTION("IMPORTRANGE(""https://docs.google.com/spreadsheets/d/18DfrIzhC5fA8A-r3adxOOCzrHWwbHYufiN01iEToBGk/edit#gid=1015091678"",""Inportant calculator!C$50"")"),"")</f>
        <v/>
      </c>
    </row>
    <row r="233">
      <c r="A233" s="7" t="s">
        <v>275</v>
      </c>
      <c r="B233" s="60">
        <f t="array" ref="B233">INDEX(Backlog!$A$2:$E1000,MATCH(A233,Backlog!$A$2:A233,0),2)</f>
        <v>104</v>
      </c>
      <c r="C233" s="61">
        <f t="array" ref="C233">INDEX(Backlog!$A$2:$E1000,MATCH(A233,Backlog!$A$2:A233,0),3)</f>
        <v>16.72036531</v>
      </c>
      <c r="D233" s="61">
        <f t="array" ref="D233">INDEX(Backlog!$A$2:$M1000,MATCH(A233,Backlog!$A$2:A1000,0),13)</f>
        <v>6.219959795</v>
      </c>
      <c r="E233" s="57" t="str">
        <f t="shared" si="1"/>
        <v>#DIV/0!</v>
      </c>
      <c r="F233" s="4" t="str">
        <f>IFERROR(__xludf.DUMMYFUNCTION("IMPORTRANGE(""https://docs.google.com/spreadsheets/d/18DfrIzhC5fA8A-r3adxOOCzrHWwbHYufiN01iEToBGk/edit#gid=1015091678"",""Inportant calculator!C$50"")"),"")</f>
        <v/>
      </c>
    </row>
    <row r="234">
      <c r="A234" s="7" t="s">
        <v>276</v>
      </c>
      <c r="B234" s="60">
        <f t="array" ref="B234">INDEX(Backlog!$A$2:$E1000,MATCH(A234,Backlog!$A$2:A234,0),2)</f>
        <v>105</v>
      </c>
      <c r="C234" s="61">
        <f t="array" ref="C234">INDEX(Backlog!$A$2:$E1000,MATCH(A234,Backlog!$A$2:A234,0),3)</f>
        <v>16.88113805</v>
      </c>
      <c r="D234" s="61">
        <f t="array" ref="D234">INDEX(Backlog!$A$2:$M1000,MATCH(A234,Backlog!$A$2:A1000,0),13)</f>
        <v>6.219959795</v>
      </c>
      <c r="E234" s="57" t="str">
        <f t="shared" si="1"/>
        <v>#DIV/0!</v>
      </c>
      <c r="F234" s="4" t="str">
        <f>IFERROR(__xludf.DUMMYFUNCTION("IMPORTRANGE(""https://docs.google.com/spreadsheets/d/18DfrIzhC5fA8A-r3adxOOCzrHWwbHYufiN01iEToBGk/edit#gid=1015091678"",""Inportant calculator!C$50"")"),"")</f>
        <v/>
      </c>
    </row>
    <row r="235">
      <c r="A235" s="7" t="s">
        <v>277</v>
      </c>
      <c r="B235" s="60">
        <f t="array" ref="B235">INDEX(Backlog!$A$2:$E1000,MATCH(A235,Backlog!$A$2:A235,0),2)</f>
        <v>71</v>
      </c>
      <c r="C235" s="61">
        <f t="array" ref="C235">INDEX(Backlog!$A$2:$E1000,MATCH(A235,Backlog!$A$2:A235,0),3)</f>
        <v>11.41486478</v>
      </c>
      <c r="D235" s="61">
        <f t="array" ref="D235">INDEX(Backlog!$A$2:$M1000,MATCH(A235,Backlog!$A$2:A1000,0),13)</f>
        <v>6.219959795</v>
      </c>
      <c r="E235" s="57" t="str">
        <f t="shared" si="1"/>
        <v>#DIV/0!</v>
      </c>
      <c r="F235" s="4" t="str">
        <f>IFERROR(__xludf.DUMMYFUNCTION("IMPORTRANGE(""https://docs.google.com/spreadsheets/d/18DfrIzhC5fA8A-r3adxOOCzrHWwbHYufiN01iEToBGk/edit#gid=1015091678"",""Inportant calculator!C$50"")"),"")</f>
        <v/>
      </c>
    </row>
    <row r="236">
      <c r="A236" s="7" t="s">
        <v>278</v>
      </c>
      <c r="B236" s="60">
        <f t="array" ref="B236">INDEX(Backlog!$A$2:$E1000,MATCH(A236,Backlog!$A$2:A236,0),2)</f>
        <v>117</v>
      </c>
      <c r="C236" s="61">
        <f t="array" ref="C236">INDEX(Backlog!$A$2:$E1000,MATCH(A236,Backlog!$A$2:A236,0),3)</f>
        <v>18.81041098</v>
      </c>
      <c r="D236" s="61">
        <f t="array" ref="D236">INDEX(Backlog!$A$2:$M1000,MATCH(A236,Backlog!$A$2:A1000,0),13)</f>
        <v>6.219959795</v>
      </c>
      <c r="E236" s="57" t="str">
        <f t="shared" si="1"/>
        <v>#DIV/0!</v>
      </c>
      <c r="F236" s="4" t="str">
        <f>IFERROR(__xludf.DUMMYFUNCTION("IMPORTRANGE(""https://docs.google.com/spreadsheets/d/18DfrIzhC5fA8A-r3adxOOCzrHWwbHYufiN01iEToBGk/edit#gid=1015091678"",""Inportant calculator!C$50"")"),"")</f>
        <v/>
      </c>
    </row>
    <row r="237">
      <c r="A237" s="7" t="s">
        <v>279</v>
      </c>
      <c r="B237" s="60">
        <f t="array" ref="B237">INDEX(Backlog!$A$2:$E1000,MATCH(A237,Backlog!$A$2:A237,0),2)</f>
        <v>52</v>
      </c>
      <c r="C237" s="61">
        <f t="array" ref="C237">INDEX(Backlog!$A$2:$E1000,MATCH(A237,Backlog!$A$2:A237,0),3)</f>
        <v>8.360182656</v>
      </c>
      <c r="D237" s="61">
        <f t="array" ref="D237">INDEX(Backlog!$A$2:$M1000,MATCH(A237,Backlog!$A$2:A1000,0),13)</f>
        <v>6.219959795</v>
      </c>
      <c r="E237" s="57" t="str">
        <f t="shared" si="1"/>
        <v>#DIV/0!</v>
      </c>
      <c r="F237" s="4" t="str">
        <f>IFERROR(__xludf.DUMMYFUNCTION("IMPORTRANGE(""https://docs.google.com/spreadsheets/d/18DfrIzhC5fA8A-r3adxOOCzrHWwbHYufiN01iEToBGk/edit#gid=1015091678"",""Inportant calculator!C$50"")"),"")</f>
        <v/>
      </c>
    </row>
    <row r="238">
      <c r="A238" s="7" t="s">
        <v>280</v>
      </c>
      <c r="B238" s="60">
        <f t="array" ref="B238">INDEX(Backlog!$A$2:$E1000,MATCH(A238,Backlog!$A$2:A238,0),2)</f>
        <v>80</v>
      </c>
      <c r="C238" s="61">
        <f t="array" ref="C238">INDEX(Backlog!$A$2:$E1000,MATCH(A238,Backlog!$A$2:A238,0),3)</f>
        <v>12.86181947</v>
      </c>
      <c r="D238" s="61">
        <f t="array" ref="D238">INDEX(Backlog!$A$2:$M1000,MATCH(A238,Backlog!$A$2:A1000,0),13)</f>
        <v>6.219959795</v>
      </c>
      <c r="E238" s="57" t="str">
        <f t="shared" si="1"/>
        <v>#DIV/0!</v>
      </c>
      <c r="F238" s="4" t="str">
        <f>IFERROR(__xludf.DUMMYFUNCTION("IMPORTRANGE(""https://docs.google.com/spreadsheets/d/18DfrIzhC5fA8A-r3adxOOCzrHWwbHYufiN01iEToBGk/edit#gid=1015091678"",""Inportant calculator!C$50"")"),"")</f>
        <v/>
      </c>
    </row>
    <row r="239">
      <c r="A239" s="7" t="s">
        <v>281</v>
      </c>
      <c r="B239" s="60">
        <f t="array" ref="B239">INDEX(Backlog!$A$2:$E1000,MATCH(A239,Backlog!$A$2:A239,0),2)</f>
        <v>62</v>
      </c>
      <c r="C239" s="61">
        <f t="array" ref="C239">INDEX(Backlog!$A$2:$E1000,MATCH(A239,Backlog!$A$2:A239,0),3)</f>
        <v>9.967910089</v>
      </c>
      <c r="D239" s="61">
        <f t="array" ref="D239">INDEX(Backlog!$A$2:$M1000,MATCH(A239,Backlog!$A$2:A1000,0),13)</f>
        <v>6.219959795</v>
      </c>
      <c r="E239" s="57" t="str">
        <f t="shared" si="1"/>
        <v>#DIV/0!</v>
      </c>
      <c r="F239" s="4" t="str">
        <f>IFERROR(__xludf.DUMMYFUNCTION("IMPORTRANGE(""https://docs.google.com/spreadsheets/d/18DfrIzhC5fA8A-r3adxOOCzrHWwbHYufiN01iEToBGk/edit#gid=1015091678"",""Inportant calculator!C$50"")"),"")</f>
        <v/>
      </c>
    </row>
    <row r="240">
      <c r="A240" s="7" t="s">
        <v>282</v>
      </c>
      <c r="B240" s="60">
        <f t="array" ref="B240">INDEX(Backlog!$A$2:$E1000,MATCH(A240,Backlog!$A$2:A240,0),2)</f>
        <v>62</v>
      </c>
      <c r="C240" s="61">
        <f t="array" ref="C240">INDEX(Backlog!$A$2:$E1000,MATCH(A240,Backlog!$A$2:A240,0),3)</f>
        <v>9.967910089</v>
      </c>
      <c r="D240" s="61">
        <f t="array" ref="D240">INDEX(Backlog!$A$2:$M1000,MATCH(A240,Backlog!$A$2:A1000,0),13)</f>
        <v>6.219959795</v>
      </c>
      <c r="E240" s="57" t="str">
        <f t="shared" si="1"/>
        <v>#DIV/0!</v>
      </c>
      <c r="F240" s="4" t="str">
        <f>IFERROR(__xludf.DUMMYFUNCTION("IMPORTRANGE(""https://docs.google.com/spreadsheets/d/18DfrIzhC5fA8A-r3adxOOCzrHWwbHYufiN01iEToBGk/edit#gid=1015091678"",""Inportant calculator!C$50"")"),"")</f>
        <v/>
      </c>
    </row>
    <row r="241">
      <c r="A241" s="7" t="s">
        <v>283</v>
      </c>
      <c r="B241" s="60">
        <f t="array" ref="B241">INDEX(Backlog!$A$2:$E1000,MATCH(A241,Backlog!$A$2:A241,0),2)</f>
        <v>78</v>
      </c>
      <c r="C241" s="61">
        <f t="array" ref="C241">INDEX(Backlog!$A$2:$E1000,MATCH(A241,Backlog!$A$2:A241,0),3)</f>
        <v>12.54027398</v>
      </c>
      <c r="D241" s="61">
        <f t="array" ref="D241">INDEX(Backlog!$A$2:$M1000,MATCH(A241,Backlog!$A$2:A1000,0),13)</f>
        <v>6.219959795</v>
      </c>
      <c r="E241" s="57" t="str">
        <f t="shared" si="1"/>
        <v>#DIV/0!</v>
      </c>
      <c r="F241" s="4" t="str">
        <f>IFERROR(__xludf.DUMMYFUNCTION("IMPORTRANGE(""https://docs.google.com/spreadsheets/d/18DfrIzhC5fA8A-r3adxOOCzrHWwbHYufiN01iEToBGk/edit#gid=1015091678"",""Inportant calculator!C$50"")"),"")</f>
        <v/>
      </c>
    </row>
    <row r="242">
      <c r="A242" s="7" t="s">
        <v>284</v>
      </c>
      <c r="B242" s="60">
        <f t="array" ref="B242">INDEX(Backlog!$A$2:$E1000,MATCH(A242,Backlog!$A$2:A242,0),2)</f>
        <v>44</v>
      </c>
      <c r="C242" s="61">
        <f t="array" ref="C242">INDEX(Backlog!$A$2:$E1000,MATCH(A242,Backlog!$A$2:A242,0),3)</f>
        <v>7.074000709</v>
      </c>
      <c r="D242" s="61">
        <f t="array" ref="D242">INDEX(Backlog!$A$2:$M1000,MATCH(A242,Backlog!$A$2:A1000,0),13)</f>
        <v>6.219959795</v>
      </c>
      <c r="E242" s="57" t="str">
        <f t="shared" si="1"/>
        <v>#DIV/0!</v>
      </c>
      <c r="F242" s="4" t="str">
        <f>IFERROR(__xludf.DUMMYFUNCTION("IMPORTRANGE(""https://docs.google.com/spreadsheets/d/18DfrIzhC5fA8A-r3adxOOCzrHWwbHYufiN01iEToBGk/edit#gid=1015091678"",""Inportant calculator!C$50"")"),"")</f>
        <v/>
      </c>
    </row>
    <row r="243">
      <c r="A243" s="7" t="s">
        <v>285</v>
      </c>
      <c r="B243" s="60">
        <f t="array" ref="B243">INDEX(Backlog!$A$2:$E1000,MATCH(A243,Backlog!$A$2:A243,0),2)</f>
        <v>40</v>
      </c>
      <c r="C243" s="61">
        <f t="array" ref="C243">INDEX(Backlog!$A$2:$E1000,MATCH(A243,Backlog!$A$2:A243,0),3)</f>
        <v>6.430909735</v>
      </c>
      <c r="D243" s="61">
        <f t="array" ref="D243">INDEX(Backlog!$A$2:$M1000,MATCH(A243,Backlog!$A$2:A1000,0),13)</f>
        <v>6.219959795</v>
      </c>
      <c r="E243" s="57" t="str">
        <f t="shared" si="1"/>
        <v>#DIV/0!</v>
      </c>
      <c r="F243" s="4" t="str">
        <f>IFERROR(__xludf.DUMMYFUNCTION("IMPORTRANGE(""https://docs.google.com/spreadsheets/d/18DfrIzhC5fA8A-r3adxOOCzrHWwbHYufiN01iEToBGk/edit#gid=1015091678"",""Inportant calculator!C$50"")"),"")</f>
        <v/>
      </c>
    </row>
    <row r="244">
      <c r="A244" s="7" t="s">
        <v>286</v>
      </c>
      <c r="B244" s="60">
        <f t="array" ref="B244">INDEX(Backlog!$A$2:$E1000,MATCH(A244,Backlog!$A$2:A244,0),2)</f>
        <v>58</v>
      </c>
      <c r="C244" s="61">
        <f t="array" ref="C244">INDEX(Backlog!$A$2:$E1000,MATCH(A244,Backlog!$A$2:A244,0),3)</f>
        <v>9.324819116</v>
      </c>
      <c r="D244" s="61">
        <f t="array" ref="D244">INDEX(Backlog!$A$2:$M1000,MATCH(A244,Backlog!$A$2:A1000,0),13)</f>
        <v>6.219959795</v>
      </c>
      <c r="E244" s="57" t="str">
        <f t="shared" si="1"/>
        <v>#DIV/0!</v>
      </c>
      <c r="F244" s="4" t="str">
        <f>IFERROR(__xludf.DUMMYFUNCTION("IMPORTRANGE(""https://docs.google.com/spreadsheets/d/18DfrIzhC5fA8A-r3adxOOCzrHWwbHYufiN01iEToBGk/edit#gid=1015091678"",""Inportant calculator!C$50"")"),"")</f>
        <v/>
      </c>
    </row>
    <row r="245">
      <c r="A245" s="19" t="s">
        <v>287</v>
      </c>
      <c r="B245" s="60">
        <f t="array" ref="B245">INDEX(Backlog!$A$2:$E1000,MATCH(A245,Backlog!$A$2:A245,0),2)</f>
        <v>80</v>
      </c>
      <c r="C245" s="61">
        <f t="array" ref="C245">INDEX(Backlog!$A$2:$E1000,MATCH(A245,Backlog!$A$2:A245,0),3)</f>
        <v>12.86181947</v>
      </c>
      <c r="D245" s="61">
        <f t="array" ref="D245">INDEX(Backlog!$A$2:$M1000,MATCH(A245,Backlog!$A$2:A1000,0),13)</f>
        <v>6.219959795</v>
      </c>
      <c r="E245" s="57" t="str">
        <f t="shared" si="1"/>
        <v>#DIV/0!</v>
      </c>
      <c r="F245" s="4" t="str">
        <f>IFERROR(__xludf.DUMMYFUNCTION("IMPORTRANGE(""https://docs.google.com/spreadsheets/d/18DfrIzhC5fA8A-r3adxOOCzrHWwbHYufiN01iEToBGk/edit#gid=1015091678"",""Inportant calculator!C$50"")"),"")</f>
        <v/>
      </c>
    </row>
    <row r="246">
      <c r="A246" s="4" t="s">
        <v>288</v>
      </c>
      <c r="B246" s="60">
        <f t="array" ref="B246">INDEX(Backlog!$A$2:$E1000,MATCH(A246,Backlog!$A$2:A246,0),2)</f>
        <v>79</v>
      </c>
      <c r="C246" s="61">
        <f t="array" ref="C246">INDEX(Backlog!$A$2:$E1000,MATCH(A246,Backlog!$A$2:A246,0),3)</f>
        <v>12.70104673</v>
      </c>
      <c r="D246" s="61">
        <f t="array" ref="D246">INDEX(Backlog!$A$2:$M1000,MATCH(A246,Backlog!$A$2:A1000,0),13)</f>
        <v>6.219959795</v>
      </c>
      <c r="E246" s="57" t="str">
        <f t="shared" si="1"/>
        <v>#DIV/0!</v>
      </c>
      <c r="F246" s="4" t="str">
        <f>IFERROR(__xludf.DUMMYFUNCTION("IMPORTRANGE(""https://docs.google.com/spreadsheets/d/18DfrIzhC5fA8A-r3adxOOCzrHWwbHYufiN01iEToBGk/edit#gid=1015091678"",""Inportant calculator!C$50"")"),"")</f>
        <v/>
      </c>
    </row>
    <row r="247">
      <c r="A247" s="7" t="s">
        <v>289</v>
      </c>
      <c r="B247" s="60">
        <f t="array" ref="B247">INDEX(Backlog!$A$2:$E1000,MATCH(A247,Backlog!$A$2:A247,0),2)</f>
        <v>54</v>
      </c>
      <c r="C247" s="61">
        <f t="array" ref="C247">INDEX(Backlog!$A$2:$E1000,MATCH(A247,Backlog!$A$2:A247,0),3)</f>
        <v>8.681728142</v>
      </c>
      <c r="D247" s="61">
        <f t="array" ref="D247">INDEX(Backlog!$A$2:$M1000,MATCH(A247,Backlog!$A$2:A1000,0),13)</f>
        <v>6.219959795</v>
      </c>
      <c r="E247" s="57" t="str">
        <f t="shared" si="1"/>
        <v>#DIV/0!</v>
      </c>
      <c r="F247" s="4" t="str">
        <f>IFERROR(__xludf.DUMMYFUNCTION("IMPORTRANGE(""https://docs.google.com/spreadsheets/d/18DfrIzhC5fA8A-r3adxOOCzrHWwbHYufiN01iEToBGk/edit#gid=1015091678"",""Inportant calculator!C$50"")"),"")</f>
        <v/>
      </c>
    </row>
    <row r="248">
      <c r="A248" s="7" t="s">
        <v>290</v>
      </c>
      <c r="B248" s="60">
        <f t="array" ref="B248">INDEX(Backlog!$A$2:$E1000,MATCH(A248,Backlog!$A$2:A248,0),2)</f>
        <v>44</v>
      </c>
      <c r="C248" s="61">
        <f t="array" ref="C248">INDEX(Backlog!$A$2:$E1000,MATCH(A248,Backlog!$A$2:A248,0),3)</f>
        <v>7.074000709</v>
      </c>
      <c r="D248" s="61">
        <f t="array" ref="D248">INDEX(Backlog!$A$2:$M1000,MATCH(A248,Backlog!$A$2:A1000,0),13)</f>
        <v>6.219959795</v>
      </c>
      <c r="E248" s="57" t="str">
        <f t="shared" si="1"/>
        <v>#DIV/0!</v>
      </c>
      <c r="F248" s="4" t="str">
        <f>IFERROR(__xludf.DUMMYFUNCTION("IMPORTRANGE(""https://docs.google.com/spreadsheets/d/18DfrIzhC5fA8A-r3adxOOCzrHWwbHYufiN01iEToBGk/edit#gid=1015091678"",""Inportant calculator!C$50"")"),"")</f>
        <v/>
      </c>
    </row>
    <row r="249">
      <c r="A249" s="7" t="s">
        <v>291</v>
      </c>
      <c r="B249" s="60">
        <f t="array" ref="B249">INDEX(Backlog!$A$2:$E1000,MATCH(A249,Backlog!$A$2:A249,0),2)</f>
        <v>17</v>
      </c>
      <c r="C249" s="61">
        <f t="array" ref="C249">INDEX(Backlog!$A$2:$E1000,MATCH(A249,Backlog!$A$2:A249,0),3)</f>
        <v>2.733136637</v>
      </c>
      <c r="D249" s="61">
        <f t="array" ref="D249">INDEX(Backlog!$A$2:$M1000,MATCH(A249,Backlog!$A$2:A1000,0),13)</f>
        <v>6.219959795</v>
      </c>
      <c r="E249" s="57" t="str">
        <f t="shared" si="1"/>
        <v>#DIV/0!</v>
      </c>
      <c r="F249" s="4" t="str">
        <f>IFERROR(__xludf.DUMMYFUNCTION("IMPORTRANGE(""https://docs.google.com/spreadsheets/d/18DfrIzhC5fA8A-r3adxOOCzrHWwbHYufiN01iEToBGk/edit#gid=1015091678"",""Inportant calculator!C$50"")"),"")</f>
        <v/>
      </c>
    </row>
    <row r="250">
      <c r="A250" s="7" t="s">
        <v>292</v>
      </c>
      <c r="B250" s="60">
        <f t="array" ref="B250">INDEX(Backlog!$A$2:$E1000,MATCH(A250,Backlog!$A$2:A250,0),2)</f>
        <v>27</v>
      </c>
      <c r="C250" s="61">
        <f t="array" ref="C250">INDEX(Backlog!$A$2:$E1000,MATCH(A250,Backlog!$A$2:A250,0),3)</f>
        <v>4.340864071</v>
      </c>
      <c r="D250" s="61">
        <f t="array" ref="D250">INDEX(Backlog!$A$2:$M1000,MATCH(A250,Backlog!$A$2:A1000,0),13)</f>
        <v>6.219959795</v>
      </c>
      <c r="E250" s="57" t="str">
        <f t="shared" si="1"/>
        <v>#DIV/0!</v>
      </c>
      <c r="F250" s="4" t="str">
        <f>IFERROR(__xludf.DUMMYFUNCTION("IMPORTRANGE(""https://docs.google.com/spreadsheets/d/18DfrIzhC5fA8A-r3adxOOCzrHWwbHYufiN01iEToBGk/edit#gid=1015091678"",""Inportant calculator!C$50"")"),"")</f>
        <v/>
      </c>
    </row>
    <row r="251">
      <c r="A251" s="7" t="s">
        <v>293</v>
      </c>
      <c r="B251" s="60">
        <f t="array" ref="B251">INDEX(Backlog!$A$2:$E1000,MATCH(A251,Backlog!$A$2:A251,0),2)</f>
        <v>25</v>
      </c>
      <c r="C251" s="61">
        <f t="array" ref="C251">INDEX(Backlog!$A$2:$E1000,MATCH(A251,Backlog!$A$2:A251,0),3)</f>
        <v>4.019318584</v>
      </c>
      <c r="D251" s="61">
        <f t="array" ref="D251">INDEX(Backlog!$A$2:$M1000,MATCH(A251,Backlog!$A$2:A1000,0),13)</f>
        <v>6.219959795</v>
      </c>
      <c r="E251" s="57" t="str">
        <f t="shared" si="1"/>
        <v>#DIV/0!</v>
      </c>
      <c r="F251" s="4" t="str">
        <f>IFERROR(__xludf.DUMMYFUNCTION("IMPORTRANGE(""https://docs.google.com/spreadsheets/d/18DfrIzhC5fA8A-r3adxOOCzrHWwbHYufiN01iEToBGk/edit#gid=1015091678"",""Inportant calculator!C$50"")"),"")</f>
        <v/>
      </c>
    </row>
    <row r="252">
      <c r="A252" s="7" t="s">
        <v>294</v>
      </c>
      <c r="B252" s="60">
        <f t="array" ref="B252">INDEX(Backlog!$A$2:$E1000,MATCH(A252,Backlog!$A$2:A252,0),2)</f>
        <v>58</v>
      </c>
      <c r="C252" s="61">
        <f t="array" ref="C252">INDEX(Backlog!$A$2:$E1000,MATCH(A252,Backlog!$A$2:A252,0),3)</f>
        <v>9.324819116</v>
      </c>
      <c r="D252" s="61">
        <f t="array" ref="D252">INDEX(Backlog!$A$2:$M1000,MATCH(A252,Backlog!$A$2:A1000,0),13)</f>
        <v>6.219959795</v>
      </c>
      <c r="E252" s="57" t="str">
        <f t="shared" si="1"/>
        <v>#DIV/0!</v>
      </c>
      <c r="F252" s="4" t="str">
        <f>IFERROR(__xludf.DUMMYFUNCTION("IMPORTRANGE(""https://docs.google.com/spreadsheets/d/18DfrIzhC5fA8A-r3adxOOCzrHWwbHYufiN01iEToBGk/edit#gid=1015091678"",""Inportant calculator!C$50"")"),"")</f>
        <v/>
      </c>
    </row>
    <row r="253">
      <c r="A253" s="7" t="s">
        <v>296</v>
      </c>
      <c r="B253" s="60">
        <f t="array" ref="B253">INDEX(Backlog!$A$2:$E1000,MATCH(A253,Backlog!$A$2:A253,0),2)</f>
        <v>35</v>
      </c>
      <c r="C253" s="61">
        <f t="array" ref="C253">INDEX(Backlog!$A$2:$E1000,MATCH(A253,Backlog!$A$2:A253,0),3)</f>
        <v>5.627046018</v>
      </c>
      <c r="D253" s="61">
        <f t="array" ref="D253">INDEX(Backlog!$A$2:$M1000,MATCH(A253,Backlog!$A$2:A1000,0),13)</f>
        <v>6.219959795</v>
      </c>
      <c r="E253" s="57" t="str">
        <f t="shared" si="1"/>
        <v>#DIV/0!</v>
      </c>
      <c r="F253" s="4" t="str">
        <f>IFERROR(__xludf.DUMMYFUNCTION("IMPORTRANGE(""https://docs.google.com/spreadsheets/d/18DfrIzhC5fA8A-r3adxOOCzrHWwbHYufiN01iEToBGk/edit#gid=1015091678"",""Inportant calculator!C$50"")"),"")</f>
        <v/>
      </c>
    </row>
    <row r="254">
      <c r="A254" s="7" t="s">
        <v>297</v>
      </c>
      <c r="B254" s="60">
        <f t="array" ref="B254">INDEX(Backlog!$A$2:$E1000,MATCH(A254,Backlog!$A$2:A254,0),2)</f>
        <v>50</v>
      </c>
      <c r="C254" s="61">
        <f t="array" ref="C254">INDEX(Backlog!$A$2:$E1000,MATCH(A254,Backlog!$A$2:A254,0),3)</f>
        <v>8.038637169</v>
      </c>
      <c r="D254" s="61">
        <f t="array" ref="D254">INDEX(Backlog!$A$2:$M1000,MATCH(A254,Backlog!$A$2:A1000,0),13)</f>
        <v>6.219959795</v>
      </c>
      <c r="E254" s="57" t="str">
        <f t="shared" si="1"/>
        <v>#DIV/0!</v>
      </c>
      <c r="F254" s="4" t="str">
        <f>IFERROR(__xludf.DUMMYFUNCTION("IMPORTRANGE(""https://docs.google.com/spreadsheets/d/18DfrIzhC5fA8A-r3adxOOCzrHWwbHYufiN01iEToBGk/edit#gid=1015091678"",""Inportant calculator!C$50"")"),"")</f>
        <v/>
      </c>
    </row>
    <row r="255">
      <c r="A255" s="7" t="s">
        <v>298</v>
      </c>
      <c r="B255" s="60">
        <f t="array" ref="B255">INDEX(Backlog!$A$2:$E1000,MATCH(A255,Backlog!$A$2:A255,0),2)</f>
        <v>128</v>
      </c>
      <c r="C255" s="61">
        <f t="array" ref="C255">INDEX(Backlog!$A$2:$E1000,MATCH(A255,Backlog!$A$2:A255,0),3)</f>
        <v>20.57891115</v>
      </c>
      <c r="D255" s="61">
        <f t="array" ref="D255">INDEX(Backlog!$A$2:$M1000,MATCH(A255,Backlog!$A$2:A1000,0),13)</f>
        <v>6.219959795</v>
      </c>
      <c r="E255" s="57" t="str">
        <f t="shared" si="1"/>
        <v>#DIV/0!</v>
      </c>
      <c r="F255" s="4" t="str">
        <f>IFERROR(__xludf.DUMMYFUNCTION("IMPORTRANGE(""https://docs.google.com/spreadsheets/d/18DfrIzhC5fA8A-r3adxOOCzrHWwbHYufiN01iEToBGk/edit#gid=1015091678"",""Inportant calculator!C$50"")"),"")</f>
        <v/>
      </c>
    </row>
    <row r="256">
      <c r="A256" s="20" t="s">
        <v>299</v>
      </c>
      <c r="B256" s="60">
        <f t="array" ref="B256">INDEX(Backlog!$A$2:$E1000,MATCH(A256,Backlog!$A$2:A256,0),2)</f>
        <v>13</v>
      </c>
      <c r="C256" s="61">
        <f t="array" ref="C256">INDEX(Backlog!$A$2:$E1000,MATCH(A256,Backlog!$A$2:A256,0),3)</f>
        <v>2.090045664</v>
      </c>
      <c r="D256" s="61">
        <f t="array" ref="D256">INDEX(Backlog!$A$2:$M1000,MATCH(A256,Backlog!$A$2:A1000,0),13)</f>
        <v>6.219959795</v>
      </c>
      <c r="E256" s="57" t="str">
        <f t="shared" si="1"/>
        <v>#DIV/0!</v>
      </c>
      <c r="F256" s="4" t="str">
        <f>IFERROR(__xludf.DUMMYFUNCTION("IMPORTRANGE(""https://docs.google.com/spreadsheets/d/18DfrIzhC5fA8A-r3adxOOCzrHWwbHYufiN01iEToBGk/edit#gid=1015091678"",""Inportant calculator!C$50"")"),"")</f>
        <v/>
      </c>
    </row>
    <row r="257">
      <c r="A257" s="7" t="s">
        <v>300</v>
      </c>
      <c r="B257" s="60">
        <f t="array" ref="B257">INDEX(Backlog!$A$2:$E1000,MATCH(A257,Backlog!$A$2:A257,0),2)</f>
        <v>72</v>
      </c>
      <c r="C257" s="61">
        <f t="array" ref="C257">INDEX(Backlog!$A$2:$E1000,MATCH(A257,Backlog!$A$2:A257,0),3)</f>
        <v>11.57563752</v>
      </c>
      <c r="D257" s="61">
        <f t="array" ref="D257">INDEX(Backlog!$A$2:$M1000,MATCH(A257,Backlog!$A$2:A1000,0),13)</f>
        <v>6.219959795</v>
      </c>
      <c r="E257" s="57" t="str">
        <f t="shared" si="1"/>
        <v>#DIV/0!</v>
      </c>
      <c r="F257" s="4" t="str">
        <f>IFERROR(__xludf.DUMMYFUNCTION("IMPORTRANGE(""https://docs.google.com/spreadsheets/d/18DfrIzhC5fA8A-r3adxOOCzrHWwbHYufiN01iEToBGk/edit#gid=1015091678"",""Inportant calculator!C$50"")"),"")</f>
        <v/>
      </c>
    </row>
    <row r="258">
      <c r="A258" s="7" t="s">
        <v>301</v>
      </c>
      <c r="B258" s="60">
        <f t="array" ref="B258">INDEX(Backlog!$A$2:$E1000,MATCH(A258,Backlog!$A$2:A258,0),2)</f>
        <v>61</v>
      </c>
      <c r="C258" s="61">
        <f t="array" ref="C258">INDEX(Backlog!$A$2:$E1000,MATCH(A258,Backlog!$A$2:A258,0),3)</f>
        <v>9.807137346</v>
      </c>
      <c r="D258" s="61">
        <f t="array" ref="D258">INDEX(Backlog!$A$2:$M1000,MATCH(A258,Backlog!$A$2:A1000,0),13)</f>
        <v>6.219959795</v>
      </c>
      <c r="E258" s="57" t="str">
        <f t="shared" si="1"/>
        <v>#DIV/0!</v>
      </c>
      <c r="F258" s="4" t="str">
        <f>IFERROR(__xludf.DUMMYFUNCTION("IMPORTRANGE(""https://docs.google.com/spreadsheets/d/18DfrIzhC5fA8A-r3adxOOCzrHWwbHYufiN01iEToBGk/edit#gid=1015091678"",""Inportant calculator!C$50"")"),"")</f>
        <v/>
      </c>
    </row>
    <row r="259">
      <c r="A259" s="7" t="s">
        <v>302</v>
      </c>
      <c r="B259" s="60">
        <f t="array" ref="B259">INDEX(Backlog!$A$2:$E1000,MATCH(A259,Backlog!$A$2:A259,0),2)</f>
        <v>153</v>
      </c>
      <c r="C259" s="61">
        <f t="array" ref="C259">INDEX(Backlog!$A$2:$E1000,MATCH(A259,Backlog!$A$2:A259,0),3)</f>
        <v>24.59822974</v>
      </c>
      <c r="D259" s="61">
        <f t="array" ref="D259">INDEX(Backlog!$A$2:$M1000,MATCH(A259,Backlog!$A$2:A1000,0),13)</f>
        <v>6.219959795</v>
      </c>
      <c r="E259" s="57" t="str">
        <f t="shared" si="1"/>
        <v>#DIV/0!</v>
      </c>
      <c r="F259" s="4" t="str">
        <f>IFERROR(__xludf.DUMMYFUNCTION("IMPORTRANGE(""https://docs.google.com/spreadsheets/d/18DfrIzhC5fA8A-r3adxOOCzrHWwbHYufiN01iEToBGk/edit#gid=1015091678"",""Inportant calculator!C$50"")"),"")</f>
        <v/>
      </c>
    </row>
    <row r="260">
      <c r="A260" s="7" t="s">
        <v>303</v>
      </c>
      <c r="B260" s="60">
        <f t="array" ref="B260">INDEX(Backlog!$A$2:$E1000,MATCH(A260,Backlog!$A$2:A260,0),2)</f>
        <v>106</v>
      </c>
      <c r="C260" s="61">
        <f t="array" ref="C260">INDEX(Backlog!$A$2:$E1000,MATCH(A260,Backlog!$A$2:A260,0),3)</f>
        <v>17.0419108</v>
      </c>
      <c r="D260" s="61">
        <f t="array" ref="D260">INDEX(Backlog!$A$2:$M1000,MATCH(A260,Backlog!$A$2:A1000,0),13)</f>
        <v>6.219959795</v>
      </c>
      <c r="E260" s="57" t="str">
        <f t="shared" si="1"/>
        <v>#DIV/0!</v>
      </c>
      <c r="F260" s="4" t="str">
        <f>IFERROR(__xludf.DUMMYFUNCTION("IMPORTRANGE(""https://docs.google.com/spreadsheets/d/18DfrIzhC5fA8A-r3adxOOCzrHWwbHYufiN01iEToBGk/edit#gid=1015091678"",""Inportant calculator!C$50"")"),"")</f>
        <v/>
      </c>
    </row>
    <row r="261">
      <c r="A261" s="7" t="s">
        <v>304</v>
      </c>
      <c r="B261" s="60">
        <f t="array" ref="B261">INDEX(Backlog!$A$2:$E1000,MATCH(A261,Backlog!$A$2:A261,0),2)</f>
        <v>15</v>
      </c>
      <c r="C261" s="61">
        <f t="array" ref="C261">INDEX(Backlog!$A$2:$E1000,MATCH(A261,Backlog!$A$2:A261,0),3)</f>
        <v>2.411591151</v>
      </c>
      <c r="D261" s="61">
        <f t="array" ref="D261">INDEX(Backlog!$A$2:$M1000,MATCH(A261,Backlog!$A$2:A1000,0),13)</f>
        <v>6.219959795</v>
      </c>
      <c r="E261" s="57" t="str">
        <f t="shared" si="1"/>
        <v>#DIV/0!</v>
      </c>
      <c r="F261" s="4" t="str">
        <f>IFERROR(__xludf.DUMMYFUNCTION("IMPORTRANGE(""https://docs.google.com/spreadsheets/d/18DfrIzhC5fA8A-r3adxOOCzrHWwbHYufiN01iEToBGk/edit#gid=1015091678"",""Inportant calculator!C$50"")"),"")</f>
        <v/>
      </c>
    </row>
    <row r="262">
      <c r="A262" s="7" t="s">
        <v>305</v>
      </c>
      <c r="B262" s="60">
        <f t="array" ref="B262">INDEX(Backlog!$A$2:$E1000,MATCH(A262,Backlog!$A$2:A262,0),2)</f>
        <v>27</v>
      </c>
      <c r="C262" s="61">
        <f t="array" ref="C262">INDEX(Backlog!$A$2:$E1000,MATCH(A262,Backlog!$A$2:A262,0),3)</f>
        <v>4.340864071</v>
      </c>
      <c r="D262" s="61">
        <f t="array" ref="D262">INDEX(Backlog!$A$2:$M1000,MATCH(A262,Backlog!$A$2:A1000,0),13)</f>
        <v>6.219959795</v>
      </c>
      <c r="E262" s="57" t="str">
        <f t="shared" si="1"/>
        <v>#DIV/0!</v>
      </c>
      <c r="F262" s="4" t="str">
        <f>IFERROR(__xludf.DUMMYFUNCTION("IMPORTRANGE(""https://docs.google.com/spreadsheets/d/18DfrIzhC5fA8A-r3adxOOCzrHWwbHYufiN01iEToBGk/edit#gid=1015091678"",""Inportant calculator!C$50"")"),"")</f>
        <v/>
      </c>
    </row>
    <row r="263">
      <c r="A263" s="7" t="s">
        <v>306</v>
      </c>
      <c r="B263" s="60">
        <f t="array" ref="B263">INDEX(Backlog!$A$2:$E1000,MATCH(A263,Backlog!$A$2:A263,0),2)</f>
        <v>60</v>
      </c>
      <c r="C263" s="61">
        <f t="array" ref="C263">INDEX(Backlog!$A$2:$E1000,MATCH(A263,Backlog!$A$2:A263,0),3)</f>
        <v>9.646364603</v>
      </c>
      <c r="D263" s="61">
        <f t="array" ref="D263">INDEX(Backlog!$A$2:$M1000,MATCH(A263,Backlog!$A$2:A1000,0),13)</f>
        <v>6.219959795</v>
      </c>
      <c r="E263" s="57" t="str">
        <f t="shared" si="1"/>
        <v>#DIV/0!</v>
      </c>
      <c r="F263" s="4" t="str">
        <f>IFERROR(__xludf.DUMMYFUNCTION("IMPORTRANGE(""https://docs.google.com/spreadsheets/d/18DfrIzhC5fA8A-r3adxOOCzrHWwbHYufiN01iEToBGk/edit#gid=1015091678"",""Inportant calculator!C$50"")"),"")</f>
        <v/>
      </c>
    </row>
    <row r="264">
      <c r="A264" s="7" t="s">
        <v>307</v>
      </c>
      <c r="B264" s="60">
        <f t="array" ref="B264">INDEX(Backlog!$A$2:$E1000,MATCH(A264,Backlog!$A$2:A264,0),2)</f>
        <v>9.5</v>
      </c>
      <c r="C264" s="61">
        <f t="array" ref="C264">INDEX(Backlog!$A$2:$E1000,MATCH(A264,Backlog!$A$2:A264,0),3)</f>
        <v>1.527341062</v>
      </c>
      <c r="D264" s="61">
        <f t="array" ref="D264">INDEX(Backlog!$A$2:$M1000,MATCH(A264,Backlog!$A$2:A1000,0),13)</f>
        <v>6.219959795</v>
      </c>
      <c r="E264" s="57" t="str">
        <f t="shared" si="1"/>
        <v>#DIV/0!</v>
      </c>
      <c r="F264" s="4" t="str">
        <f>IFERROR(__xludf.DUMMYFUNCTION("IMPORTRANGE(""https://docs.google.com/spreadsheets/d/18DfrIzhC5fA8A-r3adxOOCzrHWwbHYufiN01iEToBGk/edit#gid=1015091678"",""Inportant calculator!C$50"")"),"")</f>
        <v/>
      </c>
    </row>
    <row r="265">
      <c r="A265" s="7" t="s">
        <v>308</v>
      </c>
      <c r="B265" s="60">
        <f t="array" ref="B265">INDEX(Backlog!$A$2:$E1000,MATCH(A265,Backlog!$A$2:A265,0),2)</f>
        <v>8</v>
      </c>
      <c r="C265" s="61">
        <f t="array" ref="C265">INDEX(Backlog!$A$2:$E1000,MATCH(A265,Backlog!$A$2:A265,0),3)</f>
        <v>1.286181947</v>
      </c>
      <c r="D265" s="61">
        <f t="array" ref="D265">INDEX(Backlog!$A$2:$M1000,MATCH(A265,Backlog!$A$2:A1000,0),13)</f>
        <v>6.219959795</v>
      </c>
      <c r="E265" s="57" t="str">
        <f t="shared" si="1"/>
        <v>#DIV/0!</v>
      </c>
      <c r="F265" s="4" t="str">
        <f>IFERROR(__xludf.DUMMYFUNCTION("IMPORTRANGE(""https://docs.google.com/spreadsheets/d/18DfrIzhC5fA8A-r3adxOOCzrHWwbHYufiN01iEToBGk/edit#gid=1015091678"",""Inportant calculator!C$50"")"),"")</f>
        <v/>
      </c>
    </row>
    <row r="266">
      <c r="A266" s="7" t="s">
        <v>309</v>
      </c>
      <c r="B266" s="60">
        <f t="array" ref="B266">INDEX(Backlog!$A$2:$E1000,MATCH(A266,Backlog!$A$2:A266,0),2)</f>
        <v>8</v>
      </c>
      <c r="C266" s="61">
        <f t="array" ref="C266">INDEX(Backlog!$A$2:$E1000,MATCH(A266,Backlog!$A$2:A266,0),3)</f>
        <v>1.286181947</v>
      </c>
      <c r="D266" s="61">
        <f t="array" ref="D266">INDEX(Backlog!$A$2:$M1000,MATCH(A266,Backlog!$A$2:A1000,0),13)</f>
        <v>6.219959795</v>
      </c>
      <c r="E266" s="57" t="str">
        <f t="shared" si="1"/>
        <v>#DIV/0!</v>
      </c>
      <c r="F266" s="4" t="str">
        <f>IFERROR(__xludf.DUMMYFUNCTION("IMPORTRANGE(""https://docs.google.com/spreadsheets/d/18DfrIzhC5fA8A-r3adxOOCzrHWwbHYufiN01iEToBGk/edit#gid=1015091678"",""Inportant calculator!C$50"")"),"")</f>
        <v/>
      </c>
    </row>
    <row r="267">
      <c r="A267" s="7" t="s">
        <v>310</v>
      </c>
      <c r="B267" s="60">
        <f t="array" ref="B267">INDEX(Backlog!$A$2:$E1000,MATCH(A267,Backlog!$A$2:A267,0),2)</f>
        <v>27</v>
      </c>
      <c r="C267" s="61">
        <f t="array" ref="C267">INDEX(Backlog!$A$2:$E1000,MATCH(A267,Backlog!$A$2:A267,0),3)</f>
        <v>4.340864071</v>
      </c>
      <c r="D267" s="61">
        <f t="array" ref="D267">INDEX(Backlog!$A$2:$M1000,MATCH(A267,Backlog!$A$2:A1000,0),13)</f>
        <v>6.219959795</v>
      </c>
      <c r="E267" s="57" t="str">
        <f t="shared" si="1"/>
        <v>#DIV/0!</v>
      </c>
      <c r="F267" s="4" t="str">
        <f>IFERROR(__xludf.DUMMYFUNCTION("IMPORTRANGE(""https://docs.google.com/spreadsheets/d/18DfrIzhC5fA8A-r3adxOOCzrHWwbHYufiN01iEToBGk/edit#gid=1015091678"",""Inportant calculator!C$50"")"),"")</f>
        <v/>
      </c>
    </row>
    <row r="268">
      <c r="A268" s="20" t="s">
        <v>311</v>
      </c>
      <c r="B268" s="60">
        <f t="array" ref="B268">INDEX(Backlog!$A$2:$E1000,MATCH(A268,Backlog!$A$2:A268,0),2)</f>
        <v>113</v>
      </c>
      <c r="C268" s="61">
        <f t="array" ref="C268">INDEX(Backlog!$A$2:$E1000,MATCH(A268,Backlog!$A$2:A268,0),3)</f>
        <v>18.16732</v>
      </c>
      <c r="D268" s="61">
        <f t="array" ref="D268">INDEX(Backlog!$A$2:$M1000,MATCH(A268,Backlog!$A$2:A1000,0),13)</f>
        <v>6.219959795</v>
      </c>
      <c r="E268" s="57" t="str">
        <f t="shared" si="1"/>
        <v>#DIV/0!</v>
      </c>
      <c r="F268" s="4" t="str">
        <f>IFERROR(__xludf.DUMMYFUNCTION("IMPORTRANGE(""https://docs.google.com/spreadsheets/d/18DfrIzhC5fA8A-r3adxOOCzrHWwbHYufiN01iEToBGk/edit#gid=1015091678"",""Inportant calculator!C$50"")"),"")</f>
        <v/>
      </c>
    </row>
    <row r="269">
      <c r="A269" s="7" t="s">
        <v>312</v>
      </c>
      <c r="B269" s="60">
        <f t="array" ref="B269">INDEX(Backlog!$A$2:$E1000,MATCH(A269,Backlog!$A$2:A269,0),2)</f>
        <v>91</v>
      </c>
      <c r="C269" s="61">
        <f t="array" ref="C269">INDEX(Backlog!$A$2:$E1000,MATCH(A269,Backlog!$A$2:A269,0),3)</f>
        <v>14.63031965</v>
      </c>
      <c r="D269" s="61">
        <f t="array" ref="D269">INDEX(Backlog!$A$2:$M1000,MATCH(A269,Backlog!$A$2:A1000,0),13)</f>
        <v>6.219959795</v>
      </c>
      <c r="E269" s="57" t="str">
        <f t="shared" si="1"/>
        <v>#DIV/0!</v>
      </c>
      <c r="F269" s="4" t="str">
        <f>IFERROR(__xludf.DUMMYFUNCTION("IMPORTRANGE(""https://docs.google.com/spreadsheets/d/18DfrIzhC5fA8A-r3adxOOCzrHWwbHYufiN01iEToBGk/edit#gid=1015091678"",""Inportant calculator!C$50"")"),"")</f>
        <v/>
      </c>
    </row>
    <row r="270">
      <c r="A270" s="7" t="s">
        <v>313</v>
      </c>
      <c r="B270" s="60">
        <f t="array" ref="B270">INDEX(Backlog!$A$2:$E1000,MATCH(A270,Backlog!$A$2:A270,0),2)</f>
        <v>48.5</v>
      </c>
      <c r="C270" s="61">
        <f t="array" ref="C270">INDEX(Backlog!$A$2:$E1000,MATCH(A270,Backlog!$A$2:A270,0),3)</f>
        <v>7.797478054</v>
      </c>
      <c r="D270" s="61">
        <f t="array" ref="D270">INDEX(Backlog!$A$2:$M1000,MATCH(A270,Backlog!$A$2:A1000,0),13)</f>
        <v>6.219959795</v>
      </c>
      <c r="E270" s="57" t="str">
        <f t="shared" si="1"/>
        <v>#DIV/0!</v>
      </c>
      <c r="F270" s="4" t="str">
        <f>IFERROR(__xludf.DUMMYFUNCTION("IMPORTRANGE(""https://docs.google.com/spreadsheets/d/18DfrIzhC5fA8A-r3adxOOCzrHWwbHYufiN01iEToBGk/edit#gid=1015091678"",""Inportant calculator!C$50"")"),"")</f>
        <v/>
      </c>
    </row>
    <row r="271">
      <c r="A271" s="7" t="s">
        <v>314</v>
      </c>
      <c r="B271" s="60">
        <f t="array" ref="B271">INDEX(Backlog!$A$2:$E1000,MATCH(A271,Backlog!$A$2:A271,0),2)</f>
        <v>23</v>
      </c>
      <c r="C271" s="61">
        <f t="array" ref="C271">INDEX(Backlog!$A$2:$E1000,MATCH(A271,Backlog!$A$2:A271,0),3)</f>
        <v>3.697773098</v>
      </c>
      <c r="D271" s="61">
        <f t="array" ref="D271">INDEX(Backlog!$A$2:$M1000,MATCH(A271,Backlog!$A$2:A1000,0),13)</f>
        <v>6.219959795</v>
      </c>
      <c r="E271" s="57" t="str">
        <f t="shared" si="1"/>
        <v>#DIV/0!</v>
      </c>
      <c r="F271" s="4" t="str">
        <f>IFERROR(__xludf.DUMMYFUNCTION("IMPORTRANGE(""https://docs.google.com/spreadsheets/d/18DfrIzhC5fA8A-r3adxOOCzrHWwbHYufiN01iEToBGk/edit#gid=1015091678"",""Inportant calculator!C$50"")"),"")</f>
        <v/>
      </c>
    </row>
    <row r="272">
      <c r="A272" s="7" t="s">
        <v>315</v>
      </c>
      <c r="B272" s="60">
        <f t="array" ref="B272">INDEX(Backlog!$A$2:$E1000,MATCH(A272,Backlog!$A$2:A272,0),2)</f>
        <v>139</v>
      </c>
      <c r="C272" s="61">
        <f t="array" ref="C272">INDEX(Backlog!$A$2:$E1000,MATCH(A272,Backlog!$A$2:A272,0),3)</f>
        <v>22.34741133</v>
      </c>
      <c r="D272" s="61">
        <f t="array" ref="D272">INDEX(Backlog!$A$2:$M1000,MATCH(A272,Backlog!$A$2:A1000,0),13)</f>
        <v>6.219959795</v>
      </c>
      <c r="E272" s="57" t="str">
        <f t="shared" si="1"/>
        <v>#DIV/0!</v>
      </c>
      <c r="F272" s="4" t="str">
        <f>IFERROR(__xludf.DUMMYFUNCTION("IMPORTRANGE(""https://docs.google.com/spreadsheets/d/18DfrIzhC5fA8A-r3adxOOCzrHWwbHYufiN01iEToBGk/edit#gid=1015091678"",""Inportant calculator!C$50"")"),"")</f>
        <v/>
      </c>
    </row>
    <row r="273">
      <c r="A273" s="7" t="s">
        <v>316</v>
      </c>
      <c r="B273" s="60">
        <f t="array" ref="B273">INDEX(Backlog!$A$2:$E1000,MATCH(A273,Backlog!$A$2:A273,0),2)</f>
        <v>93</v>
      </c>
      <c r="C273" s="61">
        <f t="array" ref="C273">INDEX(Backlog!$A$2:$E1000,MATCH(A273,Backlog!$A$2:A273,0),3)</f>
        <v>14.95186513</v>
      </c>
      <c r="D273" s="61">
        <f t="array" ref="D273">INDEX(Backlog!$A$2:$M1000,MATCH(A273,Backlog!$A$2:A1000,0),13)</f>
        <v>6.219959795</v>
      </c>
      <c r="E273" s="57" t="str">
        <f t="shared" si="1"/>
        <v>#DIV/0!</v>
      </c>
      <c r="F273" s="4" t="str">
        <f>IFERROR(__xludf.DUMMYFUNCTION("IMPORTRANGE(""https://docs.google.com/spreadsheets/d/18DfrIzhC5fA8A-r3adxOOCzrHWwbHYufiN01iEToBGk/edit#gid=1015091678"",""Inportant calculator!C$50"")"),"")</f>
        <v/>
      </c>
    </row>
    <row r="274">
      <c r="A274" s="7" t="s">
        <v>317</v>
      </c>
      <c r="B274" s="60">
        <f t="array" ref="B274">INDEX(Backlog!$A$2:$E1000,MATCH(A274,Backlog!$A$2:A274,0),2)</f>
        <v>198</v>
      </c>
      <c r="C274" s="61">
        <f t="array" ref="C274">INDEX(Backlog!$A$2:$E1000,MATCH(A274,Backlog!$A$2:A274,0),3)</f>
        <v>31.83300319</v>
      </c>
      <c r="D274" s="61">
        <f t="array" ref="D274">INDEX(Backlog!$A$2:$M1000,MATCH(A274,Backlog!$A$2:A1000,0),13)</f>
        <v>6.219959795</v>
      </c>
      <c r="E274" s="57" t="str">
        <f t="shared" si="1"/>
        <v>#DIV/0!</v>
      </c>
      <c r="F274" s="4" t="str">
        <f>IFERROR(__xludf.DUMMYFUNCTION("IMPORTRANGE(""https://docs.google.com/spreadsheets/d/18DfrIzhC5fA8A-r3adxOOCzrHWwbHYufiN01iEToBGk/edit#gid=1015091678"",""Inportant calculator!C$50"")"),"")</f>
        <v/>
      </c>
    </row>
    <row r="275">
      <c r="A275" s="7" t="s">
        <v>318</v>
      </c>
      <c r="B275" s="60">
        <f t="array" ref="B275">INDEX(Backlog!$A$2:$E1000,MATCH(A275,Backlog!$A$2:A275,0),2)</f>
        <v>93</v>
      </c>
      <c r="C275" s="61">
        <f t="array" ref="C275">INDEX(Backlog!$A$2:$E1000,MATCH(A275,Backlog!$A$2:A275,0),3)</f>
        <v>14.95186513</v>
      </c>
      <c r="D275" s="61">
        <f t="array" ref="D275">INDEX(Backlog!$A$2:$M1000,MATCH(A275,Backlog!$A$2:A1000,0),13)</f>
        <v>6.219959795</v>
      </c>
      <c r="E275" s="57" t="str">
        <f t="shared" si="1"/>
        <v>#DIV/0!</v>
      </c>
      <c r="F275" s="4" t="str">
        <f>IFERROR(__xludf.DUMMYFUNCTION("IMPORTRANGE(""https://docs.google.com/spreadsheets/d/18DfrIzhC5fA8A-r3adxOOCzrHWwbHYufiN01iEToBGk/edit#gid=1015091678"",""Inportant calculator!C$50"")"),"")</f>
        <v/>
      </c>
    </row>
    <row r="276">
      <c r="A276" s="26" t="s">
        <v>319</v>
      </c>
      <c r="B276" s="60">
        <f t="array" ref="B276">INDEX(Backlog!$A$2:$E1000,MATCH(A276,Backlog!$A$2:A276,0),2)</f>
        <v>142</v>
      </c>
      <c r="C276" s="61">
        <f t="array" ref="C276">INDEX(Backlog!$A$2:$E1000,MATCH(A276,Backlog!$A$2:A276,0),3)</f>
        <v>22.82972956</v>
      </c>
      <c r="D276" s="61">
        <f t="array" ref="D276">INDEX(Backlog!$A$2:$M1000,MATCH(A276,Backlog!$A$2:A1000,0),13)</f>
        <v>6.219959795</v>
      </c>
      <c r="E276" s="57" t="str">
        <f t="shared" si="1"/>
        <v>#DIV/0!</v>
      </c>
      <c r="F276" s="4" t="str">
        <f>IFERROR(__xludf.DUMMYFUNCTION("IMPORTRANGE(""https://docs.google.com/spreadsheets/d/18DfrIzhC5fA8A-r3adxOOCzrHWwbHYufiN01iEToBGk/edit#gid=1015091678"",""Inportant calculator!C$50"")"),"")</f>
        <v/>
      </c>
    </row>
    <row r="277">
      <c r="A277" s="7" t="s">
        <v>320</v>
      </c>
      <c r="B277" s="60">
        <f t="array" ref="B277">INDEX(Backlog!$A$2:$E1000,MATCH(A277,Backlog!$A$2:A277,0),2)</f>
        <v>84</v>
      </c>
      <c r="C277" s="61">
        <f t="array" ref="C277">INDEX(Backlog!$A$2:$E1000,MATCH(A277,Backlog!$A$2:A277,0),3)</f>
        <v>13.50491044</v>
      </c>
      <c r="D277" s="61">
        <f t="array" ref="D277">INDEX(Backlog!$A$2:$M1000,MATCH(A277,Backlog!$A$2:A1000,0),13)</f>
        <v>6.219959795</v>
      </c>
      <c r="E277" s="57" t="str">
        <f t="shared" si="1"/>
        <v>#DIV/0!</v>
      </c>
      <c r="F277" s="4" t="str">
        <f>IFERROR(__xludf.DUMMYFUNCTION("IMPORTRANGE(""https://docs.google.com/spreadsheets/d/18DfrIzhC5fA8A-r3adxOOCzrHWwbHYufiN01iEToBGk/edit#gid=1015091678"",""Inportant calculator!C$50"")"),"")</f>
        <v/>
      </c>
    </row>
    <row r="278">
      <c r="A278" s="7" t="s">
        <v>321</v>
      </c>
      <c r="B278" s="60">
        <f t="array" ref="B278">INDEX(Backlog!$A$2:$E1000,MATCH(A278,Backlog!$A$2:A278,0),2)</f>
        <v>39</v>
      </c>
      <c r="C278" s="61">
        <f t="array" ref="C278">INDEX(Backlog!$A$2:$E1000,MATCH(A278,Backlog!$A$2:A278,0),3)</f>
        <v>6.270136992</v>
      </c>
      <c r="D278" s="61">
        <f t="array" ref="D278">INDEX(Backlog!$A$2:$M1000,MATCH(A278,Backlog!$A$2:A1000,0),13)</f>
        <v>6.219959795</v>
      </c>
      <c r="E278" s="57" t="str">
        <f t="shared" si="1"/>
        <v>#DIV/0!</v>
      </c>
      <c r="F278" s="4" t="str">
        <f>IFERROR(__xludf.DUMMYFUNCTION("IMPORTRANGE(""https://docs.google.com/spreadsheets/d/18DfrIzhC5fA8A-r3adxOOCzrHWwbHYufiN01iEToBGk/edit#gid=1015091678"",""Inportant calculator!C$50"")"),"")</f>
        <v/>
      </c>
    </row>
    <row r="279">
      <c r="A279" s="7" t="s">
        <v>322</v>
      </c>
      <c r="B279" s="60">
        <f t="array" ref="B279">INDEX(Backlog!$A$2:$E1000,MATCH(A279,Backlog!$A$2:A279,0),2)</f>
        <v>15</v>
      </c>
      <c r="C279" s="61">
        <f t="array" ref="C279">INDEX(Backlog!$A$2:$E1000,MATCH(A279,Backlog!$A$2:A279,0),3)</f>
        <v>2.411591151</v>
      </c>
      <c r="D279" s="61">
        <f t="array" ref="D279">INDEX(Backlog!$A$2:$M1000,MATCH(A279,Backlog!$A$2:A1000,0),13)</f>
        <v>6.219959795</v>
      </c>
      <c r="E279" s="57" t="str">
        <f t="shared" si="1"/>
        <v>#DIV/0!</v>
      </c>
      <c r="F279" s="4" t="str">
        <f>IFERROR(__xludf.DUMMYFUNCTION("IMPORTRANGE(""https://docs.google.com/spreadsheets/d/18DfrIzhC5fA8A-r3adxOOCzrHWwbHYufiN01iEToBGk/edit#gid=1015091678"",""Inportant calculator!C$50"")"),"")</f>
        <v/>
      </c>
    </row>
    <row r="280">
      <c r="A280" s="27" t="s">
        <v>323</v>
      </c>
      <c r="B280" s="60">
        <f t="array" ref="B280">INDEX(Backlog!$A$2:$E1000,MATCH(A280,Backlog!$A$2:A280,0),2)</f>
        <v>7.5</v>
      </c>
      <c r="C280" s="61">
        <f t="array" ref="C280">INDEX(Backlog!$A$2:$E1000,MATCH(A280,Backlog!$A$2:A280,0),3)</f>
        <v>1.205795575</v>
      </c>
      <c r="D280" s="61">
        <f t="array" ref="D280">INDEX(Backlog!$A$2:$M1000,MATCH(A280,Backlog!$A$2:A1000,0),13)</f>
        <v>6.219959795</v>
      </c>
      <c r="E280" s="57" t="str">
        <f t="shared" si="1"/>
        <v>#DIV/0!</v>
      </c>
      <c r="F280" s="4" t="str">
        <f>IFERROR(__xludf.DUMMYFUNCTION("IMPORTRANGE(""https://docs.google.com/spreadsheets/d/18DfrIzhC5fA8A-r3adxOOCzrHWwbHYufiN01iEToBGk/edit#gid=1015091678"",""Inportant calculator!C$50"")"),"")</f>
        <v/>
      </c>
    </row>
    <row r="281">
      <c r="A281" s="27" t="s">
        <v>324</v>
      </c>
      <c r="B281" s="60">
        <f t="array" ref="B281">INDEX(Backlog!$A$2:$E1000,MATCH(A281,Backlog!$A$2:A281,0),2)</f>
        <v>7.5</v>
      </c>
      <c r="C281" s="61">
        <f t="array" ref="C281">INDEX(Backlog!$A$2:$E1000,MATCH(A281,Backlog!$A$2:A281,0),3)</f>
        <v>1.205795575</v>
      </c>
      <c r="D281" s="61">
        <f t="array" ref="D281">INDEX(Backlog!$A$2:$M1000,MATCH(A281,Backlog!$A$2:A1000,0),13)</f>
        <v>6.219959795</v>
      </c>
      <c r="E281" s="57" t="str">
        <f t="shared" si="1"/>
        <v>#DIV/0!</v>
      </c>
      <c r="F281" s="4" t="str">
        <f>IFERROR(__xludf.DUMMYFUNCTION("IMPORTRANGE(""https://docs.google.com/spreadsheets/d/18DfrIzhC5fA8A-r3adxOOCzrHWwbHYufiN01iEToBGk/edit#gid=1015091678"",""Inportant calculator!C$50"")"),"")</f>
        <v/>
      </c>
    </row>
    <row r="282">
      <c r="A282" s="27" t="s">
        <v>325</v>
      </c>
      <c r="B282" s="60">
        <f t="array" ref="B282">INDEX(Backlog!$A$2:$E1000,MATCH(A282,Backlog!$A$2:A282,0),2)</f>
        <v>7.5</v>
      </c>
      <c r="C282" s="61">
        <f t="array" ref="C282">INDEX(Backlog!$A$2:$E1000,MATCH(A282,Backlog!$A$2:A282,0),3)</f>
        <v>1.205795575</v>
      </c>
      <c r="D282" s="61">
        <f t="array" ref="D282">INDEX(Backlog!$A$2:$M1000,MATCH(A282,Backlog!$A$2:A1000,0),13)</f>
        <v>6.219959795</v>
      </c>
      <c r="E282" s="57" t="str">
        <f t="shared" si="1"/>
        <v>#DIV/0!</v>
      </c>
      <c r="F282" s="4" t="str">
        <f>IFERROR(__xludf.DUMMYFUNCTION("IMPORTRANGE(""https://docs.google.com/spreadsheets/d/18DfrIzhC5fA8A-r3adxOOCzrHWwbHYufiN01iEToBGk/edit#gid=1015091678"",""Inportant calculator!C$50"")"),"")</f>
        <v/>
      </c>
    </row>
    <row r="283">
      <c r="A283" s="27" t="s">
        <v>326</v>
      </c>
      <c r="B283" s="60">
        <f t="array" ref="B283">INDEX(Backlog!$A$2:$E1000,MATCH(A283,Backlog!$A$2:A283,0),2)</f>
        <v>7.5</v>
      </c>
      <c r="C283" s="61">
        <f t="array" ref="C283">INDEX(Backlog!$A$2:$E1000,MATCH(A283,Backlog!$A$2:A283,0),3)</f>
        <v>1.205795575</v>
      </c>
      <c r="D283" s="61">
        <f t="array" ref="D283">INDEX(Backlog!$A$2:$M1000,MATCH(A283,Backlog!$A$2:A1000,0),13)</f>
        <v>6.219959795</v>
      </c>
      <c r="E283" s="57" t="str">
        <f t="shared" si="1"/>
        <v>#DIV/0!</v>
      </c>
      <c r="F283" s="4" t="str">
        <f>IFERROR(__xludf.DUMMYFUNCTION("IMPORTRANGE(""https://docs.google.com/spreadsheets/d/18DfrIzhC5fA8A-r3adxOOCzrHWwbHYufiN01iEToBGk/edit#gid=1015091678"",""Inportant calculator!C$50"")"),"")</f>
        <v/>
      </c>
    </row>
    <row r="284">
      <c r="A284" s="27" t="s">
        <v>327</v>
      </c>
      <c r="B284" s="60">
        <f t="array" ref="B284">INDEX(Backlog!$A$2:$E1000,MATCH(A284,Backlog!$A$2:A284,0),2)</f>
        <v>7.5</v>
      </c>
      <c r="C284" s="61">
        <f t="array" ref="C284">INDEX(Backlog!$A$2:$E1000,MATCH(A284,Backlog!$A$2:A284,0),3)</f>
        <v>1.205795575</v>
      </c>
      <c r="D284" s="61">
        <f t="array" ref="D284">INDEX(Backlog!$A$2:$M1000,MATCH(A284,Backlog!$A$2:A1000,0),13)</f>
        <v>6.219959795</v>
      </c>
      <c r="E284" s="57" t="str">
        <f t="shared" si="1"/>
        <v>#DIV/0!</v>
      </c>
      <c r="F284" s="4" t="str">
        <f>IFERROR(__xludf.DUMMYFUNCTION("IMPORTRANGE(""https://docs.google.com/spreadsheets/d/18DfrIzhC5fA8A-r3adxOOCzrHWwbHYufiN01iEToBGk/edit#gid=1015091678"",""Inportant calculator!C$50"")"),"")</f>
        <v/>
      </c>
    </row>
    <row r="285">
      <c r="A285" s="27" t="s">
        <v>328</v>
      </c>
      <c r="B285" s="60">
        <f t="array" ref="B285">INDEX(Backlog!$A$2:$E1000,MATCH(A285,Backlog!$A$2:A285,0),2)</f>
        <v>7.5</v>
      </c>
      <c r="C285" s="61">
        <f t="array" ref="C285">INDEX(Backlog!$A$2:$E1000,MATCH(A285,Backlog!$A$2:A285,0),3)</f>
        <v>1.205795575</v>
      </c>
      <c r="D285" s="61">
        <f t="array" ref="D285">INDEX(Backlog!$A$2:$M1000,MATCH(A285,Backlog!$A$2:A1000,0),13)</f>
        <v>6.219959795</v>
      </c>
      <c r="E285" s="57" t="str">
        <f t="shared" si="1"/>
        <v>#DIV/0!</v>
      </c>
      <c r="F285" s="4" t="str">
        <f>IFERROR(__xludf.DUMMYFUNCTION("IMPORTRANGE(""https://docs.google.com/spreadsheets/d/18DfrIzhC5fA8A-r3adxOOCzrHWwbHYufiN01iEToBGk/edit#gid=1015091678"",""Inportant calculator!C$50"")"),"")</f>
        <v/>
      </c>
    </row>
    <row r="286">
      <c r="A286" s="7" t="s">
        <v>329</v>
      </c>
      <c r="B286" s="60">
        <f t="array" ref="B286">INDEX(Backlog!$A$2:$E1000,MATCH(A286,Backlog!$A$2:A286,0),2)</f>
        <v>31</v>
      </c>
      <c r="C286" s="61">
        <f t="array" ref="C286">INDEX(Backlog!$A$2:$E1000,MATCH(A286,Backlog!$A$2:A286,0),3)</f>
        <v>4.983955045</v>
      </c>
      <c r="D286" s="61">
        <f t="array" ref="D286">INDEX(Backlog!$A$2:$M1000,MATCH(A286,Backlog!$A$2:A1000,0),13)</f>
        <v>6.219959795</v>
      </c>
      <c r="E286" s="57" t="str">
        <f t="shared" si="1"/>
        <v>#DIV/0!</v>
      </c>
      <c r="F286" s="4" t="str">
        <f>IFERROR(__xludf.DUMMYFUNCTION("IMPORTRANGE(""https://docs.google.com/spreadsheets/d/18DfrIzhC5fA8A-r3adxOOCzrHWwbHYufiN01iEToBGk/edit#gid=1015091678"",""Inportant calculator!C$50"")"),"")</f>
        <v/>
      </c>
    </row>
    <row r="287">
      <c r="A287" s="7" t="s">
        <v>330</v>
      </c>
      <c r="B287" s="60">
        <f t="array" ref="B287">INDEX(Backlog!$A$2:$E1000,MATCH(A287,Backlog!$A$2:A287,0),2)</f>
        <v>16</v>
      </c>
      <c r="C287" s="61">
        <f t="array" ref="C287">INDEX(Backlog!$A$2:$E1000,MATCH(A287,Backlog!$A$2:A287,0),3)</f>
        <v>2.572363894</v>
      </c>
      <c r="D287" s="61">
        <f t="array" ref="D287">INDEX(Backlog!$A$2:$M1000,MATCH(A287,Backlog!$A$2:A1000,0),13)</f>
        <v>6.219959795</v>
      </c>
      <c r="E287" s="57" t="str">
        <f t="shared" si="1"/>
        <v>#DIV/0!</v>
      </c>
      <c r="F287" s="4" t="str">
        <f>IFERROR(__xludf.DUMMYFUNCTION("IMPORTRANGE(""https://docs.google.com/spreadsheets/d/18DfrIzhC5fA8A-r3adxOOCzrHWwbHYufiN01iEToBGk/edit#gid=1015091678"",""Inportant calculator!C$50"")"),"")</f>
        <v/>
      </c>
    </row>
    <row r="288">
      <c r="A288" s="7" t="s">
        <v>331</v>
      </c>
      <c r="B288" s="60">
        <f t="array" ref="B288">INDEX(Backlog!$A$2:$E1000,MATCH(A288,Backlog!$A$2:A288,0),2)</f>
        <v>292</v>
      </c>
      <c r="C288" s="61">
        <f t="array" ref="C288">INDEX(Backlog!$A$2:$E1000,MATCH(A288,Backlog!$A$2:A288,0),3)</f>
        <v>46.94564107</v>
      </c>
      <c r="D288" s="61">
        <f t="array" ref="D288">INDEX(Backlog!$A$2:$M1000,MATCH(A288,Backlog!$A$2:A1000,0),13)</f>
        <v>6.219959795</v>
      </c>
      <c r="E288" s="57" t="str">
        <f t="shared" si="1"/>
        <v>#DIV/0!</v>
      </c>
      <c r="F288" s="4" t="str">
        <f>IFERROR(__xludf.DUMMYFUNCTION("IMPORTRANGE(""https://docs.google.com/spreadsheets/d/18DfrIzhC5fA8A-r3adxOOCzrHWwbHYufiN01iEToBGk/edit#gid=1015091678"",""Inportant calculator!C$50"")"),"")</f>
        <v/>
      </c>
    </row>
    <row r="289">
      <c r="A289" s="7" t="s">
        <v>332</v>
      </c>
      <c r="B289" s="60">
        <f t="array" ref="B289">INDEX(Backlog!$A$2:$E1000,MATCH(A289,Backlog!$A$2:A289,0),2)</f>
        <v>68</v>
      </c>
      <c r="C289" s="61">
        <f t="array" ref="C289">INDEX(Backlog!$A$2:$E1000,MATCH(A289,Backlog!$A$2:A289,0),3)</f>
        <v>10.93254655</v>
      </c>
      <c r="D289" s="61">
        <f t="array" ref="D289">INDEX(Backlog!$A$2:$M1000,MATCH(A289,Backlog!$A$2:A1000,0),13)</f>
        <v>6.219959795</v>
      </c>
      <c r="E289" s="57" t="str">
        <f t="shared" si="1"/>
        <v>#DIV/0!</v>
      </c>
      <c r="F289" s="4" t="str">
        <f>IFERROR(__xludf.DUMMYFUNCTION("IMPORTRANGE(""https://docs.google.com/spreadsheets/d/18DfrIzhC5fA8A-r3adxOOCzrHWwbHYufiN01iEToBGk/edit#gid=1015091678"",""Inportant calculator!C$50"")"),"")</f>
        <v/>
      </c>
    </row>
    <row r="290">
      <c r="A290" s="7" t="s">
        <v>333</v>
      </c>
      <c r="B290" s="60">
        <f t="array" ref="B290">INDEX(Backlog!$A$2:$E1000,MATCH(A290,Backlog!$A$2:A290,0),2)</f>
        <v>74</v>
      </c>
      <c r="C290" s="61">
        <f t="array" ref="C290">INDEX(Backlog!$A$2:$E1000,MATCH(A290,Backlog!$A$2:A290,0),3)</f>
        <v>11.89718301</v>
      </c>
      <c r="D290" s="61">
        <f t="array" ref="D290">INDEX(Backlog!$A$2:$M1000,MATCH(A290,Backlog!$A$2:A1000,0),13)</f>
        <v>6.219959795</v>
      </c>
      <c r="E290" s="57" t="str">
        <f t="shared" si="1"/>
        <v>#DIV/0!</v>
      </c>
      <c r="F290" s="4" t="str">
        <f>IFERROR(__xludf.DUMMYFUNCTION("IMPORTRANGE(""https://docs.google.com/spreadsheets/d/18DfrIzhC5fA8A-r3adxOOCzrHWwbHYufiN01iEToBGk/edit#gid=1015091678"",""Inportant calculator!C$50"")"),"")</f>
        <v/>
      </c>
    </row>
    <row r="291">
      <c r="A291" s="18" t="s">
        <v>334</v>
      </c>
      <c r="B291" s="60">
        <f t="array" ref="B291">INDEX(Backlog!$A$2:$E1000,MATCH(A291,Backlog!$A$2:A291,0),2)</f>
        <v>30</v>
      </c>
      <c r="C291" s="61">
        <f t="array" ref="C291">INDEX(Backlog!$A$2:$E1000,MATCH(A291,Backlog!$A$2:A291,0),3)</f>
        <v>4.823182301</v>
      </c>
      <c r="D291" s="61">
        <f t="array" ref="D291">INDEX(Backlog!$A$2:$M1000,MATCH(A291,Backlog!$A$2:A1000,0),13)</f>
        <v>6.219959795</v>
      </c>
      <c r="E291" s="57" t="str">
        <f t="shared" si="1"/>
        <v>#DIV/0!</v>
      </c>
      <c r="F291" s="4" t="str">
        <f>IFERROR(__xludf.DUMMYFUNCTION("IMPORTRANGE(""https://docs.google.com/spreadsheets/d/18DfrIzhC5fA8A-r3adxOOCzrHWwbHYufiN01iEToBGk/edit#gid=1015091678"",""Inportant calculator!C$50"")"),"")</f>
        <v/>
      </c>
    </row>
    <row r="292">
      <c r="A292" s="19" t="s">
        <v>335</v>
      </c>
      <c r="B292" s="60">
        <f t="array" ref="B292">INDEX(Backlog!$A$2:$E1000,MATCH(A292,Backlog!$A$2:A292,0),2)</f>
        <v>109</v>
      </c>
      <c r="C292" s="61">
        <f t="array" ref="C292">INDEX(Backlog!$A$2:$E1000,MATCH(A292,Backlog!$A$2:A292,0),3)</f>
        <v>17.52422903</v>
      </c>
      <c r="D292" s="61">
        <f t="array" ref="D292">INDEX(Backlog!$A$2:$M1000,MATCH(A292,Backlog!$A$2:A1000,0),13)</f>
        <v>6.219959795</v>
      </c>
      <c r="E292" s="57" t="str">
        <f t="shared" si="1"/>
        <v>#DIV/0!</v>
      </c>
      <c r="F292" s="4" t="str">
        <f>IFERROR(__xludf.DUMMYFUNCTION("IMPORTRANGE(""https://docs.google.com/spreadsheets/d/18DfrIzhC5fA8A-r3adxOOCzrHWwbHYufiN01iEToBGk/edit#gid=1015091678"",""Inportant calculator!C$50"")"),"")</f>
        <v/>
      </c>
    </row>
    <row r="293">
      <c r="A293" s="7" t="s">
        <v>336</v>
      </c>
      <c r="B293" s="60">
        <f t="array" ref="B293">INDEX(Backlog!$A$2:$E1000,MATCH(A293,Backlog!$A$2:A293,0),2)</f>
        <v>41</v>
      </c>
      <c r="C293" s="61">
        <f t="array" ref="C293">INDEX(Backlog!$A$2:$E1000,MATCH(A293,Backlog!$A$2:A293,0),3)</f>
        <v>6.591682479</v>
      </c>
      <c r="D293" s="61">
        <f t="array" ref="D293">INDEX(Backlog!$A$2:$M1000,MATCH(A293,Backlog!$A$2:A1000,0),13)</f>
        <v>6.219959795</v>
      </c>
      <c r="E293" s="57" t="str">
        <f t="shared" si="1"/>
        <v>#DIV/0!</v>
      </c>
      <c r="F293" s="4" t="str">
        <f>IFERROR(__xludf.DUMMYFUNCTION("IMPORTRANGE(""https://docs.google.com/spreadsheets/d/18DfrIzhC5fA8A-r3adxOOCzrHWwbHYufiN01iEToBGk/edit#gid=1015091678"",""Inportant calculator!C$50"")"),"")</f>
        <v/>
      </c>
    </row>
    <row r="294">
      <c r="A294" s="7" t="s">
        <v>337</v>
      </c>
      <c r="B294" s="60">
        <f t="array" ref="B294">INDEX(Backlog!$A$2:$E1000,MATCH(A294,Backlog!$A$2:A294,0),2)</f>
        <v>67.5</v>
      </c>
      <c r="C294" s="61">
        <f t="array" ref="C294">INDEX(Backlog!$A$2:$E1000,MATCH(A294,Backlog!$A$2:A294,0),3)</f>
        <v>10.85216018</v>
      </c>
      <c r="D294" s="61">
        <f t="array" ref="D294">INDEX(Backlog!$A$2:$M1000,MATCH(A294,Backlog!$A$2:A1000,0),13)</f>
        <v>6.219959795</v>
      </c>
      <c r="E294" s="57" t="str">
        <f t="shared" si="1"/>
        <v>#DIV/0!</v>
      </c>
      <c r="F294" s="4" t="str">
        <f>IFERROR(__xludf.DUMMYFUNCTION("IMPORTRANGE(""https://docs.google.com/spreadsheets/d/18DfrIzhC5fA8A-r3adxOOCzrHWwbHYufiN01iEToBGk/edit#gid=1015091678"",""Inportant calculator!C$50"")"),"")</f>
        <v/>
      </c>
    </row>
    <row r="295">
      <c r="A295" s="28" t="s">
        <v>338</v>
      </c>
      <c r="B295" s="60">
        <f t="array" ref="B295">INDEX(Backlog!$A$2:$E1000,MATCH(A295,Backlog!$A$2:A295,0),2)</f>
        <v>12.5</v>
      </c>
      <c r="C295" s="61">
        <f t="array" ref="C295">INDEX(Backlog!$A$2:$E1000,MATCH(A295,Backlog!$A$2:A295,0),3)</f>
        <v>2.009659292</v>
      </c>
      <c r="D295" s="61">
        <f t="array" ref="D295">INDEX(Backlog!$A$2:$M1000,MATCH(A295,Backlog!$A$2:A1000,0),13)</f>
        <v>6.219959795</v>
      </c>
      <c r="E295" s="57" t="str">
        <f t="shared" si="1"/>
        <v>#DIV/0!</v>
      </c>
      <c r="F295" s="4" t="str">
        <f>IFERROR(__xludf.DUMMYFUNCTION("IMPORTRANGE(""https://docs.google.com/spreadsheets/d/18DfrIzhC5fA8A-r3adxOOCzrHWwbHYufiN01iEToBGk/edit#gid=1015091678"",""Inportant calculator!C$50"")"),"")</f>
        <v/>
      </c>
    </row>
    <row r="296">
      <c r="A296" s="7" t="s">
        <v>339</v>
      </c>
      <c r="B296" s="60">
        <f t="array" ref="B296">INDEX(Backlog!$A$2:$E1000,MATCH(A296,Backlog!$A$2:A296,0),2)</f>
        <v>57.5</v>
      </c>
      <c r="C296" s="61">
        <f t="array" ref="C296">INDEX(Backlog!$A$2:$E1000,MATCH(A296,Backlog!$A$2:A296,0),3)</f>
        <v>9.244432744</v>
      </c>
      <c r="D296" s="61">
        <f t="array" ref="D296">INDEX(Backlog!$A$2:$M1000,MATCH(A296,Backlog!$A$2:A1000,0),13)</f>
        <v>6.219959795</v>
      </c>
      <c r="E296" s="57" t="str">
        <f t="shared" si="1"/>
        <v>#DIV/0!</v>
      </c>
      <c r="F296" s="4" t="str">
        <f>IFERROR(__xludf.DUMMYFUNCTION("IMPORTRANGE(""https://docs.google.com/spreadsheets/d/18DfrIzhC5fA8A-r3adxOOCzrHWwbHYufiN01iEToBGk/edit#gid=1015091678"",""Inportant calculator!C$50"")"),"")</f>
        <v/>
      </c>
    </row>
    <row r="297">
      <c r="A297" s="4" t="s">
        <v>340</v>
      </c>
      <c r="B297" s="60">
        <f t="array" ref="B297">INDEX(Backlog!$A$2:$E1000,MATCH(A297,Backlog!$A$2:A297,0),2)</f>
        <v>12</v>
      </c>
      <c r="C297" s="61">
        <f t="array" ref="C297">INDEX(Backlog!$A$2:$E1000,MATCH(A297,Backlog!$A$2:A297,0),3)</f>
        <v>1.929272921</v>
      </c>
      <c r="D297" s="61">
        <f t="array" ref="D297">INDEX(Backlog!$A$2:$M1000,MATCH(A297,Backlog!$A$2:A1000,0),13)</f>
        <v>6.219959795</v>
      </c>
      <c r="E297" s="57" t="str">
        <f t="shared" si="1"/>
        <v>#DIV/0!</v>
      </c>
      <c r="F297" s="4" t="str">
        <f>IFERROR(__xludf.DUMMYFUNCTION("IMPORTRANGE(""https://docs.google.com/spreadsheets/d/18DfrIzhC5fA8A-r3adxOOCzrHWwbHYufiN01iEToBGk/edit#gid=1015091678"",""Inportant calculator!C$50"")"),"")</f>
        <v/>
      </c>
    </row>
    <row r="298">
      <c r="A298" s="4" t="s">
        <v>342</v>
      </c>
      <c r="B298" s="60">
        <f t="array" ref="B298">INDEX(Backlog!$A$2:$E1000,MATCH(A298,Backlog!$A$2:A298,0),2)</f>
        <v>84</v>
      </c>
      <c r="C298" s="61">
        <f t="array" ref="C298">INDEX(Backlog!$A$2:$E1000,MATCH(A298,Backlog!$A$2:A298,0),3)</f>
        <v>13.50491044</v>
      </c>
      <c r="D298" s="61">
        <f t="array" ref="D298">INDEX(Backlog!$A$2:$M1000,MATCH(A298,Backlog!$A$2:A1000,0),13)</f>
        <v>6.219959795</v>
      </c>
      <c r="E298" s="57" t="str">
        <f t="shared" si="1"/>
        <v>#DIV/0!</v>
      </c>
      <c r="F298" s="4" t="str">
        <f>IFERROR(__xludf.DUMMYFUNCTION("IMPORTRANGE(""https://docs.google.com/spreadsheets/d/18DfrIzhC5fA8A-r3adxOOCzrHWwbHYufiN01iEToBGk/edit#gid=1015091678"",""Inportant calculator!C$50"")"),"")</f>
        <v/>
      </c>
    </row>
    <row r="299">
      <c r="A299" s="7" t="s">
        <v>343</v>
      </c>
      <c r="B299" s="60">
        <f t="array" ref="B299">INDEX(Backlog!$A$2:$E1000,MATCH(A299,Backlog!$A$2:A299,0),2)</f>
        <v>30</v>
      </c>
      <c r="C299" s="61">
        <f t="array" ref="C299">INDEX(Backlog!$A$2:$E1000,MATCH(A299,Backlog!$A$2:A299,0),3)</f>
        <v>4.823182301</v>
      </c>
      <c r="D299" s="61">
        <f t="array" ref="D299">INDEX(Backlog!$A$2:$M1000,MATCH(A299,Backlog!$A$2:A1000,0),13)</f>
        <v>6.219959795</v>
      </c>
      <c r="E299" s="57" t="str">
        <f t="shared" si="1"/>
        <v>#DIV/0!</v>
      </c>
      <c r="F299" s="4" t="str">
        <f>IFERROR(__xludf.DUMMYFUNCTION("IMPORTRANGE(""https://docs.google.com/spreadsheets/d/18DfrIzhC5fA8A-r3adxOOCzrHWwbHYufiN01iEToBGk/edit#gid=1015091678"",""Inportant calculator!C$50"")"),"")</f>
        <v/>
      </c>
    </row>
    <row r="300">
      <c r="A300" s="7" t="s">
        <v>344</v>
      </c>
      <c r="B300" s="60">
        <f t="array" ref="B300">INDEX(Backlog!$A$2:$E1000,MATCH(A300,Backlog!$A$2:A300,0),2)</f>
        <v>25</v>
      </c>
      <c r="C300" s="61">
        <f t="array" ref="C300">INDEX(Backlog!$A$2:$E1000,MATCH(A300,Backlog!$A$2:A300,0),3)</f>
        <v>4.019318584</v>
      </c>
      <c r="D300" s="61">
        <f t="array" ref="D300">INDEX(Backlog!$A$2:$M1000,MATCH(A300,Backlog!$A$2:A1000,0),13)</f>
        <v>6.219959795</v>
      </c>
      <c r="E300" s="57" t="str">
        <f t="shared" si="1"/>
        <v>#DIV/0!</v>
      </c>
      <c r="F300" s="4" t="str">
        <f>IFERROR(__xludf.DUMMYFUNCTION("IMPORTRANGE(""https://docs.google.com/spreadsheets/d/18DfrIzhC5fA8A-r3adxOOCzrHWwbHYufiN01iEToBGk/edit#gid=1015091678"",""Inportant calculator!C$50"")"),"")</f>
        <v/>
      </c>
    </row>
    <row r="301">
      <c r="A301" s="7" t="s">
        <v>345</v>
      </c>
      <c r="B301" s="60">
        <f t="array" ref="B301">INDEX(Backlog!$A$2:$E1000,MATCH(A301,Backlog!$A$2:A301,0),2)</f>
        <v>72</v>
      </c>
      <c r="C301" s="61">
        <f t="array" ref="C301">INDEX(Backlog!$A$2:$E1000,MATCH(A301,Backlog!$A$2:A301,0),3)</f>
        <v>11.57563752</v>
      </c>
      <c r="D301" s="61">
        <f t="array" ref="D301">INDEX(Backlog!$A$2:$M1000,MATCH(A301,Backlog!$A$2:A1000,0),13)</f>
        <v>6.219959795</v>
      </c>
      <c r="E301" s="57" t="str">
        <f t="shared" si="1"/>
        <v>#DIV/0!</v>
      </c>
      <c r="F301" s="4" t="str">
        <f>IFERROR(__xludf.DUMMYFUNCTION("IMPORTRANGE(""https://docs.google.com/spreadsheets/d/18DfrIzhC5fA8A-r3adxOOCzrHWwbHYufiN01iEToBGk/edit#gid=1015091678"",""Inportant calculator!C$50"")"),"")</f>
        <v/>
      </c>
    </row>
    <row r="302">
      <c r="A302" s="7" t="s">
        <v>346</v>
      </c>
      <c r="B302" s="60">
        <f t="array" ref="B302">INDEX(Backlog!$A$2:$E1000,MATCH(A302,Backlog!$A$2:A302,0),2)</f>
        <v>55</v>
      </c>
      <c r="C302" s="61">
        <f t="array" ref="C302">INDEX(Backlog!$A$2:$E1000,MATCH(A302,Backlog!$A$2:A302,0),3)</f>
        <v>8.842500886</v>
      </c>
      <c r="D302" s="61">
        <f t="array" ref="D302">INDEX(Backlog!$A$2:$M1000,MATCH(A302,Backlog!$A$2:A1000,0),13)</f>
        <v>6.219959795</v>
      </c>
      <c r="E302" s="57" t="str">
        <f t="shared" si="1"/>
        <v>#DIV/0!</v>
      </c>
      <c r="F302" s="4" t="str">
        <f>IFERROR(__xludf.DUMMYFUNCTION("IMPORTRANGE(""https://docs.google.com/spreadsheets/d/18DfrIzhC5fA8A-r3adxOOCzrHWwbHYufiN01iEToBGk/edit#gid=1015091678"",""Inportant calculator!C$50"")"),"")</f>
        <v/>
      </c>
    </row>
    <row r="303">
      <c r="A303" s="7" t="s">
        <v>347</v>
      </c>
      <c r="B303" s="60">
        <f t="array" ref="B303">INDEX(Backlog!$A$2:$E1000,MATCH(A303,Backlog!$A$2:A303,0),2)</f>
        <v>138</v>
      </c>
      <c r="C303" s="61">
        <f t="array" ref="C303">INDEX(Backlog!$A$2:$E1000,MATCH(A303,Backlog!$A$2:A303,0),3)</f>
        <v>22.18663859</v>
      </c>
      <c r="D303" s="61">
        <f t="array" ref="D303">INDEX(Backlog!$A$2:$M1000,MATCH(A303,Backlog!$A$2:A1000,0),13)</f>
        <v>6.219959795</v>
      </c>
      <c r="E303" s="57" t="str">
        <f t="shared" si="1"/>
        <v>#DIV/0!</v>
      </c>
      <c r="F303" s="4" t="str">
        <f>IFERROR(__xludf.DUMMYFUNCTION("IMPORTRANGE(""https://docs.google.com/spreadsheets/d/18DfrIzhC5fA8A-r3adxOOCzrHWwbHYufiN01iEToBGk/edit#gid=1015091678"",""Inportant calculator!C$50"")"),"")</f>
        <v/>
      </c>
    </row>
    <row r="304">
      <c r="A304" s="7" t="s">
        <v>348</v>
      </c>
      <c r="B304" s="60">
        <f t="array" ref="B304">INDEX(Backlog!$A$2:$E1000,MATCH(A304,Backlog!$A$2:A304,0),2)</f>
        <v>32</v>
      </c>
      <c r="C304" s="61">
        <f t="array" ref="C304">INDEX(Backlog!$A$2:$E1000,MATCH(A304,Backlog!$A$2:A304,0),3)</f>
        <v>5.144727788</v>
      </c>
      <c r="D304" s="61">
        <f t="array" ref="D304">INDEX(Backlog!$A$2:$M1000,MATCH(A304,Backlog!$A$2:A1000,0),13)</f>
        <v>6.219959795</v>
      </c>
      <c r="E304" s="57" t="str">
        <f t="shared" si="1"/>
        <v>#DIV/0!</v>
      </c>
      <c r="F304" s="4" t="str">
        <f>IFERROR(__xludf.DUMMYFUNCTION("IMPORTRANGE(""https://docs.google.com/spreadsheets/d/18DfrIzhC5fA8A-r3adxOOCzrHWwbHYufiN01iEToBGk/edit#gid=1015091678"",""Inportant calculator!C$50"")"),"")</f>
        <v/>
      </c>
    </row>
    <row r="305">
      <c r="A305" s="7" t="s">
        <v>349</v>
      </c>
      <c r="B305" s="60">
        <f t="array" ref="B305">INDEX(Backlog!$A$2:$E1000,MATCH(A305,Backlog!$A$2:A305,0),2)</f>
        <v>36</v>
      </c>
      <c r="C305" s="61">
        <f t="array" ref="C305">INDEX(Backlog!$A$2:$E1000,MATCH(A305,Backlog!$A$2:A305,0),3)</f>
        <v>5.787818762</v>
      </c>
      <c r="D305" s="61">
        <f t="array" ref="D305">INDEX(Backlog!$A$2:$M1000,MATCH(A305,Backlog!$A$2:A1000,0),13)</f>
        <v>6.219959795</v>
      </c>
      <c r="E305" s="57" t="str">
        <f t="shared" si="1"/>
        <v>#DIV/0!</v>
      </c>
      <c r="F305" s="4" t="str">
        <f>IFERROR(__xludf.DUMMYFUNCTION("IMPORTRANGE(""https://docs.google.com/spreadsheets/d/18DfrIzhC5fA8A-r3adxOOCzrHWwbHYufiN01iEToBGk/edit#gid=1015091678"",""Inportant calculator!C$50"")"),"")</f>
        <v/>
      </c>
    </row>
    <row r="306">
      <c r="A306" s="7" t="s">
        <v>350</v>
      </c>
      <c r="B306" s="60">
        <f t="array" ref="B306">INDEX(Backlog!$A$2:$E1000,MATCH(A306,Backlog!$A$2:A306,0),2)</f>
        <v>43</v>
      </c>
      <c r="C306" s="61">
        <f t="array" ref="C306">INDEX(Backlog!$A$2:$E1000,MATCH(A306,Backlog!$A$2:A306,0),3)</f>
        <v>6.913227965</v>
      </c>
      <c r="D306" s="61">
        <f t="array" ref="D306">INDEX(Backlog!$A$2:$M1000,MATCH(A306,Backlog!$A$2:A1000,0),13)</f>
        <v>6.219959795</v>
      </c>
      <c r="E306" s="57" t="str">
        <f t="shared" si="1"/>
        <v>#DIV/0!</v>
      </c>
      <c r="F306" s="4" t="str">
        <f>IFERROR(__xludf.DUMMYFUNCTION("IMPORTRANGE(""https://docs.google.com/spreadsheets/d/18DfrIzhC5fA8A-r3adxOOCzrHWwbHYufiN01iEToBGk/edit#gid=1015091678"",""Inportant calculator!C$50"")"),"")</f>
        <v/>
      </c>
    </row>
    <row r="307">
      <c r="A307" s="7" t="s">
        <v>351</v>
      </c>
      <c r="B307" s="60">
        <f t="array" ref="B307">INDEX(Backlog!$A$2:$E1000,MATCH(A307,Backlog!$A$2:A307,0),2)</f>
        <v>38</v>
      </c>
      <c r="C307" s="61">
        <f t="array" ref="C307">INDEX(Backlog!$A$2:$E1000,MATCH(A307,Backlog!$A$2:A307,0),3)</f>
        <v>6.109364248</v>
      </c>
      <c r="D307" s="61">
        <f t="array" ref="D307">INDEX(Backlog!$A$2:$M1000,MATCH(A307,Backlog!$A$2:A1000,0),13)</f>
        <v>6.219959795</v>
      </c>
      <c r="E307" s="57" t="str">
        <f t="shared" si="1"/>
        <v>#DIV/0!</v>
      </c>
      <c r="F307" s="4" t="str">
        <f>IFERROR(__xludf.DUMMYFUNCTION("IMPORTRANGE(""https://docs.google.com/spreadsheets/d/18DfrIzhC5fA8A-r3adxOOCzrHWwbHYufiN01iEToBGk/edit#gid=1015091678"",""Inportant calculator!C$50"")"),"")</f>
        <v/>
      </c>
    </row>
    <row r="308">
      <c r="A308" s="7" t="s">
        <v>352</v>
      </c>
      <c r="B308" s="60">
        <f t="array" ref="B308">INDEX(Backlog!$A$2:$E1000,MATCH(A308,Backlog!$A$2:A308,0),2)</f>
        <v>26</v>
      </c>
      <c r="C308" s="61">
        <f t="array" ref="C308">INDEX(Backlog!$A$2:$E1000,MATCH(A308,Backlog!$A$2:A308,0),3)</f>
        <v>4.180091328</v>
      </c>
      <c r="D308" s="61">
        <f t="array" ref="D308">INDEX(Backlog!$A$2:$M1000,MATCH(A308,Backlog!$A$2:A1000,0),13)</f>
        <v>6.219959795</v>
      </c>
      <c r="E308" s="57" t="str">
        <f t="shared" si="1"/>
        <v>#DIV/0!</v>
      </c>
      <c r="F308" s="4" t="str">
        <f>IFERROR(__xludf.DUMMYFUNCTION("IMPORTRANGE(""https://docs.google.com/spreadsheets/d/18DfrIzhC5fA8A-r3adxOOCzrHWwbHYufiN01iEToBGk/edit#gid=1015091678"",""Inportant calculator!C$50"")"),"")</f>
        <v/>
      </c>
    </row>
    <row r="309">
      <c r="A309" s="7" t="s">
        <v>353</v>
      </c>
      <c r="B309" s="60">
        <f t="array" ref="B309">INDEX(Backlog!$A$2:$E1000,MATCH(A309,Backlog!$A$2:A309,0),2)</f>
        <v>70</v>
      </c>
      <c r="C309" s="61">
        <f t="array" ref="C309">INDEX(Backlog!$A$2:$E1000,MATCH(A309,Backlog!$A$2:A309,0),3)</f>
        <v>11.25409204</v>
      </c>
      <c r="D309" s="61">
        <f t="array" ref="D309">INDEX(Backlog!$A$2:$M1000,MATCH(A309,Backlog!$A$2:A1000,0),13)</f>
        <v>6.219959795</v>
      </c>
      <c r="E309" s="57" t="str">
        <f t="shared" si="1"/>
        <v>#DIV/0!</v>
      </c>
      <c r="F309" s="4" t="str">
        <f>IFERROR(__xludf.DUMMYFUNCTION("IMPORTRANGE(""https://docs.google.com/spreadsheets/d/18DfrIzhC5fA8A-r3adxOOCzrHWwbHYufiN01iEToBGk/edit#gid=1015091678"",""Inportant calculator!C$50"")"),"")</f>
        <v/>
      </c>
    </row>
    <row r="310">
      <c r="A310" s="7" t="s">
        <v>354</v>
      </c>
      <c r="B310" s="60">
        <f t="array" ref="B310">INDEX(Backlog!$A$2:$E1000,MATCH(A310,Backlog!$A$2:A310,0),2)</f>
        <v>42</v>
      </c>
      <c r="C310" s="61">
        <f t="array" ref="C310">INDEX(Backlog!$A$2:$E1000,MATCH(A310,Backlog!$A$2:A310,0),3)</f>
        <v>6.752455222</v>
      </c>
      <c r="D310" s="61">
        <f t="array" ref="D310">INDEX(Backlog!$A$2:$M1000,MATCH(A310,Backlog!$A$2:A1000,0),13)</f>
        <v>6.219959795</v>
      </c>
      <c r="E310" s="57" t="str">
        <f t="shared" si="1"/>
        <v>#DIV/0!</v>
      </c>
      <c r="F310" s="4" t="str">
        <f>IFERROR(__xludf.DUMMYFUNCTION("IMPORTRANGE(""https://docs.google.com/spreadsheets/d/18DfrIzhC5fA8A-r3adxOOCzrHWwbHYufiN01iEToBGk/edit#gid=1015091678"",""Inportant calculator!C$50"")"),"")</f>
        <v/>
      </c>
    </row>
    <row r="311">
      <c r="A311" s="7" t="s">
        <v>356</v>
      </c>
      <c r="B311" s="60">
        <f t="array" ref="B311">INDEX(Backlog!$A$2:$E1000,MATCH(A311,Backlog!$A$2:A311,0),2)</f>
        <v>38</v>
      </c>
      <c r="C311" s="61">
        <f t="array" ref="C311">INDEX(Backlog!$A$2:$E1000,MATCH(A311,Backlog!$A$2:A311,0),3)</f>
        <v>6.109364248</v>
      </c>
      <c r="D311" s="61">
        <f t="array" ref="D311">INDEX(Backlog!$A$2:$M1000,MATCH(A311,Backlog!$A$2:A1000,0),13)</f>
        <v>6.219959795</v>
      </c>
      <c r="E311" s="57" t="str">
        <f t="shared" si="1"/>
        <v>#DIV/0!</v>
      </c>
      <c r="F311" s="4" t="str">
        <f>IFERROR(__xludf.DUMMYFUNCTION("IMPORTRANGE(""https://docs.google.com/spreadsheets/d/18DfrIzhC5fA8A-r3adxOOCzrHWwbHYufiN01iEToBGk/edit#gid=1015091678"",""Inportant calculator!C$50"")"),"")</f>
        <v/>
      </c>
    </row>
    <row r="312">
      <c r="A312" s="7" t="s">
        <v>357</v>
      </c>
      <c r="B312" s="60">
        <f t="array" ref="B312">INDEX(Backlog!$A$2:$E1000,MATCH(A312,Backlog!$A$2:A312,0),2)</f>
        <v>8</v>
      </c>
      <c r="C312" s="61">
        <f t="array" ref="C312">INDEX(Backlog!$A$2:$E1000,MATCH(A312,Backlog!$A$2:A312,0),3)</f>
        <v>1.286181947</v>
      </c>
      <c r="D312" s="61">
        <f t="array" ref="D312">INDEX(Backlog!$A$2:$M1000,MATCH(A312,Backlog!$A$2:A1000,0),13)</f>
        <v>6.219959795</v>
      </c>
      <c r="E312" s="57" t="str">
        <f t="shared" si="1"/>
        <v>#DIV/0!</v>
      </c>
      <c r="F312" s="4" t="str">
        <f>IFERROR(__xludf.DUMMYFUNCTION("IMPORTRANGE(""https://docs.google.com/spreadsheets/d/18DfrIzhC5fA8A-r3adxOOCzrHWwbHYufiN01iEToBGk/edit#gid=1015091678"",""Inportant calculator!C$50"")"),"")</f>
        <v/>
      </c>
    </row>
    <row r="313">
      <c r="A313" s="7" t="s">
        <v>358</v>
      </c>
      <c r="B313" s="60">
        <f t="array" ref="B313">INDEX(Backlog!$A$2:$E1000,MATCH(A313,Backlog!$A$2:A313,0),2)</f>
        <v>43</v>
      </c>
      <c r="C313" s="61">
        <f t="array" ref="C313">INDEX(Backlog!$A$2:$E1000,MATCH(A313,Backlog!$A$2:A313,0),3)</f>
        <v>6.913227965</v>
      </c>
      <c r="D313" s="61">
        <f t="array" ref="D313">INDEX(Backlog!$A$2:$M1000,MATCH(A313,Backlog!$A$2:A1000,0),13)</f>
        <v>6.219959795</v>
      </c>
      <c r="E313" s="57" t="str">
        <f t="shared" si="1"/>
        <v>#DIV/0!</v>
      </c>
      <c r="F313" s="4" t="str">
        <f>IFERROR(__xludf.DUMMYFUNCTION("IMPORTRANGE(""https://docs.google.com/spreadsheets/d/18DfrIzhC5fA8A-r3adxOOCzrHWwbHYufiN01iEToBGk/edit#gid=1015091678"",""Inportant calculator!C$50"")"),"")</f>
        <v/>
      </c>
    </row>
    <row r="314">
      <c r="A314" s="7" t="s">
        <v>359</v>
      </c>
      <c r="B314" s="60">
        <f t="array" ref="B314">INDEX(Backlog!$A$2:$E1000,MATCH(A314,Backlog!$A$2:A314,0),2)</f>
        <v>25</v>
      </c>
      <c r="C314" s="61">
        <f t="array" ref="C314">INDEX(Backlog!$A$2:$E1000,MATCH(A314,Backlog!$A$2:A314,0),3)</f>
        <v>4.019318584</v>
      </c>
      <c r="D314" s="61">
        <f t="array" ref="D314">INDEX(Backlog!$A$2:$M1000,MATCH(A314,Backlog!$A$2:A1000,0),13)</f>
        <v>6.219959795</v>
      </c>
      <c r="E314" s="57" t="str">
        <f t="shared" si="1"/>
        <v>#DIV/0!</v>
      </c>
      <c r="F314" s="4" t="str">
        <f>IFERROR(__xludf.DUMMYFUNCTION("IMPORTRANGE(""https://docs.google.com/spreadsheets/d/18DfrIzhC5fA8A-r3adxOOCzrHWwbHYufiN01iEToBGk/edit#gid=1015091678"",""Inportant calculator!C$50"")"),"")</f>
        <v/>
      </c>
    </row>
    <row r="315">
      <c r="A315" s="7" t="s">
        <v>360</v>
      </c>
      <c r="B315" s="60">
        <f t="array" ref="B315">INDEX(Backlog!$A$2:$E1000,MATCH(A315,Backlog!$A$2:A315,0),2)</f>
        <v>23</v>
      </c>
      <c r="C315" s="61">
        <f t="array" ref="C315">INDEX(Backlog!$A$2:$E1000,MATCH(A315,Backlog!$A$2:A315,0),3)</f>
        <v>3.697773098</v>
      </c>
      <c r="D315" s="61">
        <f t="array" ref="D315">INDEX(Backlog!$A$2:$M1000,MATCH(A315,Backlog!$A$2:A1000,0),13)</f>
        <v>6.219959795</v>
      </c>
      <c r="E315" s="57" t="str">
        <f t="shared" si="1"/>
        <v>#DIV/0!</v>
      </c>
      <c r="F315" s="4" t="str">
        <f>IFERROR(__xludf.DUMMYFUNCTION("IMPORTRANGE(""https://docs.google.com/spreadsheets/d/18DfrIzhC5fA8A-r3adxOOCzrHWwbHYufiN01iEToBGk/edit#gid=1015091678"",""Inportant calculator!C$50"")"),"")</f>
        <v/>
      </c>
    </row>
    <row r="316">
      <c r="A316" s="7" t="s">
        <v>361</v>
      </c>
      <c r="B316" s="60">
        <f t="array" ref="B316">INDEX(Backlog!$A$2:$E1000,MATCH(A316,Backlog!$A$2:A316,0),2)</f>
        <v>236</v>
      </c>
      <c r="C316" s="61">
        <f t="array" ref="C316">INDEX(Backlog!$A$2:$E1000,MATCH(A316,Backlog!$A$2:A316,0),3)</f>
        <v>37.94236744</v>
      </c>
      <c r="D316" s="61">
        <f t="array" ref="D316">INDEX(Backlog!$A$2:$M1000,MATCH(A316,Backlog!$A$2:A1000,0),13)</f>
        <v>6.219959795</v>
      </c>
      <c r="E316" s="57" t="str">
        <f t="shared" si="1"/>
        <v>#DIV/0!</v>
      </c>
      <c r="F316" s="4" t="str">
        <f>IFERROR(__xludf.DUMMYFUNCTION("IMPORTRANGE(""https://docs.google.com/spreadsheets/d/18DfrIzhC5fA8A-r3adxOOCzrHWwbHYufiN01iEToBGk/edit#gid=1015091678"",""Inportant calculator!C$50"")"),"")</f>
        <v/>
      </c>
    </row>
    <row r="317">
      <c r="A317" s="7" t="s">
        <v>362</v>
      </c>
      <c r="B317" s="60">
        <f t="array" ref="B317">INDEX(Backlog!$A$2:$E1000,MATCH(A317,Backlog!$A$2:A317,0),2)</f>
        <v>46</v>
      </c>
      <c r="C317" s="61">
        <f t="array" ref="C317">INDEX(Backlog!$A$2:$E1000,MATCH(A317,Backlog!$A$2:A317,0),3)</f>
        <v>7.395546195</v>
      </c>
      <c r="D317" s="61">
        <f t="array" ref="D317">INDEX(Backlog!$A$2:$M1000,MATCH(A317,Backlog!$A$2:A1000,0),13)</f>
        <v>6.219959795</v>
      </c>
      <c r="E317" s="57" t="str">
        <f t="shared" si="1"/>
        <v>#DIV/0!</v>
      </c>
      <c r="F317" s="4" t="str">
        <f>IFERROR(__xludf.DUMMYFUNCTION("IMPORTRANGE(""https://docs.google.com/spreadsheets/d/18DfrIzhC5fA8A-r3adxOOCzrHWwbHYufiN01iEToBGk/edit#gid=1015091678"",""Inportant calculator!C$50"")"),"")</f>
        <v/>
      </c>
    </row>
    <row r="318">
      <c r="A318" s="18" t="s">
        <v>363</v>
      </c>
      <c r="B318" s="60">
        <f t="array" ref="B318">INDEX(Backlog!$A$2:$E1000,MATCH(A318,Backlog!$A$2:A318,0),2)</f>
        <v>67</v>
      </c>
      <c r="C318" s="61">
        <f t="array" ref="C318">INDEX(Backlog!$A$2:$E1000,MATCH(A318,Backlog!$A$2:A318,0),3)</f>
        <v>10.77177381</v>
      </c>
      <c r="D318" s="61">
        <f t="array" ref="D318">INDEX(Backlog!$A$2:$M1000,MATCH(A318,Backlog!$A$2:A1000,0),13)</f>
        <v>6.219959795</v>
      </c>
      <c r="E318" s="57" t="str">
        <f t="shared" si="1"/>
        <v>#DIV/0!</v>
      </c>
      <c r="F318" s="4" t="str">
        <f>IFERROR(__xludf.DUMMYFUNCTION("IMPORTRANGE(""https://docs.google.com/spreadsheets/d/18DfrIzhC5fA8A-r3adxOOCzrHWwbHYufiN01iEToBGk/edit#gid=1015091678"",""Inportant calculator!C$50"")"),"")</f>
        <v/>
      </c>
    </row>
    <row r="319">
      <c r="A319" s="7" t="s">
        <v>364</v>
      </c>
      <c r="B319" s="60">
        <f t="array" ref="B319">INDEX(Backlog!$A$2:$E1000,MATCH(A319,Backlog!$A$2:A319,0),2)</f>
        <v>123</v>
      </c>
      <c r="C319" s="61">
        <f t="array" ref="C319">INDEX(Backlog!$A$2:$E1000,MATCH(A319,Backlog!$A$2:A319,0),3)</f>
        <v>19.77504744</v>
      </c>
      <c r="D319" s="61">
        <f t="array" ref="D319">INDEX(Backlog!$A$2:$M1000,MATCH(A319,Backlog!$A$2:A1000,0),13)</f>
        <v>6.219959795</v>
      </c>
      <c r="E319" s="57" t="str">
        <f t="shared" si="1"/>
        <v>#DIV/0!</v>
      </c>
      <c r="F319" s="4" t="str">
        <f>IFERROR(__xludf.DUMMYFUNCTION("IMPORTRANGE(""https://docs.google.com/spreadsheets/d/18DfrIzhC5fA8A-r3adxOOCzrHWwbHYufiN01iEToBGk/edit#gid=1015091678"",""Inportant calculator!C$50"")"),"")</f>
        <v/>
      </c>
    </row>
    <row r="320">
      <c r="A320" s="7" t="s">
        <v>365</v>
      </c>
      <c r="B320" s="60">
        <f t="array" ref="B320">INDEX(Backlog!$A$2:$E1000,MATCH(A320,Backlog!$A$2:A320,0),2)</f>
        <v>70</v>
      </c>
      <c r="C320" s="61">
        <f t="array" ref="C320">INDEX(Backlog!$A$2:$E1000,MATCH(A320,Backlog!$A$2:A320,0),3)</f>
        <v>11.25409204</v>
      </c>
      <c r="D320" s="61">
        <f t="array" ref="D320">INDEX(Backlog!$A$2:$M1000,MATCH(A320,Backlog!$A$2:A1000,0),13)</f>
        <v>6.219959795</v>
      </c>
      <c r="E320" s="57" t="str">
        <f t="shared" si="1"/>
        <v>#DIV/0!</v>
      </c>
      <c r="F320" s="4" t="str">
        <f>IFERROR(__xludf.DUMMYFUNCTION("IMPORTRANGE(""https://docs.google.com/spreadsheets/d/18DfrIzhC5fA8A-r3adxOOCzrHWwbHYufiN01iEToBGk/edit#gid=1015091678"",""Inportant calculator!C$50"")"),"")</f>
        <v/>
      </c>
    </row>
    <row r="321">
      <c r="A321" s="18" t="s">
        <v>366</v>
      </c>
      <c r="B321" s="60">
        <f t="array" ref="B321">INDEX(Backlog!$A$2:$E1000,MATCH(A321,Backlog!$A$2:A321,0),2)</f>
        <v>66</v>
      </c>
      <c r="C321" s="61">
        <f t="array" ref="C321">INDEX(Backlog!$A$2:$E1000,MATCH(A321,Backlog!$A$2:A321,0),3)</f>
        <v>10.61100106</v>
      </c>
      <c r="D321" s="61">
        <f t="array" ref="D321">INDEX(Backlog!$A$2:$M1000,MATCH(A321,Backlog!$A$2:A1000,0),13)</f>
        <v>6.219959795</v>
      </c>
      <c r="E321" s="57" t="str">
        <f t="shared" si="1"/>
        <v>#DIV/0!</v>
      </c>
      <c r="F321" s="4" t="str">
        <f>IFERROR(__xludf.DUMMYFUNCTION("IMPORTRANGE(""https://docs.google.com/spreadsheets/d/18DfrIzhC5fA8A-r3adxOOCzrHWwbHYufiN01iEToBGk/edit#gid=1015091678"",""Inportant calculator!C$50"")"),"")</f>
        <v/>
      </c>
    </row>
    <row r="322">
      <c r="A322" s="7" t="s">
        <v>367</v>
      </c>
      <c r="B322" s="60">
        <f t="array" ref="B322">INDEX(Backlog!$A$2:$E1000,MATCH(A322,Backlog!$A$2:A322,0),2)</f>
        <v>34</v>
      </c>
      <c r="C322" s="61">
        <f t="array" ref="C322">INDEX(Backlog!$A$2:$E1000,MATCH(A322,Backlog!$A$2:A322,0),3)</f>
        <v>5.466273275</v>
      </c>
      <c r="D322" s="61">
        <f t="array" ref="D322">INDEX(Backlog!$A$2:$M1000,MATCH(A322,Backlog!$A$2:A1000,0),13)</f>
        <v>6.219959795</v>
      </c>
      <c r="E322" s="57" t="str">
        <f t="shared" si="1"/>
        <v>#DIV/0!</v>
      </c>
      <c r="F322" s="4" t="str">
        <f>IFERROR(__xludf.DUMMYFUNCTION("IMPORTRANGE(""https://docs.google.com/spreadsheets/d/18DfrIzhC5fA8A-r3adxOOCzrHWwbHYufiN01iEToBGk/edit#gid=1015091678"",""Inportant calculator!C$50"")"),"")</f>
        <v/>
      </c>
    </row>
    <row r="323">
      <c r="A323" s="7" t="s">
        <v>369</v>
      </c>
      <c r="B323" s="60">
        <f t="array" ref="B323">INDEX(Backlog!$A$2:$E1000,MATCH(A323,Backlog!$A$2:A323,0),2)</f>
        <v>29</v>
      </c>
      <c r="C323" s="61">
        <f t="array" ref="C323">INDEX(Backlog!$A$2:$E1000,MATCH(A323,Backlog!$A$2:A323,0),3)</f>
        <v>4.662409558</v>
      </c>
      <c r="D323" s="61">
        <f t="array" ref="D323">INDEX(Backlog!$A$2:$M1000,MATCH(A323,Backlog!$A$2:A1000,0),13)</f>
        <v>6.219959795</v>
      </c>
      <c r="E323" s="57" t="str">
        <f t="shared" si="1"/>
        <v>#DIV/0!</v>
      </c>
      <c r="F323" s="4" t="str">
        <f>IFERROR(__xludf.DUMMYFUNCTION("IMPORTRANGE(""https://docs.google.com/spreadsheets/d/18DfrIzhC5fA8A-r3adxOOCzrHWwbHYufiN01iEToBGk/edit#gid=1015091678"",""Inportant calculator!C$50"")"),"")</f>
        <v/>
      </c>
    </row>
    <row r="324">
      <c r="A324" s="7" t="s">
        <v>370</v>
      </c>
      <c r="B324" s="60">
        <f t="array" ref="B324">INDEX(Backlog!$A$2:$E1000,MATCH(A324,Backlog!$A$2:A324,0),2)</f>
        <v>12</v>
      </c>
      <c r="C324" s="61">
        <f t="array" ref="C324">INDEX(Backlog!$A$2:$E1000,MATCH(A324,Backlog!$A$2:A324,0),3)</f>
        <v>1.929272921</v>
      </c>
      <c r="D324" s="61">
        <f t="array" ref="D324">INDEX(Backlog!$A$2:$M1000,MATCH(A324,Backlog!$A$2:A1000,0),13)</f>
        <v>6.219959795</v>
      </c>
      <c r="E324" s="57" t="str">
        <f t="shared" si="1"/>
        <v>#DIV/0!</v>
      </c>
      <c r="F324" s="4" t="str">
        <f>IFERROR(__xludf.DUMMYFUNCTION("IMPORTRANGE(""https://docs.google.com/spreadsheets/d/18DfrIzhC5fA8A-r3adxOOCzrHWwbHYufiN01iEToBGk/edit#gid=1015091678"",""Inportant calculator!C$50"")"),"")</f>
        <v/>
      </c>
    </row>
    <row r="325">
      <c r="A325" s="18" t="s">
        <v>371</v>
      </c>
      <c r="B325" s="60">
        <f t="array" ref="B325">INDEX(Backlog!$A$2:$E1000,MATCH(A325,Backlog!$A$2:A325,0),2)</f>
        <v>23</v>
      </c>
      <c r="C325" s="61">
        <f t="array" ref="C325">INDEX(Backlog!$A$2:$E1000,MATCH(A325,Backlog!$A$2:A325,0),3)</f>
        <v>3.697773098</v>
      </c>
      <c r="D325" s="61">
        <f t="array" ref="D325">INDEX(Backlog!$A$2:$M1000,MATCH(A325,Backlog!$A$2:A1000,0),13)</f>
        <v>6.219959795</v>
      </c>
      <c r="E325" s="57" t="str">
        <f t="shared" si="1"/>
        <v>#DIV/0!</v>
      </c>
      <c r="F325" s="4" t="str">
        <f>IFERROR(__xludf.DUMMYFUNCTION("IMPORTRANGE(""https://docs.google.com/spreadsheets/d/18DfrIzhC5fA8A-r3adxOOCzrHWwbHYufiN01iEToBGk/edit#gid=1015091678"",""Inportant calculator!C$50"")"),"")</f>
        <v/>
      </c>
    </row>
    <row r="326">
      <c r="A326" s="7" t="s">
        <v>372</v>
      </c>
      <c r="B326" s="60">
        <f t="array" ref="B326">INDEX(Backlog!$A$2:$E1000,MATCH(A326,Backlog!$A$2:A326,0),2)</f>
        <v>35</v>
      </c>
      <c r="C326" s="61">
        <f t="array" ref="C326">INDEX(Backlog!$A$2:$E1000,MATCH(A326,Backlog!$A$2:A326,0),3)</f>
        <v>5.627046018</v>
      </c>
      <c r="D326" s="61">
        <f t="array" ref="D326">INDEX(Backlog!$A$2:$M1000,MATCH(A326,Backlog!$A$2:A1000,0),13)</f>
        <v>6.219959795</v>
      </c>
      <c r="E326" s="57" t="str">
        <f t="shared" si="1"/>
        <v>#DIV/0!</v>
      </c>
      <c r="F326" s="4" t="str">
        <f>IFERROR(__xludf.DUMMYFUNCTION("IMPORTRANGE(""https://docs.google.com/spreadsheets/d/18DfrIzhC5fA8A-r3adxOOCzrHWwbHYufiN01iEToBGk/edit#gid=1015091678"",""Inportant calculator!C$50"")"),"")</f>
        <v/>
      </c>
    </row>
    <row r="327">
      <c r="A327" s="7" t="s">
        <v>373</v>
      </c>
      <c r="B327" s="60">
        <f t="array" ref="B327">INDEX(Backlog!$A$2:$E1000,MATCH(A327,Backlog!$A$2:A327,0),2)</f>
        <v>20</v>
      </c>
      <c r="C327" s="61">
        <f t="array" ref="C327">INDEX(Backlog!$A$2:$E1000,MATCH(A327,Backlog!$A$2:A327,0),3)</f>
        <v>3.215454868</v>
      </c>
      <c r="D327" s="61">
        <f t="array" ref="D327">INDEX(Backlog!$A$2:$M1000,MATCH(A327,Backlog!$A$2:A1000,0),13)</f>
        <v>6.219959795</v>
      </c>
      <c r="E327" s="57" t="str">
        <f t="shared" si="1"/>
        <v>#DIV/0!</v>
      </c>
      <c r="F327" s="4" t="str">
        <f>IFERROR(__xludf.DUMMYFUNCTION("IMPORTRANGE(""https://docs.google.com/spreadsheets/d/18DfrIzhC5fA8A-r3adxOOCzrHWwbHYufiN01iEToBGk/edit#gid=1015091678"",""Inportant calculator!C$50"")"),"")</f>
        <v/>
      </c>
    </row>
    <row r="328">
      <c r="A328" s="7" t="s">
        <v>374</v>
      </c>
      <c r="B328" s="60">
        <f t="array" ref="B328">INDEX(Backlog!$A$2:$E1000,MATCH(A328,Backlog!$A$2:A328,0),2)</f>
        <v>31</v>
      </c>
      <c r="C328" s="61">
        <f t="array" ref="C328">INDEX(Backlog!$A$2:$E1000,MATCH(A328,Backlog!$A$2:A328,0),3)</f>
        <v>4.983955045</v>
      </c>
      <c r="D328" s="61">
        <f t="array" ref="D328">INDEX(Backlog!$A$2:$M1000,MATCH(A328,Backlog!$A$2:A1000,0),13)</f>
        <v>6.219959795</v>
      </c>
      <c r="E328" s="57" t="str">
        <f t="shared" si="1"/>
        <v>#DIV/0!</v>
      </c>
      <c r="F328" s="4" t="str">
        <f>IFERROR(__xludf.DUMMYFUNCTION("IMPORTRANGE(""https://docs.google.com/spreadsheets/d/18DfrIzhC5fA8A-r3adxOOCzrHWwbHYufiN01iEToBGk/edit#gid=1015091678"",""Inportant calculator!C$50"")"),"")</f>
        <v/>
      </c>
    </row>
    <row r="329">
      <c r="A329" s="7" t="s">
        <v>375</v>
      </c>
      <c r="B329" s="60">
        <f t="array" ref="B329">INDEX(Backlog!$A$2:$E1000,MATCH(A329,Backlog!$A$2:A329,0),2)</f>
        <v>34</v>
      </c>
      <c r="C329" s="61">
        <f t="array" ref="C329">INDEX(Backlog!$A$2:$E1000,MATCH(A329,Backlog!$A$2:A329,0),3)</f>
        <v>5.466273275</v>
      </c>
      <c r="D329" s="61">
        <f t="array" ref="D329">INDEX(Backlog!$A$2:$M1000,MATCH(A329,Backlog!$A$2:A1000,0),13)</f>
        <v>6.219959795</v>
      </c>
      <c r="E329" s="57" t="str">
        <f t="shared" si="1"/>
        <v>#DIV/0!</v>
      </c>
      <c r="F329" s="4" t="str">
        <f>IFERROR(__xludf.DUMMYFUNCTION("IMPORTRANGE(""https://docs.google.com/spreadsheets/d/18DfrIzhC5fA8A-r3adxOOCzrHWwbHYufiN01iEToBGk/edit#gid=1015091678"",""Inportant calculator!C$50"")"),"")</f>
        <v/>
      </c>
    </row>
    <row r="330">
      <c r="A330" s="7" t="s">
        <v>376</v>
      </c>
      <c r="B330" s="60">
        <f t="array" ref="B330">INDEX(Backlog!$A$2:$E1000,MATCH(A330,Backlog!$A$2:A330,0),2)</f>
        <v>54</v>
      </c>
      <c r="C330" s="61">
        <f t="array" ref="C330">INDEX(Backlog!$A$2:$E1000,MATCH(A330,Backlog!$A$2:A330,0),3)</f>
        <v>8.681728142</v>
      </c>
      <c r="D330" s="61">
        <f t="array" ref="D330">INDEX(Backlog!$A$2:$M1000,MATCH(A330,Backlog!$A$2:A1000,0),13)</f>
        <v>6.219959795</v>
      </c>
      <c r="E330" s="57" t="str">
        <f t="shared" si="1"/>
        <v>#DIV/0!</v>
      </c>
      <c r="F330" s="4" t="str">
        <f>IFERROR(__xludf.DUMMYFUNCTION("IMPORTRANGE(""https://docs.google.com/spreadsheets/d/18DfrIzhC5fA8A-r3adxOOCzrHWwbHYufiN01iEToBGk/edit#gid=1015091678"",""Inportant calculator!C$50"")"),"")</f>
        <v/>
      </c>
    </row>
    <row r="331">
      <c r="A331" s="7" t="s">
        <v>377</v>
      </c>
      <c r="B331" s="60">
        <f t="array" ref="B331">INDEX(Backlog!$A$2:$E1000,MATCH(A331,Backlog!$A$2:A331,0),2)</f>
        <v>25</v>
      </c>
      <c r="C331" s="61">
        <f t="array" ref="C331">INDEX(Backlog!$A$2:$E1000,MATCH(A331,Backlog!$A$2:A331,0),3)</f>
        <v>4.019318584</v>
      </c>
      <c r="D331" s="61">
        <f t="array" ref="D331">INDEX(Backlog!$A$2:$M1000,MATCH(A331,Backlog!$A$2:A1000,0),13)</f>
        <v>6.219959795</v>
      </c>
      <c r="E331" s="57" t="str">
        <f t="shared" si="1"/>
        <v>#DIV/0!</v>
      </c>
      <c r="F331" s="4" t="str">
        <f>IFERROR(__xludf.DUMMYFUNCTION("IMPORTRANGE(""https://docs.google.com/spreadsheets/d/18DfrIzhC5fA8A-r3adxOOCzrHWwbHYufiN01iEToBGk/edit#gid=1015091678"",""Inportant calculator!C$50"")"),"")</f>
        <v/>
      </c>
    </row>
    <row r="332">
      <c r="A332" s="7" t="s">
        <v>378</v>
      </c>
      <c r="B332" s="60">
        <f t="array" ref="B332">INDEX(Backlog!$A$2:$E1000,MATCH(A332,Backlog!$A$2:A332,0),2)</f>
        <v>34</v>
      </c>
      <c r="C332" s="61">
        <f t="array" ref="C332">INDEX(Backlog!$A$2:$E1000,MATCH(A332,Backlog!$A$2:A332,0),3)</f>
        <v>5.466273275</v>
      </c>
      <c r="D332" s="61">
        <f t="array" ref="D332">INDEX(Backlog!$A$2:$M1000,MATCH(A332,Backlog!$A$2:A1000,0),13)</f>
        <v>6.219959795</v>
      </c>
      <c r="E332" s="57" t="str">
        <f t="shared" si="1"/>
        <v>#DIV/0!</v>
      </c>
      <c r="F332" s="4" t="str">
        <f>IFERROR(__xludf.DUMMYFUNCTION("IMPORTRANGE(""https://docs.google.com/spreadsheets/d/18DfrIzhC5fA8A-r3adxOOCzrHWwbHYufiN01iEToBGk/edit#gid=1015091678"",""Inportant calculator!C$50"")"),"")</f>
        <v/>
      </c>
    </row>
    <row r="333">
      <c r="A333" s="18" t="s">
        <v>379</v>
      </c>
      <c r="B333" s="60">
        <f t="array" ref="B333">INDEX(Backlog!$A$2:$E1000,MATCH(A333,Backlog!$A$2:A333,0),2)</f>
        <v>38</v>
      </c>
      <c r="C333" s="61">
        <f t="array" ref="C333">INDEX(Backlog!$A$2:$E1000,MATCH(A333,Backlog!$A$2:A333,0),3)</f>
        <v>6.109364248</v>
      </c>
      <c r="D333" s="61">
        <f t="array" ref="D333">INDEX(Backlog!$A$2:$M1000,MATCH(A333,Backlog!$A$2:A1000,0),13)</f>
        <v>6.219959795</v>
      </c>
      <c r="E333" s="57" t="str">
        <f t="shared" si="1"/>
        <v>#DIV/0!</v>
      </c>
      <c r="F333" s="4" t="str">
        <f>IFERROR(__xludf.DUMMYFUNCTION("IMPORTRANGE(""https://docs.google.com/spreadsheets/d/18DfrIzhC5fA8A-r3adxOOCzrHWwbHYufiN01iEToBGk/edit#gid=1015091678"",""Inportant calculator!C$50"")"),"")</f>
        <v/>
      </c>
    </row>
    <row r="334">
      <c r="A334" s="7" t="s">
        <v>380</v>
      </c>
      <c r="B334" s="60">
        <f t="array" ref="B334">INDEX(Backlog!$A$2:$E1000,MATCH(A334,Backlog!$A$2:A334,0),2)</f>
        <v>36</v>
      </c>
      <c r="C334" s="61">
        <f t="array" ref="C334">INDEX(Backlog!$A$2:$E1000,MATCH(A334,Backlog!$A$2:A334,0),3)</f>
        <v>5.787818762</v>
      </c>
      <c r="D334" s="61">
        <f t="array" ref="D334">INDEX(Backlog!$A$2:$M1000,MATCH(A334,Backlog!$A$2:A1000,0),13)</f>
        <v>6.219959795</v>
      </c>
      <c r="E334" s="57" t="str">
        <f t="shared" si="1"/>
        <v>#DIV/0!</v>
      </c>
      <c r="F334" s="4" t="str">
        <f>IFERROR(__xludf.DUMMYFUNCTION("IMPORTRANGE(""https://docs.google.com/spreadsheets/d/18DfrIzhC5fA8A-r3adxOOCzrHWwbHYufiN01iEToBGk/edit#gid=1015091678"",""Inportant calculator!C$50"")"),"")</f>
        <v/>
      </c>
    </row>
    <row r="335">
      <c r="A335" s="4" t="s">
        <v>381</v>
      </c>
      <c r="B335" s="60">
        <f t="array" ref="B335">INDEX(Backlog!$A$2:$E1000,MATCH(A335,Backlog!$A$2:A335,0),2)</f>
        <v>52</v>
      </c>
      <c r="C335" s="61">
        <f t="array" ref="C335">INDEX(Backlog!$A$2:$E1000,MATCH(A335,Backlog!$A$2:A335,0),3)</f>
        <v>8.360182656</v>
      </c>
      <c r="D335" s="61">
        <f t="array" ref="D335">INDEX(Backlog!$A$2:$M1000,MATCH(A335,Backlog!$A$2:A1000,0),13)</f>
        <v>6.219959795</v>
      </c>
      <c r="E335" s="57" t="str">
        <f t="shared" si="1"/>
        <v>#DIV/0!</v>
      </c>
      <c r="F335" s="4" t="str">
        <f>IFERROR(__xludf.DUMMYFUNCTION("IMPORTRANGE(""https://docs.google.com/spreadsheets/d/18DfrIzhC5fA8A-r3adxOOCzrHWwbHYufiN01iEToBGk/edit#gid=1015091678"",""Inportant calculator!C$50"")"),"")</f>
        <v/>
      </c>
    </row>
    <row r="336">
      <c r="A336" s="4" t="s">
        <v>382</v>
      </c>
      <c r="B336" s="60">
        <f t="array" ref="B336">INDEX(Backlog!$A$2:$E1000,MATCH(A336,Backlog!$A$2:A336,0),2)</f>
        <v>17</v>
      </c>
      <c r="C336" s="61">
        <f t="array" ref="C336">INDEX(Backlog!$A$2:$E1000,MATCH(A336,Backlog!$A$2:A336,0),3)</f>
        <v>2.733136637</v>
      </c>
      <c r="D336" s="61">
        <f t="array" ref="D336">INDEX(Backlog!$A$2:$M1000,MATCH(A336,Backlog!$A$2:A1000,0),13)</f>
        <v>6.219959795</v>
      </c>
      <c r="E336" s="57" t="str">
        <f t="shared" si="1"/>
        <v>#DIV/0!</v>
      </c>
      <c r="F336" s="4" t="str">
        <f>IFERROR(__xludf.DUMMYFUNCTION("IMPORTRANGE(""https://docs.google.com/spreadsheets/d/18DfrIzhC5fA8A-r3adxOOCzrHWwbHYufiN01iEToBGk/edit#gid=1015091678"",""Inportant calculator!C$50"")"),"")</f>
        <v/>
      </c>
    </row>
    <row r="337">
      <c r="A337" s="4" t="s">
        <v>383</v>
      </c>
      <c r="B337" s="60">
        <f t="array" ref="B337">INDEX(Backlog!$A$2:$E1000,MATCH(A337,Backlog!$A$2:A337,0),2)</f>
        <v>6.5</v>
      </c>
      <c r="C337" s="61">
        <f t="array" ref="C337">INDEX(Backlog!$A$2:$E1000,MATCH(A337,Backlog!$A$2:A337,0),3)</f>
        <v>1.045022832</v>
      </c>
      <c r="D337" s="61">
        <f t="array" ref="D337">INDEX(Backlog!$A$2:$M1000,MATCH(A337,Backlog!$A$2:A1000,0),13)</f>
        <v>6.219959795</v>
      </c>
      <c r="E337" s="57" t="str">
        <f t="shared" si="1"/>
        <v>#DIV/0!</v>
      </c>
      <c r="F337" s="4" t="str">
        <f>IFERROR(__xludf.DUMMYFUNCTION("IMPORTRANGE(""https://docs.google.com/spreadsheets/d/18DfrIzhC5fA8A-r3adxOOCzrHWwbHYufiN01iEToBGk/edit#gid=1015091678"",""Inportant calculator!C$50"")"),"")</f>
        <v/>
      </c>
    </row>
    <row r="338">
      <c r="A338" s="4" t="s">
        <v>384</v>
      </c>
      <c r="B338" s="60">
        <f t="array" ref="B338">INDEX(Backlog!$A$2:$E1000,MATCH(A338,Backlog!$A$2:A338,0),2)</f>
        <v>40</v>
      </c>
      <c r="C338" s="61">
        <f t="array" ref="C338">INDEX(Backlog!$A$2:$E1000,MATCH(A338,Backlog!$A$2:A338,0),3)</f>
        <v>6.430909735</v>
      </c>
      <c r="D338" s="61">
        <f t="array" ref="D338">INDEX(Backlog!$A$2:$M1000,MATCH(A338,Backlog!$A$2:A1000,0),13)</f>
        <v>6.219959795</v>
      </c>
      <c r="E338" s="57" t="str">
        <f t="shared" si="1"/>
        <v>#DIV/0!</v>
      </c>
      <c r="F338" s="4" t="str">
        <f>IFERROR(__xludf.DUMMYFUNCTION("IMPORTRANGE(""https://docs.google.com/spreadsheets/d/18DfrIzhC5fA8A-r3adxOOCzrHWwbHYufiN01iEToBGk/edit#gid=1015091678"",""Inportant calculator!C$50"")"),"")</f>
        <v/>
      </c>
    </row>
    <row r="339">
      <c r="A339" s="4" t="s">
        <v>385</v>
      </c>
      <c r="B339" s="60">
        <f t="array" ref="B339">INDEX(Backlog!$A$2:$E1000,MATCH(A339,Backlog!$A$2:A339,0),2)</f>
        <v>144</v>
      </c>
      <c r="C339" s="61">
        <f t="array" ref="C339">INDEX(Backlog!$A$2:$E1000,MATCH(A339,Backlog!$A$2:A339,0),3)</f>
        <v>23.15127505</v>
      </c>
      <c r="D339" s="61">
        <f t="array" ref="D339">INDEX(Backlog!$A$2:$M1000,MATCH(A339,Backlog!$A$2:A1000,0),13)</f>
        <v>6.219959795</v>
      </c>
      <c r="E339" s="57" t="str">
        <f t="shared" si="1"/>
        <v>#DIV/0!</v>
      </c>
      <c r="F339" s="4" t="str">
        <f>IFERROR(__xludf.DUMMYFUNCTION("IMPORTRANGE(""https://docs.google.com/spreadsheets/d/18DfrIzhC5fA8A-r3adxOOCzrHWwbHYufiN01iEToBGk/edit#gid=1015091678"",""Inportant calculator!C$50"")"),"")</f>
        <v/>
      </c>
    </row>
    <row r="340">
      <c r="A340" s="4" t="s">
        <v>386</v>
      </c>
      <c r="B340" s="60">
        <f t="array" ref="B340">INDEX(Backlog!$A$2:$E1000,MATCH(A340,Backlog!$A$2:A340,0),2)</f>
        <v>40</v>
      </c>
      <c r="C340" s="61">
        <f t="array" ref="C340">INDEX(Backlog!$A$2:$E1000,MATCH(A340,Backlog!$A$2:A340,0),3)</f>
        <v>6.430909735</v>
      </c>
      <c r="D340" s="61">
        <f t="array" ref="D340">INDEX(Backlog!$A$2:$M1000,MATCH(A340,Backlog!$A$2:A1000,0),13)</f>
        <v>6.219959795</v>
      </c>
      <c r="E340" s="57" t="str">
        <f t="shared" si="1"/>
        <v>#DIV/0!</v>
      </c>
      <c r="F340" s="4" t="str">
        <f>IFERROR(__xludf.DUMMYFUNCTION("IMPORTRANGE(""https://docs.google.com/spreadsheets/d/18DfrIzhC5fA8A-r3adxOOCzrHWwbHYufiN01iEToBGk/edit#gid=1015091678"",""Inportant calculator!C$50"")"),"")</f>
        <v/>
      </c>
    </row>
    <row r="341">
      <c r="A341" s="4" t="s">
        <v>387</v>
      </c>
      <c r="B341" s="60">
        <f t="array" ref="B341">INDEX(Backlog!$A$2:$E1000,MATCH(A341,Backlog!$A$2:A341,0),2)</f>
        <v>70</v>
      </c>
      <c r="C341" s="61">
        <f t="array" ref="C341">INDEX(Backlog!$A$2:$E1000,MATCH(A341,Backlog!$A$2:A341,0),3)</f>
        <v>11.25409204</v>
      </c>
      <c r="D341" s="61">
        <f t="array" ref="D341">INDEX(Backlog!$A$2:$M1000,MATCH(A341,Backlog!$A$2:A1000,0),13)</f>
        <v>6.219959795</v>
      </c>
      <c r="E341" s="57" t="str">
        <f t="shared" si="1"/>
        <v>#DIV/0!</v>
      </c>
      <c r="F341" s="4" t="str">
        <f>IFERROR(__xludf.DUMMYFUNCTION("IMPORTRANGE(""https://docs.google.com/spreadsheets/d/18DfrIzhC5fA8A-r3adxOOCzrHWwbHYufiN01iEToBGk/edit#gid=1015091678"",""Inportant calculator!C$50"")"),"")</f>
        <v/>
      </c>
    </row>
    <row r="342">
      <c r="A342" s="4" t="s">
        <v>389</v>
      </c>
      <c r="B342" s="60">
        <f t="array" ref="B342">INDEX(Backlog!$A$2:$E1000,MATCH(A342,Backlog!$A$2:A342,0),2)</f>
        <v>170</v>
      </c>
      <c r="C342" s="61">
        <f t="array" ref="C342">INDEX(Backlog!$A$2:$E1000,MATCH(A342,Backlog!$A$2:A342,0),3)</f>
        <v>27.33136637</v>
      </c>
      <c r="D342" s="61">
        <f t="array" ref="D342">INDEX(Backlog!$A$2:$M1000,MATCH(A342,Backlog!$A$2:A1000,0),13)</f>
        <v>6.219959795</v>
      </c>
      <c r="E342" s="57" t="str">
        <f t="shared" si="1"/>
        <v>#DIV/0!</v>
      </c>
      <c r="F342" s="4" t="str">
        <f>IFERROR(__xludf.DUMMYFUNCTION("IMPORTRANGE(""https://docs.google.com/spreadsheets/d/18DfrIzhC5fA8A-r3adxOOCzrHWwbHYufiN01iEToBGk/edit#gid=1015091678"",""Inportant calculator!C$50"")"),"")</f>
        <v/>
      </c>
    </row>
    <row r="343">
      <c r="C343" s="60"/>
      <c r="D343" s="60"/>
    </row>
    <row r="344">
      <c r="C344" s="60"/>
      <c r="D344" s="60"/>
    </row>
  </sheetData>
  <drawing r:id="rId1"/>
</worksheet>
</file>