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rybrown/Downloads/STOCK MODELS /"/>
    </mc:Choice>
  </mc:AlternateContent>
  <xr:revisionPtr revIDLastSave="0" documentId="13_ncr:1_{E56AE25B-58F9-3840-A2E1-2E4DDBC71D2B}" xr6:coauthVersionLast="47" xr6:coauthVersionMax="47" xr10:uidLastSave="{00000000-0000-0000-0000-000000000000}"/>
  <bookViews>
    <workbookView xWindow="30200" yWindow="480" windowWidth="29960" windowHeight="33360" activeTab="1" xr2:uid="{10333E5C-012F-2B49-B839-78ED33A414BB}"/>
  </bookViews>
  <sheets>
    <sheet name="main" sheetId="1" r:id="rId1"/>
    <sheet name="model" sheetId="2" r:id="rId2"/>
    <sheet name="manufacturing" sheetId="3" r:id="rId3"/>
    <sheet name="IP_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48" i="2" l="1"/>
  <c r="AU47" i="2"/>
  <c r="AU46" i="2"/>
  <c r="AU44" i="2"/>
  <c r="AU45" i="2"/>
  <c r="AU38" i="2"/>
  <c r="AU37" i="2"/>
  <c r="AE38" i="2" s="1"/>
  <c r="AU36" i="2"/>
  <c r="AU35" i="2"/>
  <c r="AT20" i="2"/>
  <c r="AT38" i="2"/>
  <c r="AT37" i="2"/>
  <c r="AT36" i="2"/>
  <c r="AT35" i="2"/>
  <c r="AS38" i="2"/>
  <c r="AS37" i="2"/>
  <c r="AS36" i="2"/>
  <c r="AS35" i="2"/>
  <c r="AR38" i="2"/>
  <c r="AR37" i="2"/>
  <c r="AR36" i="2"/>
  <c r="AR35" i="2"/>
  <c r="AQ38" i="2"/>
  <c r="AQ37" i="2"/>
  <c r="AQ36" i="2"/>
  <c r="AQ35" i="2"/>
  <c r="AP38" i="2"/>
  <c r="AP37" i="2"/>
  <c r="AP36" i="2"/>
  <c r="AP35" i="2"/>
  <c r="AE35" i="2"/>
  <c r="AE36" i="2"/>
  <c r="G20" i="2"/>
  <c r="H20" i="2"/>
  <c r="AE37" i="2"/>
  <c r="AT9" i="2"/>
  <c r="AS50" i="2" l="1"/>
  <c r="AR50" i="2"/>
  <c r="AQ50" i="2"/>
  <c r="AP50" i="2"/>
  <c r="AP51" i="2"/>
  <c r="AT50" i="2"/>
  <c r="AS49" i="2"/>
  <c r="AT49" i="2"/>
  <c r="AT48" i="2"/>
  <c r="AS48" i="2"/>
  <c r="AT47" i="2"/>
  <c r="AT46" i="2"/>
  <c r="AR47" i="2"/>
  <c r="AR46" i="2"/>
  <c r="AR48" i="2"/>
  <c r="AR49" i="2"/>
  <c r="AQ49" i="2"/>
  <c r="AP49" i="2"/>
  <c r="AP47" i="2"/>
  <c r="AP46" i="2"/>
  <c r="AP45" i="2"/>
  <c r="AQ47" i="2"/>
  <c r="AQ46" i="2"/>
  <c r="AP48" i="2"/>
  <c r="AQ48" i="2"/>
  <c r="AS47" i="2"/>
  <c r="AS46" i="2"/>
  <c r="AT45" i="2"/>
  <c r="AS45" i="2"/>
  <c r="AR45" i="2"/>
  <c r="AQ45" i="2"/>
  <c r="AK51" i="2"/>
  <c r="AL51" i="2"/>
  <c r="AJ51" i="2"/>
  <c r="AD79" i="2"/>
  <c r="AC79" i="2"/>
  <c r="W94" i="2"/>
  <c r="W115" i="2"/>
  <c r="U115" i="2"/>
  <c r="S115" i="2"/>
  <c r="T115" i="2"/>
  <c r="AD20" i="2"/>
  <c r="AC20" i="2"/>
  <c r="AB20" i="2"/>
  <c r="AA9" i="2"/>
  <c r="AC9" i="2"/>
  <c r="H131" i="2" l="1"/>
  <c r="D130" i="2"/>
  <c r="E130" i="2" s="1"/>
  <c r="F130" i="2" s="1"/>
  <c r="G130" i="2" s="1"/>
  <c r="H137" i="2"/>
  <c r="H136" i="2"/>
  <c r="H143" i="2"/>
  <c r="D135" i="2"/>
  <c r="E135" i="2" s="1"/>
  <c r="F135" i="2" s="1"/>
  <c r="G135" i="2" s="1"/>
  <c r="H142" i="2"/>
  <c r="D141" i="2"/>
  <c r="E141" i="2" s="1"/>
  <c r="F141" i="2" s="1"/>
  <c r="G141" i="2" s="1"/>
  <c r="AA94" i="2"/>
  <c r="AB95" i="2"/>
  <c r="AB94" i="2" s="1"/>
  <c r="AB114" i="2"/>
  <c r="AB110" i="2"/>
  <c r="AA114" i="2"/>
  <c r="AA111" i="2"/>
  <c r="AB111" i="2" s="1"/>
  <c r="AA110" i="2"/>
  <c r="AA115" i="2" s="1"/>
  <c r="Z114" i="2"/>
  <c r="Z112" i="2"/>
  <c r="Z115" i="2" s="1"/>
  <c r="AA103" i="2"/>
  <c r="AA106" i="2" s="1"/>
  <c r="Z105" i="2"/>
  <c r="Z95" i="2"/>
  <c r="Z106" i="2" s="1"/>
  <c r="W106" i="2"/>
  <c r="AB115" i="2" l="1"/>
  <c r="AB103" i="2"/>
  <c r="AB106" i="2"/>
  <c r="Z94" i="2"/>
  <c r="O20" i="2"/>
  <c r="R42" i="2"/>
  <c r="R20" i="2" s="1"/>
  <c r="Q42" i="2"/>
  <c r="Q20" i="2" s="1"/>
  <c r="P42" i="2"/>
  <c r="P20" i="2" s="1"/>
  <c r="O42" i="2"/>
  <c r="N42" i="2"/>
  <c r="M42" i="2"/>
  <c r="L42" i="2"/>
  <c r="AM9" i="2" l="1"/>
  <c r="Y9" i="2"/>
  <c r="K6" i="1"/>
  <c r="K11" i="1"/>
  <c r="S106" i="2"/>
  <c r="U104" i="2"/>
  <c r="T104" i="2"/>
  <c r="T106" i="2" s="1"/>
  <c r="U95" i="2"/>
  <c r="T95" i="2"/>
  <c r="S95" i="2"/>
  <c r="Q88" i="2"/>
  <c r="U106" i="2" l="1"/>
  <c r="G69" i="2"/>
  <c r="G37" i="2"/>
  <c r="G9" i="2"/>
  <c r="Q91" i="2"/>
  <c r="AB91" i="2"/>
  <c r="AC91" i="2"/>
  <c r="T90" i="2"/>
  <c r="U90" i="2" s="1"/>
  <c r="O88" i="2"/>
  <c r="O91" i="2" s="1"/>
  <c r="P88" i="2"/>
  <c r="P91" i="2" s="1"/>
  <c r="R88" i="2"/>
  <c r="R91" i="2" s="1"/>
  <c r="T88" i="2"/>
  <c r="V88" i="2"/>
  <c r="V91" i="2" s="1"/>
  <c r="W88" i="2"/>
  <c r="W91" i="2" s="1"/>
  <c r="AA88" i="2"/>
  <c r="AA91" i="2" s="1"/>
  <c r="N88" i="2"/>
  <c r="N91" i="2" s="1"/>
  <c r="S87" i="2"/>
  <c r="U87" i="2" s="1"/>
  <c r="U86" i="2"/>
  <c r="U85" i="2"/>
  <c r="U83" i="2"/>
  <c r="Z84" i="2"/>
  <c r="Z88" i="2" s="1"/>
  <c r="Z91" i="2" s="1"/>
  <c r="Y84" i="2"/>
  <c r="Y88" i="2" s="1"/>
  <c r="Y91" i="2" s="1"/>
  <c r="AB92" i="2" s="1"/>
  <c r="X84" i="2"/>
  <c r="X88" i="2" s="1"/>
  <c r="X91" i="2" s="1"/>
  <c r="U84" i="2"/>
  <c r="U82" i="2"/>
  <c r="U80" i="2"/>
  <c r="U81" i="2"/>
  <c r="L74" i="2"/>
  <c r="M74" i="2"/>
  <c r="O74" i="2"/>
  <c r="S74" i="2"/>
  <c r="W74" i="2"/>
  <c r="X74" i="2"/>
  <c r="Y74" i="2"/>
  <c r="AA74" i="2"/>
  <c r="AB74" i="2"/>
  <c r="AC74" i="2"/>
  <c r="K74" i="2"/>
  <c r="U88" i="2" l="1"/>
  <c r="U91" i="2"/>
  <c r="AA92" i="2"/>
  <c r="Y92" i="2"/>
  <c r="Z92" i="2"/>
  <c r="AC92" i="2"/>
  <c r="X92" i="2"/>
  <c r="R92" i="2"/>
  <c r="Q92" i="2"/>
  <c r="T91" i="2"/>
  <c r="W92" i="2" s="1"/>
  <c r="S88" i="2"/>
  <c r="S91" i="2" s="1"/>
  <c r="G38" i="2"/>
  <c r="K12" i="1"/>
  <c r="K13" i="1" s="1"/>
  <c r="K9" i="1"/>
  <c r="AD69" i="2"/>
  <c r="L69" i="2"/>
  <c r="K69" i="2"/>
  <c r="J69" i="2"/>
  <c r="H69" i="2"/>
  <c r="AC66" i="2"/>
  <c r="AB66" i="2"/>
  <c r="AA66" i="2"/>
  <c r="Y66" i="2"/>
  <c r="X66" i="2"/>
  <c r="W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W62" i="2"/>
  <c r="X62" i="2"/>
  <c r="Y62" i="2"/>
  <c r="Z62" i="2"/>
  <c r="AA62" i="2"/>
  <c r="AB62" i="2"/>
  <c r="AC62" i="2"/>
  <c r="G62" i="2"/>
  <c r="AD61" i="2"/>
  <c r="V61" i="2"/>
  <c r="V62" i="2" s="1"/>
  <c r="AD60" i="2"/>
  <c r="AD62" i="2" s="1"/>
  <c r="G53" i="2"/>
  <c r="G75" i="2" s="1"/>
  <c r="G48" i="2"/>
  <c r="G42" i="2"/>
  <c r="AC42" i="2"/>
  <c r="AB42" i="2"/>
  <c r="AA42" i="2"/>
  <c r="Z42" i="2"/>
  <c r="Y42" i="2"/>
  <c r="X42" i="2"/>
  <c r="W42" i="2"/>
  <c r="V42" i="2"/>
  <c r="U42" i="2"/>
  <c r="U20" i="2" s="1"/>
  <c r="T42" i="2"/>
  <c r="T20" i="2" s="1"/>
  <c r="S42" i="2"/>
  <c r="M20" i="2"/>
  <c r="K42" i="2"/>
  <c r="J42" i="2"/>
  <c r="J20" i="2" s="1"/>
  <c r="I42" i="2"/>
  <c r="I20" i="2" s="1"/>
  <c r="H42" i="2"/>
  <c r="AD41" i="2"/>
  <c r="AD40" i="2"/>
  <c r="AC37" i="2"/>
  <c r="AB37" i="2"/>
  <c r="AB38" i="2" s="1"/>
  <c r="AC38" i="2" s="1"/>
  <c r="AA37" i="2"/>
  <c r="AA38" i="2" s="1"/>
  <c r="Z37" i="2"/>
  <c r="Z72" i="2" s="1"/>
  <c r="Y37" i="2"/>
  <c r="Y38" i="2" s="1"/>
  <c r="X37" i="2"/>
  <c r="X38" i="2" s="1"/>
  <c r="W37" i="2"/>
  <c r="W38" i="2" s="1"/>
  <c r="V37" i="2"/>
  <c r="U37" i="2"/>
  <c r="U38" i="2" s="1"/>
  <c r="T37" i="2"/>
  <c r="T38" i="2" s="1"/>
  <c r="S37" i="2"/>
  <c r="S38" i="2" s="1"/>
  <c r="R37" i="2"/>
  <c r="Q37" i="2"/>
  <c r="P37" i="2"/>
  <c r="O37" i="2"/>
  <c r="O38" i="2" s="1"/>
  <c r="N37" i="2"/>
  <c r="M37" i="2"/>
  <c r="M38" i="2" s="1"/>
  <c r="L37" i="2"/>
  <c r="L38" i="2" s="1"/>
  <c r="K37" i="2"/>
  <c r="J37" i="2"/>
  <c r="J38" i="2" s="1"/>
  <c r="I37" i="2"/>
  <c r="I38" i="2" s="1"/>
  <c r="H37" i="2"/>
  <c r="H38" i="2" s="1"/>
  <c r="AD36" i="2"/>
  <c r="AD35" i="2"/>
  <c r="H9" i="2"/>
  <c r="I9" i="2"/>
  <c r="J9" i="2"/>
  <c r="K9" i="2"/>
  <c r="L9" i="2"/>
  <c r="M9" i="2"/>
  <c r="O9" i="2"/>
  <c r="S9" i="2"/>
  <c r="T9" i="2"/>
  <c r="U9" i="2"/>
  <c r="W9" i="2"/>
  <c r="X9" i="2"/>
  <c r="Z9" i="2"/>
  <c r="AB9" i="2"/>
  <c r="AE9" i="2"/>
  <c r="AF9" i="2"/>
  <c r="AG9" i="2"/>
  <c r="AH9" i="2"/>
  <c r="AI9" i="2"/>
  <c r="AJ9" i="2"/>
  <c r="AK9" i="2"/>
  <c r="AL9" i="2"/>
  <c r="AN9" i="2"/>
  <c r="AO9" i="2"/>
  <c r="AP9" i="2"/>
  <c r="AQ9" i="2"/>
  <c r="AR9" i="2"/>
  <c r="AS9" i="2"/>
  <c r="AC53" i="2"/>
  <c r="AC75" i="2" s="1"/>
  <c r="AB53" i="2"/>
  <c r="AB75" i="2" s="1"/>
  <c r="AA53" i="2"/>
  <c r="AA75" i="2" s="1"/>
  <c r="Z53" i="2"/>
  <c r="Z75" i="2" s="1"/>
  <c r="Y53" i="2"/>
  <c r="Y75" i="2" s="1"/>
  <c r="X53" i="2"/>
  <c r="X75" i="2" s="1"/>
  <c r="W53" i="2"/>
  <c r="W75" i="2" s="1"/>
  <c r="U53" i="2"/>
  <c r="U75" i="2" s="1"/>
  <c r="T53" i="2"/>
  <c r="T75" i="2" s="1"/>
  <c r="S53" i="2"/>
  <c r="S75" i="2" s="1"/>
  <c r="O53" i="2"/>
  <c r="O75" i="2" s="1"/>
  <c r="M53" i="2"/>
  <c r="M75" i="2" s="1"/>
  <c r="L53" i="2"/>
  <c r="L75" i="2" s="1"/>
  <c r="K53" i="2"/>
  <c r="K75" i="2" s="1"/>
  <c r="J53" i="2"/>
  <c r="J75" i="2" s="1"/>
  <c r="I53" i="2"/>
  <c r="I75" i="2" s="1"/>
  <c r="H53" i="2"/>
  <c r="H75" i="2" s="1"/>
  <c r="AD50" i="2"/>
  <c r="AD58" i="2" s="1"/>
  <c r="V50" i="2"/>
  <c r="AD49" i="2"/>
  <c r="AD57" i="2" s="1"/>
  <c r="V49" i="2"/>
  <c r="AC48" i="2"/>
  <c r="AC51" i="2" s="1"/>
  <c r="AB48" i="2"/>
  <c r="AB51" i="2" s="1"/>
  <c r="AA48" i="2"/>
  <c r="AA51" i="2" s="1"/>
  <c r="Z48" i="2"/>
  <c r="Z56" i="2" s="1"/>
  <c r="Z59" i="2" s="1"/>
  <c r="Y48" i="2"/>
  <c r="Y51" i="2" s="1"/>
  <c r="X48" i="2"/>
  <c r="X51" i="2" s="1"/>
  <c r="X71" i="2" s="1"/>
  <c r="W48" i="2"/>
  <c r="W51" i="2" s="1"/>
  <c r="W71" i="2" s="1"/>
  <c r="U48" i="2"/>
  <c r="U51" i="2" s="1"/>
  <c r="T48" i="2"/>
  <c r="T51" i="2" s="1"/>
  <c r="S48" i="2"/>
  <c r="S51" i="2" s="1"/>
  <c r="O48" i="2"/>
  <c r="O51" i="2" s="1"/>
  <c r="M48" i="2"/>
  <c r="M51" i="2" s="1"/>
  <c r="L48" i="2"/>
  <c r="L51" i="2" s="1"/>
  <c r="K48" i="2"/>
  <c r="K56" i="2" s="1"/>
  <c r="K59" i="2" s="1"/>
  <c r="J48" i="2"/>
  <c r="J56" i="2" s="1"/>
  <c r="J59" i="2" s="1"/>
  <c r="I48" i="2"/>
  <c r="I56" i="2" s="1"/>
  <c r="I59" i="2" s="1"/>
  <c r="H48" i="2"/>
  <c r="H56" i="2" s="1"/>
  <c r="H59" i="2" s="1"/>
  <c r="AD47" i="2"/>
  <c r="V47" i="2"/>
  <c r="AD46" i="2"/>
  <c r="V46" i="2"/>
  <c r="R45" i="2"/>
  <c r="R9" i="2" s="1"/>
  <c r="Q45" i="2"/>
  <c r="Q53" i="2" s="1"/>
  <c r="Q75" i="2" s="1"/>
  <c r="P45" i="2"/>
  <c r="N45" i="2"/>
  <c r="F9" i="2"/>
  <c r="E9" i="2"/>
  <c r="D9" i="2"/>
  <c r="C9" i="2"/>
  <c r="AD37" i="2" l="1"/>
  <c r="S71" i="2"/>
  <c r="Y71" i="2"/>
  <c r="I51" i="2"/>
  <c r="M71" i="2" s="1"/>
  <c r="I76" i="2"/>
  <c r="P38" i="2"/>
  <c r="Q38" i="2"/>
  <c r="AA72" i="2"/>
  <c r="R38" i="2"/>
  <c r="AA71" i="2"/>
  <c r="J51" i="2"/>
  <c r="J76" i="2" s="1"/>
  <c r="K38" i="2"/>
  <c r="K72" i="2"/>
  <c r="AB71" i="2"/>
  <c r="K51" i="2"/>
  <c r="O71" i="2" s="1"/>
  <c r="AC71" i="2"/>
  <c r="Z51" i="2"/>
  <c r="AC72" i="2"/>
  <c r="W56" i="2"/>
  <c r="W59" i="2" s="1"/>
  <c r="W76" i="2" s="1"/>
  <c r="N72" i="2"/>
  <c r="V72" i="2"/>
  <c r="J63" i="2"/>
  <c r="J65" i="2" s="1"/>
  <c r="J67" i="2" s="1"/>
  <c r="J68" i="2" s="1"/>
  <c r="K63" i="2"/>
  <c r="K65" i="2" s="1"/>
  <c r="K67" i="2" s="1"/>
  <c r="K68" i="2" s="1"/>
  <c r="H76" i="2"/>
  <c r="P73" i="2"/>
  <c r="X20" i="2"/>
  <c r="X73" i="2"/>
  <c r="AA56" i="2"/>
  <c r="AA59" i="2" s="1"/>
  <c r="H63" i="2"/>
  <c r="H65" i="2" s="1"/>
  <c r="H67" i="2" s="1"/>
  <c r="H68" i="2" s="1"/>
  <c r="U72" i="2"/>
  <c r="M72" i="2"/>
  <c r="Q73" i="2"/>
  <c r="Y20" i="2"/>
  <c r="Y73" i="2"/>
  <c r="X56" i="2"/>
  <c r="X59" i="2" s="1"/>
  <c r="AB72" i="2"/>
  <c r="T72" i="2"/>
  <c r="L72" i="2"/>
  <c r="V92" i="2"/>
  <c r="N53" i="2"/>
  <c r="N75" i="2" s="1"/>
  <c r="N74" i="2"/>
  <c r="S72" i="2"/>
  <c r="AD42" i="2"/>
  <c r="Z73" i="2"/>
  <c r="K20" i="2"/>
  <c r="K73" i="2"/>
  <c r="S73" i="2"/>
  <c r="S20" i="2"/>
  <c r="AA20" i="2"/>
  <c r="AA73" i="2"/>
  <c r="T56" i="2"/>
  <c r="T59" i="2" s="1"/>
  <c r="R72" i="2"/>
  <c r="Q9" i="2"/>
  <c r="L73" i="2"/>
  <c r="T73" i="2"/>
  <c r="AB73" i="2"/>
  <c r="L20" i="2"/>
  <c r="S56" i="2"/>
  <c r="S59" i="2" s="1"/>
  <c r="Y72" i="2"/>
  <c r="Q72" i="2"/>
  <c r="R73" i="2"/>
  <c r="P48" i="2"/>
  <c r="P74" i="2"/>
  <c r="T74" i="2"/>
  <c r="P53" i="2"/>
  <c r="P75" i="2" s="1"/>
  <c r="P9" i="2"/>
  <c r="M73" i="2"/>
  <c r="U73" i="2"/>
  <c r="AC73" i="2"/>
  <c r="G56" i="2"/>
  <c r="G59" i="2" s="1"/>
  <c r="G51" i="2"/>
  <c r="X72" i="2"/>
  <c r="P72" i="2"/>
  <c r="T92" i="2"/>
  <c r="R48" i="2"/>
  <c r="R74" i="2"/>
  <c r="N20" i="2"/>
  <c r="N73" i="2"/>
  <c r="V20" i="2"/>
  <c r="V73" i="2"/>
  <c r="Z63" i="2"/>
  <c r="Z65" i="2" s="1"/>
  <c r="Z67" i="2" s="1"/>
  <c r="W72" i="2"/>
  <c r="O72" i="2"/>
  <c r="U92" i="2"/>
  <c r="Q48" i="2"/>
  <c r="Q74" i="2"/>
  <c r="U74" i="2"/>
  <c r="H51" i="2"/>
  <c r="L71" i="2" s="1"/>
  <c r="R53" i="2"/>
  <c r="R75" i="2" s="1"/>
  <c r="O73" i="2"/>
  <c r="W20" i="2"/>
  <c r="W73" i="2"/>
  <c r="AB56" i="2"/>
  <c r="AB59" i="2" s="1"/>
  <c r="I63" i="2"/>
  <c r="I65" i="2" s="1"/>
  <c r="I67" i="2" s="1"/>
  <c r="I68" i="2" s="1"/>
  <c r="S92" i="2"/>
  <c r="Y56" i="2"/>
  <c r="Y59" i="2" s="1"/>
  <c r="Z20" i="2"/>
  <c r="O56" i="2"/>
  <c r="O59" i="2" s="1"/>
  <c r="N38" i="2"/>
  <c r="L56" i="2"/>
  <c r="L59" i="2" s="1"/>
  <c r="N9" i="2"/>
  <c r="AD72" i="2"/>
  <c r="Z38" i="2"/>
  <c r="AD38" i="2" s="1"/>
  <c r="AD45" i="2" s="1"/>
  <c r="AD9" i="2" s="1"/>
  <c r="AC56" i="2"/>
  <c r="AC59" i="2" s="1"/>
  <c r="U56" i="2"/>
  <c r="U59" i="2" s="1"/>
  <c r="M56" i="2"/>
  <c r="M59" i="2" s="1"/>
  <c r="V45" i="2"/>
  <c r="N48" i="2"/>
  <c r="W63" i="2" l="1"/>
  <c r="W65" i="2" s="1"/>
  <c r="W67" i="2" s="1"/>
  <c r="K76" i="2"/>
  <c r="K71" i="2"/>
  <c r="Z76" i="2"/>
  <c r="AD74" i="2"/>
  <c r="V9" i="2"/>
  <c r="V74" i="2"/>
  <c r="Z74" i="2"/>
  <c r="G76" i="2"/>
  <c r="G63" i="2"/>
  <c r="G65" i="2" s="1"/>
  <c r="G67" i="2" s="1"/>
  <c r="G68" i="2" s="1"/>
  <c r="U76" i="2"/>
  <c r="U63" i="2"/>
  <c r="U65" i="2" s="1"/>
  <c r="U67" i="2" s="1"/>
  <c r="Q51" i="2"/>
  <c r="Q56" i="2"/>
  <c r="Q59" i="2" s="1"/>
  <c r="O76" i="2"/>
  <c r="O63" i="2"/>
  <c r="O65" i="2" s="1"/>
  <c r="O67" i="2" s="1"/>
  <c r="AC76" i="2"/>
  <c r="AC63" i="2"/>
  <c r="AC65" i="2" s="1"/>
  <c r="AC67" i="2" s="1"/>
  <c r="W68" i="2"/>
  <c r="W79" i="2"/>
  <c r="Z68" i="2"/>
  <c r="Z79" i="2"/>
  <c r="L76" i="2"/>
  <c r="L63" i="2"/>
  <c r="L65" i="2" s="1"/>
  <c r="L67" i="2" s="1"/>
  <c r="L68" i="2" s="1"/>
  <c r="M76" i="2"/>
  <c r="M63" i="2"/>
  <c r="M65" i="2" s="1"/>
  <c r="M67" i="2" s="1"/>
  <c r="Y76" i="2"/>
  <c r="Y63" i="2"/>
  <c r="Y65" i="2" s="1"/>
  <c r="Y67" i="2" s="1"/>
  <c r="R51" i="2"/>
  <c r="R56" i="2"/>
  <c r="R59" i="2" s="1"/>
  <c r="S76" i="2"/>
  <c r="S63" i="2"/>
  <c r="S65" i="2" s="1"/>
  <c r="S67" i="2" s="1"/>
  <c r="P51" i="2"/>
  <c r="P56" i="2"/>
  <c r="P59" i="2" s="1"/>
  <c r="AB76" i="2"/>
  <c r="AB63" i="2"/>
  <c r="AB65" i="2" s="1"/>
  <c r="AB67" i="2" s="1"/>
  <c r="T76" i="2"/>
  <c r="T63" i="2"/>
  <c r="T65" i="2" s="1"/>
  <c r="T67" i="2" s="1"/>
  <c r="AD73" i="2"/>
  <c r="X76" i="2"/>
  <c r="X63" i="2"/>
  <c r="X65" i="2" s="1"/>
  <c r="X67" i="2" s="1"/>
  <c r="X95" i="2" s="1"/>
  <c r="AA76" i="2"/>
  <c r="AA63" i="2"/>
  <c r="AA65" i="2" s="1"/>
  <c r="AA67" i="2" s="1"/>
  <c r="AD48" i="2"/>
  <c r="V38" i="2"/>
  <c r="AD52" i="2"/>
  <c r="AD53" i="2" s="1"/>
  <c r="AD75" i="2" s="1"/>
  <c r="N51" i="2"/>
  <c r="N71" i="2" s="1"/>
  <c r="N56" i="2"/>
  <c r="N59" i="2" s="1"/>
  <c r="V53" i="2"/>
  <c r="V75" i="2" s="1"/>
  <c r="V48" i="2"/>
  <c r="Y95" i="2" l="1"/>
  <c r="P76" i="2"/>
  <c r="P63" i="2"/>
  <c r="P65" i="2" s="1"/>
  <c r="P67" i="2" s="1"/>
  <c r="N76" i="2"/>
  <c r="N63" i="2"/>
  <c r="N65" i="2" s="1"/>
  <c r="N67" i="2" s="1"/>
  <c r="S79" i="2"/>
  <c r="S68" i="2"/>
  <c r="X79" i="2"/>
  <c r="X68" i="2"/>
  <c r="R76" i="2"/>
  <c r="R63" i="2"/>
  <c r="R65" i="2" s="1"/>
  <c r="R67" i="2" s="1"/>
  <c r="Q76" i="2"/>
  <c r="Q63" i="2"/>
  <c r="Q65" i="2" s="1"/>
  <c r="Q67" i="2" s="1"/>
  <c r="AC68" i="2"/>
  <c r="P71" i="2"/>
  <c r="T71" i="2"/>
  <c r="R71" i="2"/>
  <c r="Q71" i="2"/>
  <c r="U71" i="2"/>
  <c r="M68" i="2"/>
  <c r="M79" i="2"/>
  <c r="O68" i="2"/>
  <c r="O79" i="2"/>
  <c r="T79" i="2"/>
  <c r="T68" i="2"/>
  <c r="AA68" i="2"/>
  <c r="AA79" i="2"/>
  <c r="AB68" i="2"/>
  <c r="AB79" i="2"/>
  <c r="Y68" i="2"/>
  <c r="Y79" i="2"/>
  <c r="U68" i="2"/>
  <c r="U79" i="2"/>
  <c r="V51" i="2"/>
  <c r="Z71" i="2" s="1"/>
  <c r="V56" i="2"/>
  <c r="V59" i="2" s="1"/>
  <c r="AD51" i="2"/>
  <c r="AD71" i="2" s="1"/>
  <c r="AD56" i="2"/>
  <c r="AD59" i="2" s="1"/>
  <c r="N68" i="2" l="1"/>
  <c r="N79" i="2"/>
  <c r="Q79" i="2"/>
  <c r="Q68" i="2"/>
  <c r="V71" i="2"/>
  <c r="P79" i="2"/>
  <c r="P68" i="2"/>
  <c r="AD76" i="2"/>
  <c r="AD63" i="2"/>
  <c r="AD65" i="2" s="1"/>
  <c r="V63" i="2"/>
  <c r="V65" i="2" s="1"/>
  <c r="V67" i="2" s="1"/>
  <c r="V76" i="2"/>
  <c r="R79" i="2"/>
  <c r="R68" i="2"/>
  <c r="AR1" i="2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V68" i="2" l="1"/>
  <c r="V79" i="2"/>
  <c r="AD66" i="2"/>
  <c r="AD67" i="2" s="1"/>
  <c r="F11" i="1"/>
  <c r="AD68" i="2" l="1"/>
</calcChain>
</file>

<file path=xl/sharedStrings.xml><?xml version="1.0" encoding="utf-8"?>
<sst xmlns="http://schemas.openxmlformats.org/spreadsheetml/2006/main" count="250" uniqueCount="241">
  <si>
    <t xml:space="preserve">PRICE </t>
  </si>
  <si>
    <t xml:space="preserve">SHARES </t>
  </si>
  <si>
    <t xml:space="preserve">MC </t>
  </si>
  <si>
    <t xml:space="preserve">CASH </t>
  </si>
  <si>
    <t xml:space="preserve">DEBT </t>
  </si>
  <si>
    <t xml:space="preserve">EV </t>
  </si>
  <si>
    <t>Optimus</t>
  </si>
  <si>
    <t>Model Y: $30,990 - compact SUV</t>
  </si>
  <si>
    <t>Model 3: $29,490 - is a four-door mid-size sedan, mass market</t>
  </si>
  <si>
    <t>Model S: four-door sedan</t>
  </si>
  <si>
    <t>Model X: mid-sized SUV</t>
  </si>
  <si>
    <t>Semi</t>
  </si>
  <si>
    <t>Roadster</t>
  </si>
  <si>
    <t>Cybertruck</t>
  </si>
  <si>
    <t>Cybercab: Robotaxi style product, will compete with Cruise and Waymo. Launch 2025.</t>
  </si>
  <si>
    <t>Solar Roof</t>
  </si>
  <si>
    <t>Insurance</t>
  </si>
  <si>
    <t>Energy Storage</t>
  </si>
  <si>
    <t>Powerwall - consumer product</t>
  </si>
  <si>
    <t>Megapack - industrial</t>
  </si>
  <si>
    <t>4/2/22: Q1 deliveries number.</t>
  </si>
  <si>
    <t xml:space="preserve">DOJO </t>
  </si>
  <si>
    <t xml:space="preserve">FSD: Unsupervized will add consumer cars  to autonomous fleet </t>
  </si>
  <si>
    <t>Volkswagen Revenue</t>
  </si>
  <si>
    <t>Toyota Revenue</t>
  </si>
  <si>
    <t>GM Revenue</t>
  </si>
  <si>
    <t>Ford Revenue</t>
  </si>
  <si>
    <t>BMW Revenue</t>
  </si>
  <si>
    <t>Mercedez-Benz Revenue</t>
  </si>
  <si>
    <t>Tesla Revenue</t>
  </si>
  <si>
    <t>BYD Revenue</t>
  </si>
  <si>
    <t>Porsche Revenue</t>
  </si>
  <si>
    <t>Toyota Production</t>
  </si>
  <si>
    <t>Volkswagen Deliveries</t>
  </si>
  <si>
    <t>Ford Deliveries</t>
  </si>
  <si>
    <t>GM Deliveries</t>
  </si>
  <si>
    <t>BYD Production</t>
  </si>
  <si>
    <t>BMW Production</t>
  </si>
  <si>
    <t>Mercedez-Bens Production</t>
  </si>
  <si>
    <t>Tesla Production</t>
  </si>
  <si>
    <t>Porsche Deliveries</t>
  </si>
  <si>
    <t>Toyota ASP</t>
  </si>
  <si>
    <t>Volkswagen ASP</t>
  </si>
  <si>
    <t>GM ASP</t>
  </si>
  <si>
    <t>Ford ASP</t>
  </si>
  <si>
    <t>BYD ASP</t>
  </si>
  <si>
    <t>BMW ASP</t>
  </si>
  <si>
    <t>Mercedez ASP</t>
  </si>
  <si>
    <t>Tesla ASP</t>
  </si>
  <si>
    <t>Porsche ASP</t>
  </si>
  <si>
    <t>FSD Beta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</si>
  <si>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</si>
  <si>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</si>
  <si>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</si>
  <si>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</si>
  <si>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</si>
  <si>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</si>
  <si>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</si>
  <si>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Software Revenue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</si>
  <si>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</si>
  <si>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</si>
  <si>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</si>
  <si>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</si>
  <si>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</si>
  <si>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</si>
  <si>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</si>
  <si>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</si>
  <si>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</si>
  <si>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Software COGS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</si>
  <si>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</si>
  <si>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</si>
  <si>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</si>
  <si>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</si>
  <si>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</si>
  <si>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</si>
  <si>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</si>
  <si>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</si>
  <si>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</si>
  <si>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</si>
  <si>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</si>
  <si>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</si>
  <si>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</si>
  <si>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</si>
  <si>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Shares</t>
  </si>
  <si>
    <t>Revenue y/y</t>
  </si>
  <si>
    <t>Deliveries y/y</t>
  </si>
  <si>
    <t>Production y/y</t>
  </si>
  <si>
    <t>Auto Product y/y</t>
  </si>
  <si>
    <t>Auto GM</t>
  </si>
  <si>
    <t>Model NI</t>
  </si>
  <si>
    <t>Reported NI</t>
  </si>
  <si>
    <t>D&amp;A</t>
  </si>
  <si>
    <t>SBC</t>
  </si>
  <si>
    <t>Inventory</t>
  </si>
  <si>
    <t>FX/Other</t>
  </si>
  <si>
    <t>Non-Cash Interest</t>
  </si>
  <si>
    <t>Digital Assets</t>
  </si>
  <si>
    <t>WC</t>
  </si>
  <si>
    <t>CFFO</t>
  </si>
  <si>
    <t>CapEx</t>
  </si>
  <si>
    <t>FCF</t>
  </si>
  <si>
    <t>TTM FCF</t>
  </si>
  <si>
    <t>Net Cash</t>
  </si>
  <si>
    <t>Cash</t>
  </si>
  <si>
    <t>AR</t>
  </si>
  <si>
    <t>Prepaids</t>
  </si>
  <si>
    <t>Operating Lease</t>
  </si>
  <si>
    <t>Energy Systems</t>
  </si>
  <si>
    <t>PP&amp;E</t>
  </si>
  <si>
    <t>Operating Lease ROU</t>
  </si>
  <si>
    <t>Goodwill</t>
  </si>
  <si>
    <t>ONCA</t>
  </si>
  <si>
    <t>Assets</t>
  </si>
  <si>
    <t>AP</t>
  </si>
  <si>
    <t>AL</t>
  </si>
  <si>
    <t>DR</t>
  </si>
  <si>
    <t>Customer Deposits</t>
  </si>
  <si>
    <t>Debt</t>
  </si>
  <si>
    <t>OLTL</t>
  </si>
  <si>
    <t>SE</t>
  </si>
  <si>
    <t>L+SE</t>
  </si>
  <si>
    <t>FSD DR</t>
  </si>
  <si>
    <t>FSD DR Additions</t>
  </si>
  <si>
    <t>FSD DR RevRec</t>
  </si>
  <si>
    <t>Estimated FSD users added</t>
  </si>
  <si>
    <t>FSD DR y/y</t>
  </si>
  <si>
    <t>FSD penetration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</si>
  <si>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</si>
  <si>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</si>
  <si>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</si>
  <si>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</si>
  <si>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</si>
  <si>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</si>
  <si>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</si>
  <si>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</si>
  <si>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</si>
  <si>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</si>
  <si>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</si>
  <si>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</si>
  <si>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</si>
  <si>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</si>
  <si>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</si>
  <si>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</si>
  <si>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</si>
  <si>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</si>
  <si>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</si>
  <si>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</si>
  <si>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</si>
  <si>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</si>
  <si>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</si>
  <si>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</si>
  <si>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</si>
  <si>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</si>
  <si>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</si>
  <si>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</si>
  <si>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</si>
  <si>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</si>
  <si>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</si>
  <si>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</si>
  <si>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Cybertruck: $69,990 SM-RWD~2025, $79,990 Dual AWD, $99,990 Tri-M AWD Cyberbeast</t>
  </si>
  <si>
    <t>EV/Share</t>
  </si>
  <si>
    <t xml:space="preserve">Net Debt </t>
  </si>
  <si>
    <t>in millions except per share</t>
  </si>
  <si>
    <t>Net Debt/Share</t>
  </si>
  <si>
    <t>California</t>
  </si>
  <si>
    <t>Model S/X</t>
  </si>
  <si>
    <t>Model 3/Y</t>
  </si>
  <si>
    <t>Shanghai</t>
  </si>
  <si>
    <t>Berlin</t>
  </si>
  <si>
    <t>Model Y</t>
  </si>
  <si>
    <t>Texas</t>
  </si>
  <si>
    <t>Nevada</t>
  </si>
  <si>
    <t>Roadaster</t>
  </si>
  <si>
    <t>Robotaxi</t>
  </si>
  <si>
    <t>Buffalo</t>
  </si>
  <si>
    <t>Lahtrop, CA</t>
  </si>
  <si>
    <t xml:space="preserve">Powerwall (home energy storage </t>
  </si>
  <si>
    <t xml:space="preserve">Supercharger </t>
  </si>
  <si>
    <t xml:space="preserve">Megapack </t>
  </si>
  <si>
    <t>40Gwh/yr</t>
  </si>
  <si>
    <t>Solar Roof (solar shingles)</t>
  </si>
  <si>
    <t xml:space="preserve">Battery </t>
  </si>
  <si>
    <t xml:space="preserve">Proprietary battery cells &amp; chem </t>
  </si>
  <si>
    <t xml:space="preserve">Autonomous Driving </t>
  </si>
  <si>
    <t xml:space="preserve">FSD, Neural Networks </t>
  </si>
  <si>
    <t xml:space="preserve">Manufacturing </t>
  </si>
  <si>
    <t xml:space="preserve">AI &amp; Supercomputing </t>
  </si>
  <si>
    <t xml:space="preserve">DOJO for model Training </t>
  </si>
  <si>
    <t xml:space="preserve">Energy Storage </t>
  </si>
  <si>
    <t xml:space="preserve">grid batteries &amp; Powerwall </t>
  </si>
  <si>
    <t xml:space="preserve">Charging Network </t>
  </si>
  <si>
    <t xml:space="preserve">Superchargers </t>
  </si>
  <si>
    <t xml:space="preserve">Vehicle Design </t>
  </si>
  <si>
    <t xml:space="preserve">Giga Press, Structural Battery Pack ,Gigacasting </t>
  </si>
  <si>
    <t>Aero, structural</t>
  </si>
  <si>
    <t xml:space="preserve">Material Science </t>
  </si>
  <si>
    <t xml:space="preserve">Stainless steel exoskelton </t>
  </si>
  <si>
    <t xml:space="preserve">Software &amp; UI </t>
  </si>
  <si>
    <t>Model Y, Cybertruck</t>
  </si>
  <si>
    <t>Robotaxi,FSD,Optimus</t>
  </si>
  <si>
    <t>IPO 6/29/2010</t>
  </si>
  <si>
    <t>August 2020 split</t>
  </si>
  <si>
    <t>August 2022 split</t>
  </si>
  <si>
    <t>Powerwall,Megapack,Evs (all)</t>
  </si>
  <si>
    <t xml:space="preserve">FSD,Cybercab,Model 2, Model 3, Model X, Model Y, Robotaxi </t>
  </si>
  <si>
    <t>Megapack,Powerwall,Evs</t>
  </si>
  <si>
    <t>Evs,Semi</t>
  </si>
  <si>
    <t xml:space="preserve">Model S, Model 3, Model X, Model Y, Cybertruck </t>
  </si>
  <si>
    <t xml:space="preserve">Cybertruck </t>
  </si>
  <si>
    <t xml:space="preserve">All </t>
  </si>
  <si>
    <t xml:space="preserve">Category </t>
  </si>
  <si>
    <t xml:space="preserve">Description </t>
  </si>
  <si>
    <t>Relevant Products</t>
  </si>
  <si>
    <t xml:space="preserve">Patent Number </t>
  </si>
  <si>
    <t xml:space="preserve">Patent Overview </t>
  </si>
  <si>
    <t>US20180019710A1</t>
  </si>
  <si>
    <t>US10211786B2</t>
  </si>
  <si>
    <t xml:space="preserve">Batt pack w head exchanger </t>
  </si>
  <si>
    <t>Autonomous driving, Real world AI</t>
  </si>
  <si>
    <t xml:space="preserve">Multi-directional unibody casting machine </t>
  </si>
  <si>
    <t xml:space="preserve">Energy storage &amp; batt thermanl mgmt </t>
  </si>
  <si>
    <t xml:space="preserve">Supercharger fast-charging protocol </t>
  </si>
  <si>
    <t>AI</t>
  </si>
  <si>
    <t>US20190217380A1</t>
  </si>
  <si>
    <t>OS,OTA(over air  updates )</t>
  </si>
  <si>
    <t>US20240136303,</t>
  </si>
  <si>
    <t xml:space="preserve">Dojo ASIC chip architecture: WAFER ALIGNMENT STRUCTURE
</t>
  </si>
  <si>
    <t>WO2021150604</t>
  </si>
  <si>
    <t>DIE CAST ALUMINUM ALLOYS FOR STRUCTURAL COMPONENTS</t>
  </si>
  <si>
    <t>US 2024/0287664 A1</t>
  </si>
  <si>
    <t xml:space="preserve">Steel alloys improved hardness &amp; corrosion resistance for high performance applications </t>
  </si>
  <si>
    <t>US 2019/0319249 A1</t>
  </si>
  <si>
    <t>US20180038147A1</t>
  </si>
  <si>
    <t xml:space="preserve"> </t>
  </si>
  <si>
    <t xml:space="preserve">Supercharger stations </t>
  </si>
  <si>
    <t xml:space="preserve">Supercharger connectors  </t>
  </si>
  <si>
    <t>YoY</t>
  </si>
  <si>
    <t xml:space="preserve">Locations </t>
  </si>
  <si>
    <t xml:space="preserve">Mobile service fleet </t>
  </si>
  <si>
    <t>Storage deployed (GWh)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</si>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</sst>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23"/>
      <color theme="1"/>
      <name val="Aptos Narrow"/>
      <family val="2"/>
      <scheme val="minor"/>
    </font>
    <font>
      <sz val="25"/>
      <color theme="1"/>
      <name val="Aptos Narrow"/>
      <scheme val="minor"/>
    </font>
    <font>
      <b/>
      <u/>
      <sz val="25"/>
      <color theme="1"/>
      <name val="Aptos Narrow"/>
      <scheme val="minor"/>
    </font>
    <font>
      <sz val="23"/>
      <color theme="1"/>
      <name val="Aptos body"/>
    </font>
    <font>
      <sz val="19"/>
      <color theme="1"/>
      <name val="Aptos body"/>
    </font>
    <font>
      <sz val="19"/>
      <color theme="1"/>
      <name val="Aptos Narrow"/>
      <family val="2"/>
      <scheme val="minor"/>
    </font>
    <font>
      <b/>
      <sz val="19"/>
      <color theme="1"/>
      <name val="Aptos body"/>
    </font>
    <font>
      <sz val="19"/>
      <color theme="1"/>
      <name val="Arial"/>
      <family val="2"/>
    </font>
    <font>
      <sz val="19"/>
      <color theme="1"/>
      <name val="Aptos Narrow"/>
    </font>
    <font>
      <sz val="23"/>
      <color theme="1"/>
      <name val="Aptos Narrow"/>
    </font>
    <font>
      <u/>
      <sz val="23"/>
      <color theme="10"/>
      <name val="Aptos Narrow"/>
      <family val="2"/>
      <scheme val="minor"/>
    </font>
    <font>
      <b/>
      <u/>
      <sz val="25"/>
      <color theme="1"/>
      <name val="Aptos Narrow (Body)"/>
    </font>
    <font>
      <sz val="23"/>
      <color theme="1"/>
      <name val="Aptos Narrow"/>
      <family val="2"/>
      <scheme val="minor"/>
    </font>
    <font>
      <sz val="19"/>
      <color theme="1"/>
      <name val="Aptos Narrow"/>
      <scheme val="minor"/>
    </font>
    <font>
      <b/>
      <sz val="19"/>
      <color theme="1"/>
      <name val="Aptos Narrow"/>
      <scheme val="minor"/>
    </font>
    <font>
      <sz val="19"/>
      <color theme="1"/>
      <name val="Aptos body "/>
    </font>
    <font>
      <b/>
      <sz val="19"/>
      <color theme="1"/>
      <name val="Aptos body "/>
    </font>
    <font>
      <b/>
      <sz val="19"/>
      <color theme="1"/>
      <name val="Aptos Narorw "/>
    </font>
    <font>
      <sz val="19"/>
      <color theme="1"/>
      <name val="Aptos body narrow "/>
    </font>
    <font>
      <b/>
      <sz val="19"/>
      <color theme="1"/>
      <name val="Aptos body narrow "/>
    </font>
    <font>
      <sz val="19"/>
      <color theme="1"/>
      <name val="Aptos Narrow body"/>
    </font>
    <font>
      <sz val="19"/>
      <color theme="1"/>
      <name val="Aptos Body (Narrow)"/>
    </font>
    <font>
      <sz val="19"/>
      <color theme="1"/>
      <name val="Aptos body narrow"/>
    </font>
    <font>
      <sz val="19"/>
      <color theme="1"/>
      <name val="Aptos body narrowr "/>
    </font>
    <font>
      <sz val="1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75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3" fontId="4" fillId="0" borderId="0" xfId="0" applyNumberFormat="1" applyFont="1"/>
    <xf numFmtId="3" fontId="6" fillId="0" borderId="0" xfId="0" applyNumberFormat="1" applyFont="1"/>
    <xf numFmtId="0" fontId="4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1" xfId="0" applyBorder="1"/>
    <xf numFmtId="0" fontId="0" fillId="0" borderId="2" xfId="0" applyBorder="1"/>
    <xf numFmtId="0" fontId="10" fillId="0" borderId="0" xfId="1"/>
    <xf numFmtId="0" fontId="0" fillId="0" borderId="3" xfId="0" applyBorder="1"/>
    <xf numFmtId="0" fontId="11" fillId="0" borderId="0" xfId="0" applyFont="1"/>
    <xf numFmtId="0" fontId="0" fillId="0" borderId="0" xfId="0" applyAlignment="1">
      <alignment wrapText="1"/>
    </xf>
    <xf numFmtId="3" fontId="6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9" fontId="4" fillId="0" borderId="0" xfId="0" applyNumberFormat="1" applyFont="1"/>
    <xf numFmtId="2" fontId="4" fillId="0" borderId="0" xfId="0" applyNumberFormat="1" applyFont="1" applyAlignment="1">
      <alignment horizontal="right"/>
    </xf>
    <xf numFmtId="4" fontId="4" fillId="0" borderId="0" xfId="0" applyNumberFormat="1" applyFont="1"/>
    <xf numFmtId="0" fontId="6" fillId="0" borderId="0" xfId="0" applyFont="1" applyAlignment="1">
      <alignment horizontal="right"/>
    </xf>
    <xf numFmtId="9" fontId="6" fillId="0" borderId="0" xfId="0" applyNumberFormat="1" applyFont="1" applyAlignment="1">
      <alignment horizontal="right"/>
    </xf>
    <xf numFmtId="9" fontId="6" fillId="0" borderId="0" xfId="0" applyNumberFormat="1" applyFont="1"/>
    <xf numFmtId="9" fontId="4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3" fontId="17" fillId="0" borderId="0" xfId="0" applyNumberFormat="1" applyFont="1" applyAlignment="1">
      <alignment horizontal="right"/>
    </xf>
    <xf numFmtId="3" fontId="13" fillId="0" borderId="4" xfId="0" applyNumberFormat="1" applyFont="1" applyBorder="1" applyAlignment="1">
      <alignment horizontal="right"/>
    </xf>
    <xf numFmtId="3" fontId="14" fillId="0" borderId="5" xfId="0" applyNumberFormat="1" applyFont="1" applyBorder="1" applyAlignment="1">
      <alignment horizontal="right"/>
    </xf>
    <xf numFmtId="3" fontId="15" fillId="0" borderId="4" xfId="0" applyNumberFormat="1" applyFont="1" applyBorder="1" applyAlignment="1">
      <alignment horizontal="right"/>
    </xf>
    <xf numFmtId="3" fontId="16" fillId="0" borderId="5" xfId="0" applyNumberFormat="1" applyFont="1" applyBorder="1" applyAlignment="1">
      <alignment horizontal="right"/>
    </xf>
    <xf numFmtId="3" fontId="14" fillId="0" borderId="6" xfId="0" applyNumberFormat="1" applyFont="1" applyBorder="1" applyAlignment="1">
      <alignment horizontal="right"/>
    </xf>
    <xf numFmtId="3" fontId="18" fillId="0" borderId="0" xfId="0" applyNumberFormat="1" applyFont="1" applyAlignment="1">
      <alignment horizontal="right"/>
    </xf>
    <xf numFmtId="3" fontId="4" fillId="0" borderId="4" xfId="0" applyNumberFormat="1" applyFont="1" applyBorder="1" applyAlignment="1">
      <alignment horizontal="right"/>
    </xf>
    <xf numFmtId="3" fontId="4" fillId="0" borderId="5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9" fontId="5" fillId="0" borderId="0" xfId="2" applyFont="1"/>
    <xf numFmtId="3" fontId="5" fillId="0" borderId="0" xfId="0" applyNumberFormat="1" applyFont="1"/>
    <xf numFmtId="9" fontId="13" fillId="0" borderId="0" xfId="0" applyNumberFormat="1" applyFont="1" applyAlignment="1">
      <alignment horizontal="right"/>
    </xf>
    <xf numFmtId="0" fontId="13" fillId="0" borderId="0" xfId="0" applyFont="1"/>
    <xf numFmtId="3" fontId="19" fillId="0" borderId="0" xfId="0" applyNumberFormat="1" applyFont="1" applyAlignment="1">
      <alignment horizontal="right"/>
    </xf>
    <xf numFmtId="0" fontId="20" fillId="0" borderId="0" xfId="0" applyFont="1"/>
    <xf numFmtId="3" fontId="20" fillId="0" borderId="0" xfId="0" applyNumberFormat="1" applyFont="1" applyAlignment="1">
      <alignment horizontal="right"/>
    </xf>
    <xf numFmtId="3" fontId="18" fillId="0" borderId="0" xfId="0" applyNumberFormat="1" applyFont="1"/>
    <xf numFmtId="0" fontId="18" fillId="0" borderId="0" xfId="0" applyFont="1"/>
    <xf numFmtId="3" fontId="21" fillId="0" borderId="0" xfId="0" applyNumberFormat="1" applyFont="1" applyAlignment="1">
      <alignment horizontal="right"/>
    </xf>
    <xf numFmtId="3" fontId="22" fillId="0" borderId="0" xfId="0" applyNumberFormat="1" applyFont="1" applyAlignment="1">
      <alignment horizontal="right"/>
    </xf>
    <xf numFmtId="3" fontId="23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9" fontId="5" fillId="0" borderId="0" xfId="2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5" fillId="0" borderId="4" xfId="0" applyFont="1" applyBorder="1" applyAlignment="1">
      <alignment horizontal="center"/>
    </xf>
    <xf numFmtId="3" fontId="19" fillId="0" borderId="0" xfId="0" applyNumberFormat="1" applyFont="1"/>
    <xf numFmtId="0" fontId="4" fillId="0" borderId="1" xfId="0" applyFont="1" applyBorder="1"/>
    <xf numFmtId="0" fontId="5" fillId="0" borderId="1" xfId="0" applyFont="1" applyBorder="1"/>
    <xf numFmtId="3" fontId="14" fillId="0" borderId="1" xfId="0" applyNumberFormat="1" applyFont="1" applyBorder="1" applyAlignment="1">
      <alignment horizontal="right"/>
    </xf>
    <xf numFmtId="3" fontId="5" fillId="0" borderId="1" xfId="0" applyNumberFormat="1" applyFont="1" applyBorder="1"/>
    <xf numFmtId="3" fontId="4" fillId="0" borderId="1" xfId="0" applyNumberFormat="1" applyFont="1" applyBorder="1"/>
    <xf numFmtId="3" fontId="6" fillId="0" borderId="1" xfId="0" applyNumberFormat="1" applyFont="1" applyBorder="1"/>
    <xf numFmtId="3" fontId="6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/>
    <xf numFmtId="9" fontId="6" fillId="0" borderId="1" xfId="0" applyNumberFormat="1" applyFont="1" applyBorder="1"/>
    <xf numFmtId="9" fontId="4" fillId="0" borderId="1" xfId="0" applyNumberFormat="1" applyFont="1" applyBorder="1"/>
    <xf numFmtId="9" fontId="4" fillId="0" borderId="1" xfId="0" applyNumberFormat="1" applyFont="1" applyBorder="1" applyAlignment="1">
      <alignment horizontal="right"/>
    </xf>
    <xf numFmtId="3" fontId="24" fillId="0" borderId="0" xfId="0" applyNumberFormat="1" applyFont="1"/>
    <xf numFmtId="3" fontId="7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atents.justia.com/patent/12227972" TargetMode="External"/><Relationship Id="rId3" Type="http://schemas.openxmlformats.org/officeDocument/2006/relationships/hyperlink" Target="https://patents.google.com/patent/US20190217380A1/en" TargetMode="External"/><Relationship Id="rId7" Type="http://schemas.openxmlformats.org/officeDocument/2006/relationships/hyperlink" Target="https://patentimages.storage.googleapis.com/3d/da/8c/fae8f3902c7feb/US20190319249A1.pdf" TargetMode="External"/><Relationship Id="rId2" Type="http://schemas.openxmlformats.org/officeDocument/2006/relationships/hyperlink" Target="https://patents.google.com/patent/US10211786B2/en" TargetMode="External"/><Relationship Id="rId1" Type="http://schemas.openxmlformats.org/officeDocument/2006/relationships/hyperlink" Target="https://patents.google.com/patent/US20180019710A1/en?oq=US20180019710A1" TargetMode="External"/><Relationship Id="rId6" Type="http://schemas.openxmlformats.org/officeDocument/2006/relationships/hyperlink" Target="https://www.autoevolution.com/pdf/news_attachements/tesla-invents-new-ultra-hard-steel-alloy-used-for-the-cybertruck-s-exoskeleton-211018.pdf" TargetMode="External"/><Relationship Id="rId5" Type="http://schemas.openxmlformats.org/officeDocument/2006/relationships/hyperlink" Target="WO2021150604" TargetMode="External"/><Relationship Id="rId4" Type="http://schemas.openxmlformats.org/officeDocument/2006/relationships/hyperlink" Target="https://patents.justia.com/patent/20240136303" TargetMode="External"/><Relationship Id="rId9" Type="http://schemas.openxmlformats.org/officeDocument/2006/relationships/hyperlink" Target="https://patents.google.com/patent/US20180038147A1/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FD5B-6EAF-F04B-9619-FF20AFD6ADAA}">
  <dimension ref="B2:N34"/>
  <sheetViews>
    <sheetView zoomScale="150" workbookViewId="0">
      <selection activeCell="K8" sqref="D8:K8"/>
    </sheetView>
  </sheetViews>
  <sheetFormatPr baseColWidth="10" defaultRowHeight="30"/>
  <cols>
    <col min="10" max="10" width="12.5" bestFit="1" customWidth="1"/>
  </cols>
  <sheetData>
    <row r="2" spans="2:11">
      <c r="I2" t="s">
        <v>162</v>
      </c>
    </row>
    <row r="3" spans="2:11" ht="33">
      <c r="B3" s="2" t="s">
        <v>6</v>
      </c>
    </row>
    <row r="4" spans="2:11" ht="33">
      <c r="B4" s="2" t="s">
        <v>7</v>
      </c>
      <c r="J4" t="s">
        <v>0</v>
      </c>
      <c r="K4" s="11">
        <v>243.83</v>
      </c>
    </row>
    <row r="5" spans="2:11" ht="33">
      <c r="B5" s="2" t="s">
        <v>8</v>
      </c>
      <c r="J5" t="s">
        <v>1</v>
      </c>
      <c r="K5" s="12">
        <v>3220</v>
      </c>
    </row>
    <row r="6" spans="2:11" ht="33">
      <c r="B6" s="2" t="s">
        <v>9</v>
      </c>
      <c r="J6" t="s">
        <v>2</v>
      </c>
      <c r="K6" s="12">
        <f>K4*K5</f>
        <v>785132.60000000009</v>
      </c>
    </row>
    <row r="7" spans="2:11" ht="33">
      <c r="B7" s="2" t="s">
        <v>10</v>
      </c>
      <c r="J7" t="s">
        <v>3</v>
      </c>
      <c r="K7" s="12">
        <v>36560</v>
      </c>
    </row>
    <row r="8" spans="2:11" ht="33">
      <c r="B8" s="2" t="s">
        <v>11</v>
      </c>
      <c r="J8" t="s">
        <v>4</v>
      </c>
      <c r="K8" s="12">
        <v>13620</v>
      </c>
    </row>
    <row r="9" spans="2:11" ht="33">
      <c r="B9" s="2" t="s">
        <v>12</v>
      </c>
      <c r="H9" s="1"/>
      <c r="J9" t="s">
        <v>5</v>
      </c>
      <c r="K9" s="12">
        <f>K6-K7+K8</f>
        <v>762192.60000000009</v>
      </c>
    </row>
    <row r="10" spans="2:11" ht="33">
      <c r="B10" s="2" t="s">
        <v>159</v>
      </c>
      <c r="K10" s="12"/>
    </row>
    <row r="11" spans="2:11" ht="33">
      <c r="B11" s="2" t="s">
        <v>22</v>
      </c>
      <c r="F11">
        <f>K9/K5</f>
        <v>236.70577639751556</v>
      </c>
      <c r="J11" t="s">
        <v>160</v>
      </c>
      <c r="K11" s="11">
        <f>K9/K5</f>
        <v>236.70577639751556</v>
      </c>
    </row>
    <row r="12" spans="2:11" ht="33">
      <c r="B12" s="2" t="s">
        <v>14</v>
      </c>
      <c r="J12" t="s">
        <v>161</v>
      </c>
      <c r="K12" s="12">
        <f>K8-K7</f>
        <v>-22940</v>
      </c>
    </row>
    <row r="13" spans="2:11" ht="33">
      <c r="B13" s="2" t="s">
        <v>15</v>
      </c>
      <c r="J13" t="s">
        <v>163</v>
      </c>
      <c r="K13" s="11">
        <f>K12/K5</f>
        <v>-7.1242236024844718</v>
      </c>
    </row>
    <row r="14" spans="2:11" ht="33">
      <c r="B14" s="2" t="s">
        <v>16</v>
      </c>
    </row>
    <row r="15" spans="2:11" ht="33">
      <c r="B15" s="2"/>
    </row>
    <row r="16" spans="2:11" ht="33">
      <c r="B16" s="3" t="s">
        <v>17</v>
      </c>
    </row>
    <row r="17" spans="2:10" ht="33">
      <c r="B17" s="2" t="s">
        <v>18</v>
      </c>
    </row>
    <row r="18" spans="2:10" ht="33">
      <c r="B18" s="2" t="s">
        <v>19</v>
      </c>
    </row>
    <row r="19" spans="2:10" ht="33">
      <c r="B19" s="2"/>
    </row>
    <row r="20" spans="2:10" ht="33">
      <c r="B20" s="20" t="s">
        <v>222</v>
      </c>
      <c r="J20" s="5"/>
    </row>
    <row r="21" spans="2:10">
      <c r="B21" t="s">
        <v>21</v>
      </c>
      <c r="J21" s="5"/>
    </row>
    <row r="22" spans="2:10">
      <c r="J22" s="4" t="s">
        <v>200</v>
      </c>
    </row>
    <row r="23" spans="2:10">
      <c r="J23" s="4" t="s">
        <v>201</v>
      </c>
    </row>
    <row r="24" spans="2:10">
      <c r="J24" s="4" t="s">
        <v>202</v>
      </c>
    </row>
    <row r="28" spans="2:10" ht="33">
      <c r="B28" s="2" t="s">
        <v>20</v>
      </c>
    </row>
    <row r="34" spans="14:14">
      <c r="N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391B-A1FD-8548-BDF8-D76E522FE8C8}">
  <dimension ref="B1:BF143"/>
  <sheetViews>
    <sheetView tabSelected="1" zoomScaleNormal="100" zoomScaleSheetLayoutView="90" workbookViewId="0">
      <pane xSplit="2" topLeftCell="AL1" activePane="topRight" state="frozen"/>
      <selection pane="topRight" activeCell="AM18" sqref="AM18"/>
    </sheetView>
  </sheetViews>
  <sheetFormatPr baseColWidth="10" defaultRowHeight="25"/>
  <cols>
    <col min="1" max="1" width="10.58203125" style="6"/>
    <col min="2" max="2" width="19.1640625" style="6" customWidth="1"/>
    <col min="3" max="35" width="10.58203125" style="6"/>
    <col min="36" max="38" width="21" style="6" bestFit="1" customWidth="1"/>
    <col min="39" max="45" width="10.58203125" style="6"/>
    <col min="46" max="46" width="10.58203125" style="62"/>
    <col min="47" max="16384" width="10.58203125" style="6"/>
  </cols>
  <sheetData>
    <row r="1" spans="2:58">
      <c r="C1" s="10" t="s">
        <v>127</v>
      </c>
      <c r="D1" s="10" t="s">
        <v>128</v>
      </c>
      <c r="E1" s="10" t="s">
        <v>129</v>
      </c>
      <c r="F1" s="10" t="s">
        <v>130</v>
      </c>
      <c r="G1" s="10" t="s">
        <v>131</v>
      </c>
      <c r="H1" s="10" t="s">
        <v>132</v>
      </c>
      <c r="I1" s="10" t="s">
        <v>133</v>
      </c>
      <c r="J1" s="10" t="s">
        <v>134</v>
      </c>
      <c r="K1" s="10" t="s">
        <v>135</v>
      </c>
      <c r="L1" s="10" t="s">
        <v>136</v>
      </c>
      <c r="M1" s="10" t="s">
        <v>137</v>
      </c>
      <c r="N1" s="10" t="s">
        <v>138</v>
      </c>
      <c r="O1" s="10" t="s">
        <v>139</v>
      </c>
      <c r="P1" s="10" t="s">
        <v>140</v>
      </c>
      <c r="Q1" s="10" t="s">
        <v>141</v>
      </c>
      <c r="R1" s="10" t="s">
        <v>142</v>
      </c>
      <c r="S1" s="10" t="s">
        <v>143</v>
      </c>
      <c r="T1" s="10" t="s">
        <v>144</v>
      </c>
      <c r="U1" s="10" t="s">
        <v>145</v>
      </c>
      <c r="V1" s="10" t="s">
        <v>146</v>
      </c>
      <c r="W1" s="10" t="s">
        <v>147</v>
      </c>
      <c r="X1" s="10" t="s">
        <v>148</v>
      </c>
      <c r="Y1" s="10" t="s">
        <v>149</v>
      </c>
      <c r="Z1" s="10" t="s">
        <v>150</v>
      </c>
      <c r="AA1" s="10" t="s">
        <v>151</v>
      </c>
      <c r="AB1" s="10" t="s">
        <v>152</v>
      </c>
      <c r="AC1" s="10" t="s">
        <v>153</v>
      </c>
      <c r="AD1" s="10" t="s">
        <v>154</v>
      </c>
      <c r="AE1" s="10" t="s">
        <v>155</v>
      </c>
      <c r="AF1" s="10" t="s">
        <v>156</v>
      </c>
      <c r="AG1" s="10" t="s">
        <v>157</v>
      </c>
      <c r="AH1" s="10" t="s">
        <v>158</v>
      </c>
      <c r="AI1" s="5"/>
      <c r="AJ1" s="5">
        <v>2013</v>
      </c>
      <c r="AK1" s="5">
        <v>2014</v>
      </c>
      <c r="AL1" s="5">
        <v>2015</v>
      </c>
      <c r="AM1" s="5">
        <v>2016</v>
      </c>
      <c r="AN1" s="5">
        <v>2017</v>
      </c>
      <c r="AO1" s="5">
        <v>2018</v>
      </c>
      <c r="AP1" s="5">
        <v>2019</v>
      </c>
      <c r="AQ1" s="5">
        <v>2020</v>
      </c>
      <c r="AR1" s="5">
        <f>+AQ1+1</f>
        <v>2021</v>
      </c>
      <c r="AS1" s="5">
        <f t="shared" ref="AS1:AT1" si="0">+AR1+1</f>
        <v>2022</v>
      </c>
      <c r="AT1" s="61">
        <f t="shared" si="0"/>
        <v>2023</v>
      </c>
      <c r="AU1" s="5">
        <f>+AT1+1</f>
        <v>2024</v>
      </c>
      <c r="AV1" s="5">
        <f t="shared" ref="AV1:BA1" si="1">+AU1+1</f>
        <v>2025</v>
      </c>
      <c r="AW1" s="5">
        <f t="shared" si="1"/>
        <v>2026</v>
      </c>
      <c r="AX1" s="5">
        <f t="shared" si="1"/>
        <v>2027</v>
      </c>
      <c r="AY1" s="5">
        <f t="shared" si="1"/>
        <v>2028</v>
      </c>
      <c r="AZ1" s="5">
        <f t="shared" si="1"/>
        <v>2029</v>
      </c>
      <c r="BA1" s="5">
        <f t="shared" si="1"/>
        <v>2030</v>
      </c>
      <c r="BB1" s="5">
        <f>+BA1+1</f>
        <v>2031</v>
      </c>
      <c r="BC1" s="5">
        <f>+BB1+1</f>
        <v>2032</v>
      </c>
      <c r="BD1" s="5">
        <f>+BC1+1</f>
        <v>2033</v>
      </c>
      <c r="BE1" s="5">
        <f>+BD1+1</f>
        <v>2034</v>
      </c>
      <c r="BF1" s="5">
        <f>+BE1+1</f>
        <v>2035</v>
      </c>
    </row>
    <row r="3" spans="2:58">
      <c r="B3" s="5" t="s">
        <v>23</v>
      </c>
    </row>
    <row r="4" spans="2:58">
      <c r="B4" s="5" t="s">
        <v>24</v>
      </c>
    </row>
    <row r="5" spans="2:58">
      <c r="B5" s="5" t="s">
        <v>25</v>
      </c>
    </row>
    <row r="6" spans="2:58">
      <c r="B6" s="5" t="s">
        <v>26</v>
      </c>
    </row>
    <row r="7" spans="2:58">
      <c r="B7" s="5" t="s">
        <v>27</v>
      </c>
    </row>
    <row r="8" spans="2:58">
      <c r="B8" s="5" t="s">
        <v>28</v>
      </c>
    </row>
    <row r="9" spans="2:58">
      <c r="B9" s="7" t="s">
        <v>29</v>
      </c>
      <c r="C9" s="32">
        <f>+C44</f>
        <v>0</v>
      </c>
      <c r="D9" s="32">
        <f>+D44</f>
        <v>0</v>
      </c>
      <c r="E9" s="32">
        <f>+E44</f>
        <v>0</v>
      </c>
      <c r="F9" s="32">
        <f>+F44</f>
        <v>0</v>
      </c>
      <c r="G9" s="32">
        <f>+G45</f>
        <v>3509</v>
      </c>
      <c r="H9" s="32">
        <f t="shared" ref="H9:AT9" si="2">+H45</f>
        <v>5168</v>
      </c>
      <c r="I9" s="32">
        <f t="shared" si="2"/>
        <v>5132</v>
      </c>
      <c r="J9" s="32">
        <f t="shared" si="2"/>
        <v>6143</v>
      </c>
      <c r="K9" s="32">
        <f t="shared" si="2"/>
        <v>4893</v>
      </c>
      <c r="L9" s="32">
        <f t="shared" si="2"/>
        <v>4911</v>
      </c>
      <c r="M9" s="32">
        <f t="shared" si="2"/>
        <v>7346</v>
      </c>
      <c r="N9" s="32">
        <f t="shared" si="2"/>
        <v>8633</v>
      </c>
      <c r="O9" s="32">
        <f t="shared" si="2"/>
        <v>8187</v>
      </c>
      <c r="P9" s="32">
        <f t="shared" si="2"/>
        <v>9520</v>
      </c>
      <c r="Q9" s="32">
        <f t="shared" si="2"/>
        <v>11393</v>
      </c>
      <c r="R9" s="32">
        <f t="shared" si="2"/>
        <v>15025</v>
      </c>
      <c r="S9" s="32">
        <f t="shared" si="2"/>
        <v>15514</v>
      </c>
      <c r="T9" s="32">
        <f t="shared" si="2"/>
        <v>13670</v>
      </c>
      <c r="U9" s="32">
        <f t="shared" si="2"/>
        <v>17785</v>
      </c>
      <c r="V9" s="32">
        <f t="shared" si="2"/>
        <v>21035</v>
      </c>
      <c r="W9" s="32">
        <f t="shared" si="2"/>
        <v>18878</v>
      </c>
      <c r="X9" s="32">
        <f t="shared" si="2"/>
        <v>20419</v>
      </c>
      <c r="Y9" s="32">
        <f>+Y45</f>
        <v>18582</v>
      </c>
      <c r="Z9" s="32">
        <f t="shared" si="2"/>
        <v>20630</v>
      </c>
      <c r="AA9" s="32">
        <f>+AA45</f>
        <v>16460</v>
      </c>
      <c r="AB9" s="32">
        <f t="shared" si="2"/>
        <v>18530</v>
      </c>
      <c r="AC9" s="32">
        <f>+AC45</f>
        <v>18831</v>
      </c>
      <c r="AD9" s="32">
        <f>+AD45</f>
        <v>24033.031137321035</v>
      </c>
      <c r="AE9" s="32">
        <f t="shared" si="2"/>
        <v>0</v>
      </c>
      <c r="AF9" s="32">
        <f t="shared" si="2"/>
        <v>0</v>
      </c>
      <c r="AG9" s="32">
        <f t="shared" si="2"/>
        <v>0</v>
      </c>
      <c r="AH9" s="32">
        <f t="shared" si="2"/>
        <v>0</v>
      </c>
      <c r="AI9" s="32">
        <f t="shared" si="2"/>
        <v>0</v>
      </c>
      <c r="AJ9" s="32">
        <f t="shared" si="2"/>
        <v>0</v>
      </c>
      <c r="AK9" s="32">
        <f t="shared" si="2"/>
        <v>0</v>
      </c>
      <c r="AL9" s="32">
        <f t="shared" si="2"/>
        <v>0</v>
      </c>
      <c r="AM9" s="32">
        <f>+AM45</f>
        <v>0</v>
      </c>
      <c r="AN9" s="32">
        <f t="shared" si="2"/>
        <v>0</v>
      </c>
      <c r="AO9" s="32">
        <f t="shared" si="2"/>
        <v>0</v>
      </c>
      <c r="AP9" s="32">
        <f t="shared" si="2"/>
        <v>19952</v>
      </c>
      <c r="AQ9" s="32">
        <f t="shared" si="2"/>
        <v>25783</v>
      </c>
      <c r="AR9" s="32">
        <f t="shared" si="2"/>
        <v>44125</v>
      </c>
      <c r="AS9" s="32">
        <f t="shared" si="2"/>
        <v>68004</v>
      </c>
      <c r="AT9" s="63">
        <f>+AT45</f>
        <v>78509</v>
      </c>
    </row>
    <row r="10" spans="2:58">
      <c r="B10" s="5" t="s">
        <v>30</v>
      </c>
    </row>
    <row r="11" spans="2:58">
      <c r="B11" s="5" t="s">
        <v>31</v>
      </c>
    </row>
    <row r="12" spans="2:58">
      <c r="F12" s="6" t="s">
        <v>233</v>
      </c>
    </row>
    <row r="13" spans="2:58">
      <c r="B13" s="5" t="s">
        <v>32</v>
      </c>
    </row>
    <row r="14" spans="2:58">
      <c r="B14" s="5" t="s">
        <v>33</v>
      </c>
    </row>
    <row r="15" spans="2:58">
      <c r="B15" s="5" t="s">
        <v>34</v>
      </c>
    </row>
    <row r="16" spans="2:58">
      <c r="B16" s="5" t="s">
        <v>35</v>
      </c>
    </row>
    <row r="17" spans="2:46">
      <c r="B17" s="5" t="s">
        <v>36</v>
      </c>
    </row>
    <row r="18" spans="2:46">
      <c r="B18" s="5" t="s">
        <v>37</v>
      </c>
    </row>
    <row r="19" spans="2:46">
      <c r="B19" s="5" t="s">
        <v>38</v>
      </c>
    </row>
    <row r="20" spans="2:46">
      <c r="B20" s="7" t="s">
        <v>39</v>
      </c>
      <c r="G20" s="34">
        <f>+G42</f>
        <v>77138</v>
      </c>
      <c r="H20" s="34">
        <f>+H42</f>
        <v>87048</v>
      </c>
      <c r="I20" s="34">
        <f>+I42</f>
        <v>96155</v>
      </c>
      <c r="J20" s="34">
        <f>+J42</f>
        <v>104891</v>
      </c>
      <c r="K20" s="34">
        <f>+K42</f>
        <v>102672</v>
      </c>
      <c r="L20" s="34">
        <f t="shared" ref="L20:U20" si="3">+L42</f>
        <v>82272</v>
      </c>
      <c r="M20" s="34">
        <f t="shared" si="3"/>
        <v>145036</v>
      </c>
      <c r="N20" s="34">
        <f t="shared" si="3"/>
        <v>179757</v>
      </c>
      <c r="O20" s="34">
        <f>+O42</f>
        <v>180338</v>
      </c>
      <c r="P20" s="34">
        <f>+P42</f>
        <v>206421</v>
      </c>
      <c r="Q20" s="34">
        <f>+Q42</f>
        <v>237823</v>
      </c>
      <c r="R20" s="34">
        <f>+R42</f>
        <v>305840</v>
      </c>
      <c r="S20" s="34">
        <f>+S42</f>
        <v>305407</v>
      </c>
      <c r="T20" s="34">
        <f t="shared" si="3"/>
        <v>258580</v>
      </c>
      <c r="U20" s="34">
        <f t="shared" si="3"/>
        <v>365923</v>
      </c>
      <c r="V20" s="34">
        <f>+V42</f>
        <v>439701</v>
      </c>
      <c r="W20" s="34">
        <f t="shared" ref="W20:AA20" si="4">+W42</f>
        <v>440808</v>
      </c>
      <c r="X20" s="34">
        <f t="shared" si="4"/>
        <v>479700</v>
      </c>
      <c r="Y20" s="34">
        <f t="shared" si="4"/>
        <v>430488</v>
      </c>
      <c r="Z20" s="34">
        <f t="shared" si="4"/>
        <v>494989</v>
      </c>
      <c r="AA20" s="34">
        <f t="shared" si="4"/>
        <v>433371</v>
      </c>
      <c r="AB20" s="34">
        <f>+AB42</f>
        <v>410831</v>
      </c>
      <c r="AC20" s="34">
        <f>+AC42</f>
        <v>469796</v>
      </c>
      <c r="AD20" s="34">
        <f>+AD42</f>
        <v>494989</v>
      </c>
      <c r="AT20" s="64">
        <f>+AT37</f>
        <v>1808581</v>
      </c>
    </row>
    <row r="21" spans="2:46">
      <c r="B21" s="5" t="s">
        <v>40</v>
      </c>
      <c r="C21" s="45">
        <v>63500</v>
      </c>
    </row>
    <row r="22" spans="2:46">
      <c r="B22" s="5"/>
    </row>
    <row r="23" spans="2:46">
      <c r="B23" s="5" t="s">
        <v>41</v>
      </c>
    </row>
    <row r="24" spans="2:46">
      <c r="B24" s="5" t="s">
        <v>42</v>
      </c>
    </row>
    <row r="25" spans="2:46">
      <c r="B25" s="5" t="s">
        <v>43</v>
      </c>
    </row>
    <row r="26" spans="2:46">
      <c r="B26" s="5" t="s">
        <v>44</v>
      </c>
    </row>
    <row r="27" spans="2:46">
      <c r="B27" s="5" t="s">
        <v>45</v>
      </c>
    </row>
    <row r="28" spans="2:46">
      <c r="B28" s="5" t="s">
        <v>46</v>
      </c>
    </row>
    <row r="29" spans="2:46">
      <c r="B29" s="5" t="s">
        <v>47</v>
      </c>
    </row>
    <row r="30" spans="2:46">
      <c r="B30" s="5" t="s">
        <v>48</v>
      </c>
    </row>
    <row r="31" spans="2:46">
      <c r="B31" s="5" t="s">
        <v>49</v>
      </c>
    </row>
    <row r="32" spans="2:46">
      <c r="B32" s="5"/>
    </row>
    <row r="33" spans="2:58">
      <c r="B33" s="5"/>
    </row>
    <row r="34" spans="2:58">
      <c r="B34" s="8" t="s">
        <v>50</v>
      </c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8"/>
      <c r="AJ34" s="8"/>
      <c r="AK34" s="8"/>
      <c r="AL34" s="8"/>
      <c r="AM34" s="8"/>
      <c r="AN34" s="8"/>
      <c r="AO34" s="8"/>
      <c r="AQ34" s="8"/>
      <c r="AR34" s="8"/>
      <c r="AT34" s="65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</row>
    <row r="35" spans="2:58">
      <c r="B35" s="8" t="s">
        <v>51</v>
      </c>
      <c r="G35" s="31">
        <v>12091</v>
      </c>
      <c r="H35" s="31">
        <v>17722</v>
      </c>
      <c r="I35" s="31">
        <v>17483</v>
      </c>
      <c r="J35" s="31">
        <v>19475</v>
      </c>
      <c r="K35" s="31">
        <v>12230</v>
      </c>
      <c r="L35" s="31">
        <v>10600</v>
      </c>
      <c r="M35" s="31">
        <v>15200</v>
      </c>
      <c r="N35" s="31">
        <v>18920</v>
      </c>
      <c r="O35" s="31">
        <v>2020</v>
      </c>
      <c r="P35" s="31">
        <v>1890</v>
      </c>
      <c r="Q35" s="31">
        <v>9275</v>
      </c>
      <c r="R35" s="31">
        <v>11750</v>
      </c>
      <c r="S35" s="31">
        <v>14724</v>
      </c>
      <c r="T35" s="31">
        <v>16162</v>
      </c>
      <c r="U35" s="31">
        <v>18672</v>
      </c>
      <c r="V35" s="31">
        <v>17147</v>
      </c>
      <c r="W35" s="31">
        <v>10695</v>
      </c>
      <c r="X35" s="31">
        <v>19225</v>
      </c>
      <c r="Y35" s="31">
        <v>15985</v>
      </c>
      <c r="Z35" s="31">
        <v>22969</v>
      </c>
      <c r="AA35" s="31">
        <v>17027</v>
      </c>
      <c r="AB35" s="31">
        <v>21551</v>
      </c>
      <c r="AC35" s="31">
        <v>22915</v>
      </c>
      <c r="AD35" s="31">
        <f>+Z35*1.3</f>
        <v>29859.7</v>
      </c>
      <c r="AE35" s="73">
        <f>SUM(AA35:AD35)</f>
        <v>91352.7</v>
      </c>
      <c r="AF35" s="23"/>
      <c r="AG35" s="23"/>
      <c r="AH35" s="23"/>
      <c r="AI35" s="8"/>
      <c r="AJ35" s="8"/>
      <c r="AK35" s="8"/>
      <c r="AL35" s="8"/>
      <c r="AM35" s="8"/>
      <c r="AN35" s="8"/>
      <c r="AO35" s="8"/>
      <c r="AP35" s="8">
        <f>SUM(G35:J35)</f>
        <v>66771</v>
      </c>
      <c r="AQ35" s="8">
        <f>SUM(K35:N35)</f>
        <v>56950</v>
      </c>
      <c r="AR35" s="8">
        <f>SUM(O35:R35)</f>
        <v>24935</v>
      </c>
      <c r="AS35" s="45">
        <f>SUM(S35:V35)</f>
        <v>66705</v>
      </c>
      <c r="AT35" s="65">
        <f>SUM(W35:Z35)</f>
        <v>68874</v>
      </c>
      <c r="AU35" s="74">
        <f>SUM(AA35:AD35)</f>
        <v>91352.7</v>
      </c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</row>
    <row r="36" spans="2:58">
      <c r="B36" s="8" t="s">
        <v>52</v>
      </c>
      <c r="G36" s="35">
        <v>50928</v>
      </c>
      <c r="H36" s="35">
        <v>77634</v>
      </c>
      <c r="I36" s="35">
        <v>79703</v>
      </c>
      <c r="J36" s="35">
        <v>92620</v>
      </c>
      <c r="K36" s="35">
        <v>76266</v>
      </c>
      <c r="L36" s="35">
        <v>80050</v>
      </c>
      <c r="M36" s="35">
        <v>124100</v>
      </c>
      <c r="N36" s="35">
        <v>161650</v>
      </c>
      <c r="O36" s="35">
        <v>182780</v>
      </c>
      <c r="P36" s="35">
        <v>199360</v>
      </c>
      <c r="Q36" s="35">
        <v>232025</v>
      </c>
      <c r="R36" s="35">
        <v>296850</v>
      </c>
      <c r="S36" s="35">
        <v>295324</v>
      </c>
      <c r="T36" s="35">
        <v>238533</v>
      </c>
      <c r="U36" s="35">
        <v>325158</v>
      </c>
      <c r="V36" s="35">
        <v>388131</v>
      </c>
      <c r="W36" s="35">
        <v>412180</v>
      </c>
      <c r="X36" s="35">
        <v>446915</v>
      </c>
      <c r="Y36" s="35">
        <v>419074</v>
      </c>
      <c r="Z36" s="35">
        <v>461538</v>
      </c>
      <c r="AA36" s="35">
        <v>369783</v>
      </c>
      <c r="AB36" s="35">
        <v>422405</v>
      </c>
      <c r="AC36" s="35">
        <v>439975</v>
      </c>
      <c r="AD36" s="35">
        <f>+Z36*1.1</f>
        <v>507691.80000000005</v>
      </c>
      <c r="AE36" s="23">
        <f>SUM(AA36:AD36)</f>
        <v>1739854.8</v>
      </c>
      <c r="AF36" s="23"/>
      <c r="AG36" s="23"/>
      <c r="AH36" s="23"/>
      <c r="AI36" s="8"/>
      <c r="AJ36" s="8"/>
      <c r="AK36" s="8"/>
      <c r="AL36" s="8"/>
      <c r="AM36" s="8"/>
      <c r="AN36" s="8"/>
      <c r="AO36" s="8"/>
      <c r="AP36" s="8">
        <f>SUM(G36:J36)</f>
        <v>300885</v>
      </c>
      <c r="AQ36" s="8">
        <f>SUM(K36:N36)</f>
        <v>442066</v>
      </c>
      <c r="AR36" s="8">
        <f>SUM(O36:R36)</f>
        <v>911015</v>
      </c>
      <c r="AS36" s="45">
        <f>SUM(S36:V36)</f>
        <v>1247146</v>
      </c>
      <c r="AT36" s="65">
        <f>SUM(W36:Z36)</f>
        <v>1739707</v>
      </c>
      <c r="AU36" s="8">
        <f>SUM(AA36:AD36)</f>
        <v>1739854.8</v>
      </c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</row>
    <row r="37" spans="2:58" ht="26" thickBot="1">
      <c r="B37" s="9" t="s">
        <v>53</v>
      </c>
      <c r="G37" s="39">
        <f>G36+G35</f>
        <v>63019</v>
      </c>
      <c r="H37" s="39">
        <f t="shared" ref="H37:AB37" si="5">H36+H35</f>
        <v>95356</v>
      </c>
      <c r="I37" s="39">
        <f t="shared" si="5"/>
        <v>97186</v>
      </c>
      <c r="J37" s="39">
        <f t="shared" si="5"/>
        <v>112095</v>
      </c>
      <c r="K37" s="39">
        <f t="shared" si="5"/>
        <v>88496</v>
      </c>
      <c r="L37" s="39">
        <f t="shared" si="5"/>
        <v>90650</v>
      </c>
      <c r="M37" s="39">
        <f t="shared" si="5"/>
        <v>139300</v>
      </c>
      <c r="N37" s="39">
        <f t="shared" si="5"/>
        <v>180570</v>
      </c>
      <c r="O37" s="39">
        <f t="shared" si="5"/>
        <v>184800</v>
      </c>
      <c r="P37" s="39">
        <f t="shared" si="5"/>
        <v>201250</v>
      </c>
      <c r="Q37" s="39">
        <f t="shared" si="5"/>
        <v>241300</v>
      </c>
      <c r="R37" s="39">
        <f t="shared" si="5"/>
        <v>308600</v>
      </c>
      <c r="S37" s="39">
        <f t="shared" si="5"/>
        <v>310048</v>
      </c>
      <c r="T37" s="39">
        <f t="shared" si="5"/>
        <v>254695</v>
      </c>
      <c r="U37" s="39">
        <f t="shared" si="5"/>
        <v>343830</v>
      </c>
      <c r="V37" s="39">
        <f t="shared" si="5"/>
        <v>405278</v>
      </c>
      <c r="W37" s="39">
        <f t="shared" si="5"/>
        <v>422875</v>
      </c>
      <c r="X37" s="39">
        <f t="shared" si="5"/>
        <v>466140</v>
      </c>
      <c r="Y37" s="39">
        <f t="shared" si="5"/>
        <v>435059</v>
      </c>
      <c r="Z37" s="39">
        <f t="shared" si="5"/>
        <v>484507</v>
      </c>
      <c r="AA37" s="39">
        <f t="shared" si="5"/>
        <v>386810</v>
      </c>
      <c r="AB37" s="39">
        <f t="shared" si="5"/>
        <v>443956</v>
      </c>
      <c r="AC37" s="39">
        <f>AC36+AC35</f>
        <v>462890</v>
      </c>
      <c r="AD37" s="39">
        <f>AD36+AD35</f>
        <v>537551.5</v>
      </c>
      <c r="AE37" s="22">
        <f>SUM(AA37:AD37)</f>
        <v>1831207.5</v>
      </c>
      <c r="AF37" s="22"/>
      <c r="AG37" s="22"/>
      <c r="AH37" s="22"/>
      <c r="AI37" s="9"/>
      <c r="AJ37" s="9"/>
      <c r="AK37" s="9"/>
      <c r="AL37" s="9"/>
      <c r="AM37" s="9"/>
      <c r="AN37" s="9"/>
      <c r="AO37" s="9"/>
      <c r="AP37" s="9">
        <f>SUM(AP35:AP36)</f>
        <v>367656</v>
      </c>
      <c r="AQ37" s="9">
        <f>SUM(AQ35:AQ36)</f>
        <v>499016</v>
      </c>
      <c r="AR37" s="9">
        <f>SUM(AR35:AR36)</f>
        <v>935950</v>
      </c>
      <c r="AS37" s="9">
        <f>SUM(AS35:AS36)</f>
        <v>1313851</v>
      </c>
      <c r="AT37" s="66">
        <f>SUM(AT35:AT36)</f>
        <v>1808581</v>
      </c>
      <c r="AU37" s="66">
        <f>SUM(AU35:AU36)</f>
        <v>1831207.5</v>
      </c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</row>
    <row r="38" spans="2:58" ht="26" thickTop="1">
      <c r="B38" s="8" t="s">
        <v>54</v>
      </c>
      <c r="G38" s="31">
        <f>G45*1000000/G37</f>
        <v>55681.619828940478</v>
      </c>
      <c r="H38" s="31">
        <f t="shared" ref="H38:AB38" si="6">H45*1000000/H37</f>
        <v>54196.904232560089</v>
      </c>
      <c r="I38" s="31">
        <f t="shared" si="6"/>
        <v>52805.95970613051</v>
      </c>
      <c r="J38" s="31">
        <f t="shared" si="6"/>
        <v>54801.730674873994</v>
      </c>
      <c r="K38" s="31">
        <f t="shared" si="6"/>
        <v>55290.634604953899</v>
      </c>
      <c r="L38" s="31">
        <f t="shared" si="6"/>
        <v>54175.399889685606</v>
      </c>
      <c r="M38" s="31">
        <f t="shared" si="6"/>
        <v>52735.10409188801</v>
      </c>
      <c r="N38" s="31">
        <f t="shared" si="6"/>
        <v>47809.713684443705</v>
      </c>
      <c r="O38" s="31">
        <f t="shared" si="6"/>
        <v>44301.948051948049</v>
      </c>
      <c r="P38" s="31">
        <f t="shared" si="6"/>
        <v>47304.34782608696</v>
      </c>
      <c r="Q38" s="31">
        <f t="shared" si="6"/>
        <v>47215.084956485705</v>
      </c>
      <c r="R38" s="31">
        <f t="shared" si="6"/>
        <v>48687.621516526247</v>
      </c>
      <c r="S38" s="31">
        <f t="shared" si="6"/>
        <v>50037.413561771078</v>
      </c>
      <c r="T38" s="31">
        <f t="shared" si="6"/>
        <v>53672.039105596894</v>
      </c>
      <c r="U38" s="31">
        <f t="shared" si="6"/>
        <v>51726.143733821948</v>
      </c>
      <c r="V38" s="31">
        <f t="shared" si="6"/>
        <v>51902.644604444358</v>
      </c>
      <c r="W38" s="31">
        <f t="shared" si="6"/>
        <v>44642.033697901272</v>
      </c>
      <c r="X38" s="31">
        <f t="shared" si="6"/>
        <v>43804.436435405674</v>
      </c>
      <c r="Y38" s="31">
        <f t="shared" si="6"/>
        <v>42711.448332295156</v>
      </c>
      <c r="Z38" s="31">
        <f>Z45*1000000/Z37</f>
        <v>42579.364178432923</v>
      </c>
      <c r="AA38" s="31">
        <f t="shared" si="6"/>
        <v>42553.191489361699</v>
      </c>
      <c r="AB38" s="31">
        <f t="shared" si="6"/>
        <v>41738.370469145593</v>
      </c>
      <c r="AC38" s="31">
        <f>+AB38*0.99</f>
        <v>41320.986764454137</v>
      </c>
      <c r="AD38" s="31">
        <f>+Z38*1.05</f>
        <v>44708.332387354574</v>
      </c>
      <c r="AE38" s="23">
        <f>AU45/AU37*1000000</f>
        <v>42515.133395489604</v>
      </c>
      <c r="AF38" s="23"/>
      <c r="AG38" s="23"/>
      <c r="AH38" s="23"/>
      <c r="AI38" s="8"/>
      <c r="AJ38" s="8"/>
      <c r="AK38" s="8"/>
      <c r="AL38" s="8"/>
      <c r="AM38" s="8"/>
      <c r="AN38" s="8"/>
      <c r="AO38" s="8"/>
      <c r="AP38" s="8">
        <f>AP45/AP37*1000000</f>
        <v>54268.120199316756</v>
      </c>
      <c r="AQ38" s="8">
        <f>AQ45/AQ37*1000000</f>
        <v>51667.681998172404</v>
      </c>
      <c r="AR38" s="8">
        <f>AR45/AR37*1000000</f>
        <v>47144.612425877451</v>
      </c>
      <c r="AS38" s="8">
        <f>AS45/AS37*1000000</f>
        <v>51759.293862089384</v>
      </c>
      <c r="AT38" s="65">
        <f>AT45/AT37*1000000</f>
        <v>43409.169951470241</v>
      </c>
      <c r="AU38" s="8">
        <f>AU45/AU37*1000000</f>
        <v>42515.133395489604</v>
      </c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</row>
    <row r="39" spans="2:58">
      <c r="B39" s="8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8"/>
      <c r="AJ39" s="8"/>
      <c r="AK39" s="8"/>
      <c r="AL39" s="8"/>
      <c r="AM39" s="8"/>
      <c r="AN39" s="8"/>
      <c r="AO39" s="8"/>
      <c r="AP39" s="8"/>
      <c r="AQ39" s="8"/>
      <c r="AR39" s="8"/>
      <c r="AT39" s="65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</row>
    <row r="40" spans="2:58">
      <c r="B40" s="8" t="s">
        <v>55</v>
      </c>
      <c r="G40" s="33">
        <v>14163</v>
      </c>
      <c r="H40" s="33">
        <v>14517</v>
      </c>
      <c r="I40" s="33">
        <v>16318</v>
      </c>
      <c r="J40" s="33">
        <v>17933</v>
      </c>
      <c r="K40" s="33">
        <v>15390</v>
      </c>
      <c r="L40" s="33">
        <v>6326</v>
      </c>
      <c r="M40" s="33">
        <v>16992</v>
      </c>
      <c r="N40" s="33">
        <v>16097</v>
      </c>
      <c r="O40" s="33">
        <v>0</v>
      </c>
      <c r="P40" s="33">
        <v>2340</v>
      </c>
      <c r="Q40" s="33">
        <v>8941</v>
      </c>
      <c r="R40" s="33">
        <v>13109</v>
      </c>
      <c r="S40" s="33">
        <v>14218</v>
      </c>
      <c r="T40" s="33">
        <v>16411</v>
      </c>
      <c r="U40" s="33">
        <v>19935</v>
      </c>
      <c r="V40" s="33">
        <v>20613</v>
      </c>
      <c r="W40" s="33">
        <v>19437</v>
      </c>
      <c r="X40" s="33">
        <v>19489</v>
      </c>
      <c r="Y40" s="33">
        <v>13688</v>
      </c>
      <c r="Z40" s="33">
        <v>18212</v>
      </c>
      <c r="AA40" s="33">
        <v>20995</v>
      </c>
      <c r="AB40" s="33">
        <v>24255</v>
      </c>
      <c r="AC40" s="33">
        <v>26128</v>
      </c>
      <c r="AD40" s="33">
        <f>+Z40</f>
        <v>18212</v>
      </c>
      <c r="AE40" s="22"/>
      <c r="AF40" s="22"/>
      <c r="AG40" s="22"/>
      <c r="AH40" s="22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66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</row>
    <row r="41" spans="2:58">
      <c r="B41" s="8" t="s">
        <v>56</v>
      </c>
      <c r="G41" s="37">
        <v>62975</v>
      </c>
      <c r="H41" s="37">
        <v>72531</v>
      </c>
      <c r="I41" s="37">
        <v>79837</v>
      </c>
      <c r="J41" s="37">
        <v>86958</v>
      </c>
      <c r="K41" s="37">
        <v>87282</v>
      </c>
      <c r="L41" s="37">
        <v>75946</v>
      </c>
      <c r="M41" s="37">
        <v>128044</v>
      </c>
      <c r="N41" s="37">
        <v>163660</v>
      </c>
      <c r="O41" s="37">
        <v>180338</v>
      </c>
      <c r="P41" s="37">
        <v>204081</v>
      </c>
      <c r="Q41" s="37">
        <v>228882</v>
      </c>
      <c r="R41" s="37">
        <v>292731</v>
      </c>
      <c r="S41" s="37">
        <v>291189</v>
      </c>
      <c r="T41" s="37">
        <v>242169</v>
      </c>
      <c r="U41" s="37">
        <v>345988</v>
      </c>
      <c r="V41" s="37">
        <v>419088</v>
      </c>
      <c r="W41" s="37">
        <v>421371</v>
      </c>
      <c r="X41" s="37">
        <v>460211</v>
      </c>
      <c r="Y41" s="37">
        <v>416800</v>
      </c>
      <c r="Z41" s="37">
        <v>476777</v>
      </c>
      <c r="AA41" s="37">
        <v>412376</v>
      </c>
      <c r="AB41" s="37">
        <v>386576</v>
      </c>
      <c r="AC41" s="37">
        <v>443668</v>
      </c>
      <c r="AD41" s="37">
        <f>+Y41</f>
        <v>416800</v>
      </c>
      <c r="AE41" s="23"/>
      <c r="AF41" s="23"/>
      <c r="AG41" s="23"/>
      <c r="AH41" s="23"/>
      <c r="AI41" s="8"/>
      <c r="AJ41" s="8"/>
      <c r="AK41" s="8"/>
      <c r="AL41" s="8"/>
      <c r="AM41" s="8"/>
      <c r="AN41" s="8"/>
      <c r="AO41" s="8"/>
      <c r="AP41" s="8"/>
      <c r="AQ41" s="8"/>
      <c r="AR41" s="8"/>
      <c r="AT41" s="65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</row>
    <row r="42" spans="2:58" ht="26" thickBot="1">
      <c r="B42" s="9" t="s">
        <v>57</v>
      </c>
      <c r="G42" s="38">
        <f>G41+G40</f>
        <v>77138</v>
      </c>
      <c r="H42" s="38">
        <f t="shared" ref="H42:K42" si="7">H41+H40</f>
        <v>87048</v>
      </c>
      <c r="I42" s="38">
        <f t="shared" si="7"/>
        <v>96155</v>
      </c>
      <c r="J42" s="38">
        <f t="shared" si="7"/>
        <v>104891</v>
      </c>
      <c r="K42" s="38">
        <f t="shared" si="7"/>
        <v>102672</v>
      </c>
      <c r="L42" s="38">
        <f t="shared" ref="L42:T42" si="8">L41+L40</f>
        <v>82272</v>
      </c>
      <c r="M42" s="38">
        <f t="shared" si="8"/>
        <v>145036</v>
      </c>
      <c r="N42" s="38">
        <f t="shared" si="8"/>
        <v>179757</v>
      </c>
      <c r="O42" s="38">
        <f t="shared" si="8"/>
        <v>180338</v>
      </c>
      <c r="P42" s="38">
        <f t="shared" si="8"/>
        <v>206421</v>
      </c>
      <c r="Q42" s="38">
        <f t="shared" si="8"/>
        <v>237823</v>
      </c>
      <c r="R42" s="38">
        <f t="shared" si="8"/>
        <v>305840</v>
      </c>
      <c r="S42" s="38">
        <f t="shared" si="8"/>
        <v>305407</v>
      </c>
      <c r="T42" s="38">
        <f t="shared" si="8"/>
        <v>258580</v>
      </c>
      <c r="U42" s="38">
        <f t="shared" ref="U42:AB42" si="9">+U40+U41</f>
        <v>365923</v>
      </c>
      <c r="V42" s="38">
        <f t="shared" si="9"/>
        <v>439701</v>
      </c>
      <c r="W42" s="38">
        <f t="shared" si="9"/>
        <v>440808</v>
      </c>
      <c r="X42" s="38">
        <f t="shared" si="9"/>
        <v>479700</v>
      </c>
      <c r="Y42" s="38">
        <f t="shared" si="9"/>
        <v>430488</v>
      </c>
      <c r="Z42" s="38">
        <f t="shared" si="9"/>
        <v>494989</v>
      </c>
      <c r="AA42" s="38">
        <f t="shared" si="9"/>
        <v>433371</v>
      </c>
      <c r="AB42" s="38">
        <f t="shared" si="9"/>
        <v>410831</v>
      </c>
      <c r="AC42" s="38">
        <f>+AC40+AC41</f>
        <v>469796</v>
      </c>
      <c r="AD42" s="38">
        <f>+Z42</f>
        <v>494989</v>
      </c>
      <c r="AE42" s="23"/>
      <c r="AF42" s="23"/>
      <c r="AG42" s="23"/>
      <c r="AH42" s="23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65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</row>
    <row r="43" spans="2:58" ht="26" thickTop="1">
      <c r="B43" s="8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65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</row>
    <row r="44" spans="2:58">
      <c r="B44" s="8" t="s">
        <v>58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65"/>
      <c r="AU44" s="8">
        <f>+AU118-AT118</f>
        <v>0</v>
      </c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</row>
    <row r="45" spans="2:58">
      <c r="B45" s="8" t="s">
        <v>59</v>
      </c>
      <c r="C45" s="23"/>
      <c r="D45" s="23"/>
      <c r="E45" s="23"/>
      <c r="F45" s="23"/>
      <c r="G45" s="31">
        <v>3509</v>
      </c>
      <c r="H45" s="31">
        <v>5168</v>
      </c>
      <c r="I45" s="31">
        <v>5132</v>
      </c>
      <c r="J45" s="31">
        <v>6143</v>
      </c>
      <c r="K45" s="31">
        <v>4893</v>
      </c>
      <c r="L45" s="31">
        <v>4911</v>
      </c>
      <c r="M45" s="31">
        <v>7346</v>
      </c>
      <c r="N45" s="31">
        <f>9034-N46</f>
        <v>8633</v>
      </c>
      <c r="O45" s="31">
        <v>8187</v>
      </c>
      <c r="P45" s="31">
        <f>9874-354</f>
        <v>9520</v>
      </c>
      <c r="Q45" s="31">
        <f>11672-279</f>
        <v>11393</v>
      </c>
      <c r="R45" s="31">
        <f>15339-314</f>
        <v>15025</v>
      </c>
      <c r="S45" s="31">
        <v>15514</v>
      </c>
      <c r="T45" s="31">
        <v>13670</v>
      </c>
      <c r="U45" s="31">
        <v>17785</v>
      </c>
      <c r="V45" s="31">
        <f>+R45*1.4</f>
        <v>21035</v>
      </c>
      <c r="W45" s="31">
        <v>18878</v>
      </c>
      <c r="X45" s="31">
        <v>20419</v>
      </c>
      <c r="Y45" s="31">
        <v>18582</v>
      </c>
      <c r="Z45" s="31">
        <v>20630</v>
      </c>
      <c r="AA45" s="31">
        <v>16460</v>
      </c>
      <c r="AB45" s="31">
        <v>18530</v>
      </c>
      <c r="AC45" s="31">
        <v>18831</v>
      </c>
      <c r="AD45" s="31">
        <f>+AD38*AD37/1000000</f>
        <v>24033.031137321035</v>
      </c>
      <c r="AE45" s="23"/>
      <c r="AF45" s="23"/>
      <c r="AG45" s="23"/>
      <c r="AH45" s="23"/>
      <c r="AI45" s="8"/>
      <c r="AJ45" s="8"/>
      <c r="AK45" s="8"/>
      <c r="AL45" s="8"/>
      <c r="AM45" s="8"/>
      <c r="AN45" s="8"/>
      <c r="AO45" s="8"/>
      <c r="AP45" s="8">
        <f>SUM(G45:J45)</f>
        <v>19952</v>
      </c>
      <c r="AQ45" s="8">
        <f>SUM(K45:N45)</f>
        <v>25783</v>
      </c>
      <c r="AR45" s="8">
        <f>SUM(O45:R45)</f>
        <v>44125</v>
      </c>
      <c r="AS45" s="8">
        <f>SUM(S45:V45)</f>
        <v>68004</v>
      </c>
      <c r="AT45" s="65">
        <f>SUM(W45:Z45)</f>
        <v>78509</v>
      </c>
      <c r="AU45" s="8">
        <f>SUM(AA45:AD45)</f>
        <v>77854.031137321028</v>
      </c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</row>
    <row r="46" spans="2:58">
      <c r="B46" s="8" t="s">
        <v>60</v>
      </c>
      <c r="C46" s="23"/>
      <c r="D46" s="23"/>
      <c r="E46" s="23"/>
      <c r="F46" s="23"/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31">
        <v>401</v>
      </c>
      <c r="O46" s="31">
        <v>518</v>
      </c>
      <c r="P46" s="31">
        <v>354</v>
      </c>
      <c r="Q46" s="31">
        <v>279</v>
      </c>
      <c r="R46" s="31">
        <v>314</v>
      </c>
      <c r="S46" s="31">
        <v>679</v>
      </c>
      <c r="T46" s="31">
        <v>344</v>
      </c>
      <c r="U46" s="31">
        <v>286</v>
      </c>
      <c r="V46" s="31">
        <f t="shared" ref="V46:V47" si="10">+R46*1.4</f>
        <v>439.59999999999997</v>
      </c>
      <c r="W46" s="31">
        <v>521</v>
      </c>
      <c r="X46" s="31">
        <v>282</v>
      </c>
      <c r="Y46" s="31">
        <v>554</v>
      </c>
      <c r="Z46" s="31">
        <v>433</v>
      </c>
      <c r="AA46" s="31">
        <v>442</v>
      </c>
      <c r="AB46" s="31">
        <v>890</v>
      </c>
      <c r="AC46" s="31">
        <v>739</v>
      </c>
      <c r="AD46" s="31">
        <f t="shared" ref="AD46:AD47" si="11">+Z46</f>
        <v>433</v>
      </c>
      <c r="AE46" s="23"/>
      <c r="AF46" s="23"/>
      <c r="AG46" s="23"/>
      <c r="AH46" s="23"/>
      <c r="AI46" s="8"/>
      <c r="AJ46" s="8"/>
      <c r="AK46" s="8"/>
      <c r="AL46" s="8"/>
      <c r="AM46" s="8"/>
      <c r="AN46" s="8"/>
      <c r="AO46" s="8"/>
      <c r="AP46" s="8">
        <f>SUM(G46:J46)</f>
        <v>0</v>
      </c>
      <c r="AQ46" s="8">
        <f>SUM(K46:N46)</f>
        <v>401</v>
      </c>
      <c r="AR46" s="8">
        <f>SUM(O46:R46)</f>
        <v>1465</v>
      </c>
      <c r="AS46" s="8">
        <f>SUM(S46:V46)</f>
        <v>1748.6</v>
      </c>
      <c r="AT46" s="65">
        <f>SUM(W46:Z46)</f>
        <v>1790</v>
      </c>
      <c r="AU46" s="8">
        <f>SUM(AA46:AD46)</f>
        <v>2504</v>
      </c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</row>
    <row r="47" spans="2:58">
      <c r="B47" s="8" t="s">
        <v>61</v>
      </c>
      <c r="C47" s="23"/>
      <c r="D47" s="23"/>
      <c r="E47" s="23"/>
      <c r="F47" s="23"/>
      <c r="G47" s="35">
        <v>215</v>
      </c>
      <c r="H47" s="35">
        <v>208</v>
      </c>
      <c r="I47" s="35">
        <v>221</v>
      </c>
      <c r="J47" s="35">
        <v>225</v>
      </c>
      <c r="K47" s="35">
        <v>239</v>
      </c>
      <c r="L47" s="35">
        <v>268</v>
      </c>
      <c r="M47" s="35">
        <v>265</v>
      </c>
      <c r="N47" s="35">
        <v>280</v>
      </c>
      <c r="O47" s="35">
        <v>297</v>
      </c>
      <c r="P47" s="35">
        <v>332</v>
      </c>
      <c r="Q47" s="35">
        <v>385</v>
      </c>
      <c r="R47" s="35">
        <v>628</v>
      </c>
      <c r="S47" s="35">
        <v>668</v>
      </c>
      <c r="T47" s="35">
        <v>588</v>
      </c>
      <c r="U47" s="35">
        <v>621</v>
      </c>
      <c r="V47" s="35">
        <f t="shared" si="10"/>
        <v>879.19999999999993</v>
      </c>
      <c r="W47" s="35">
        <v>564</v>
      </c>
      <c r="X47" s="35">
        <v>567</v>
      </c>
      <c r="Y47" s="35">
        <v>489</v>
      </c>
      <c r="Z47" s="35">
        <v>500</v>
      </c>
      <c r="AA47" s="35">
        <v>476</v>
      </c>
      <c r="AB47" s="35">
        <v>458</v>
      </c>
      <c r="AC47" s="35">
        <v>446</v>
      </c>
      <c r="AD47" s="35">
        <f t="shared" si="11"/>
        <v>500</v>
      </c>
      <c r="AE47" s="23"/>
      <c r="AF47" s="23"/>
      <c r="AG47" s="23"/>
      <c r="AH47" s="23"/>
      <c r="AI47" s="8"/>
      <c r="AJ47" s="8"/>
      <c r="AK47" s="8"/>
      <c r="AL47" s="8"/>
      <c r="AM47" s="8"/>
      <c r="AN47" s="8"/>
      <c r="AO47" s="8"/>
      <c r="AP47" s="8">
        <f>SUM(G47:J47)</f>
        <v>869</v>
      </c>
      <c r="AQ47" s="8">
        <f>SUM(K47:N47)</f>
        <v>1052</v>
      </c>
      <c r="AR47" s="8">
        <f>SUM(O47:R47)</f>
        <v>1642</v>
      </c>
      <c r="AS47" s="8">
        <f>SUM(S47:V47)</f>
        <v>2756.2</v>
      </c>
      <c r="AT47" s="65">
        <f>SUM(W47:Z47)</f>
        <v>2120</v>
      </c>
      <c r="AU47" s="8">
        <f>SUM(AA47:AD47)</f>
        <v>1880</v>
      </c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</row>
    <row r="48" spans="2:58" ht="26" thickBot="1">
      <c r="B48" s="9" t="s">
        <v>62</v>
      </c>
      <c r="C48" s="22"/>
      <c r="D48" s="22"/>
      <c r="E48" s="22"/>
      <c r="F48" s="22"/>
      <c r="G48" s="36">
        <f>SUM(G45:G47)</f>
        <v>3724</v>
      </c>
      <c r="H48" s="36">
        <f t="shared" ref="H48:R48" si="12">SUM(H45:H47)</f>
        <v>5376</v>
      </c>
      <c r="I48" s="36">
        <f t="shared" si="12"/>
        <v>5353</v>
      </c>
      <c r="J48" s="36">
        <f t="shared" si="12"/>
        <v>6368</v>
      </c>
      <c r="K48" s="36">
        <f t="shared" si="12"/>
        <v>5132</v>
      </c>
      <c r="L48" s="36">
        <f t="shared" si="12"/>
        <v>5179</v>
      </c>
      <c r="M48" s="36">
        <f t="shared" si="12"/>
        <v>7611</v>
      </c>
      <c r="N48" s="36">
        <f t="shared" si="12"/>
        <v>9314</v>
      </c>
      <c r="O48" s="36">
        <f t="shared" si="12"/>
        <v>9002</v>
      </c>
      <c r="P48" s="36">
        <f t="shared" si="12"/>
        <v>10206</v>
      </c>
      <c r="Q48" s="36">
        <f t="shared" si="12"/>
        <v>12057</v>
      </c>
      <c r="R48" s="36">
        <f t="shared" si="12"/>
        <v>15967</v>
      </c>
      <c r="S48" s="36">
        <f>SUM(S45:S47)</f>
        <v>16861</v>
      </c>
      <c r="T48" s="36">
        <f>SUM(T45:T47)</f>
        <v>14602</v>
      </c>
      <c r="U48" s="36">
        <f>SUM(U45:U47)</f>
        <v>18692</v>
      </c>
      <c r="V48" s="36">
        <f t="shared" ref="V48:AD48" si="13">SUM(V45:V47)</f>
        <v>22353.8</v>
      </c>
      <c r="W48" s="36">
        <f t="shared" si="13"/>
        <v>19963</v>
      </c>
      <c r="X48" s="36">
        <f t="shared" si="13"/>
        <v>21268</v>
      </c>
      <c r="Y48" s="36">
        <f t="shared" si="13"/>
        <v>19625</v>
      </c>
      <c r="Z48" s="36">
        <f t="shared" si="13"/>
        <v>21563</v>
      </c>
      <c r="AA48" s="36">
        <f t="shared" si="13"/>
        <v>17378</v>
      </c>
      <c r="AB48" s="36">
        <f t="shared" si="13"/>
        <v>19878</v>
      </c>
      <c r="AC48" s="36">
        <f>SUM(AC45:AC47)</f>
        <v>20016</v>
      </c>
      <c r="AD48" s="36">
        <f t="shared" si="13"/>
        <v>24966.031137321035</v>
      </c>
      <c r="AE48" s="23"/>
      <c r="AF48" s="23"/>
      <c r="AG48" s="23"/>
      <c r="AH48" s="23"/>
      <c r="AI48" s="8"/>
      <c r="AJ48" s="8"/>
      <c r="AK48" s="8"/>
      <c r="AL48" s="8"/>
      <c r="AM48" s="8"/>
      <c r="AN48" s="8"/>
      <c r="AO48" s="8"/>
      <c r="AP48" s="22">
        <f t="shared" ref="AP48:AR48" si="14">SUM(AP45:AP47)</f>
        <v>20821</v>
      </c>
      <c r="AQ48" s="22">
        <f t="shared" si="14"/>
        <v>27236</v>
      </c>
      <c r="AR48" s="22">
        <f>SUM(AR45:AR47)</f>
        <v>47232</v>
      </c>
      <c r="AS48" s="22">
        <f>SUM(AS45:AS47)</f>
        <v>72508.800000000003</v>
      </c>
      <c r="AT48" s="67">
        <f>SUM(AT45:AT47)</f>
        <v>82419</v>
      </c>
      <c r="AU48" s="67">
        <f>SUM(AU45:AU47)</f>
        <v>82238.031137321028</v>
      </c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</row>
    <row r="49" spans="2:58" ht="26" thickTop="1">
      <c r="B49" s="8" t="s">
        <v>63</v>
      </c>
      <c r="C49" s="23"/>
      <c r="D49" s="23"/>
      <c r="E49" s="23"/>
      <c r="F49" s="23"/>
      <c r="G49" s="31">
        <v>324</v>
      </c>
      <c r="H49" s="31">
        <v>369</v>
      </c>
      <c r="I49" s="31">
        <v>402</v>
      </c>
      <c r="J49" s="31">
        <v>436</v>
      </c>
      <c r="K49" s="31">
        <v>293</v>
      </c>
      <c r="L49" s="31">
        <v>370</v>
      </c>
      <c r="M49" s="31">
        <v>579</v>
      </c>
      <c r="N49" s="31">
        <v>752</v>
      </c>
      <c r="O49" s="31">
        <v>494</v>
      </c>
      <c r="P49" s="31">
        <v>801</v>
      </c>
      <c r="Q49" s="31">
        <v>806</v>
      </c>
      <c r="R49" s="31">
        <v>688</v>
      </c>
      <c r="S49" s="31">
        <v>616</v>
      </c>
      <c r="T49" s="31">
        <v>866</v>
      </c>
      <c r="U49" s="31">
        <v>1117</v>
      </c>
      <c r="V49" s="31">
        <f t="shared" ref="V49:V50" si="15">+R49*1.4</f>
        <v>963.19999999999993</v>
      </c>
      <c r="W49" s="31">
        <v>1529</v>
      </c>
      <c r="X49" s="31">
        <v>1509</v>
      </c>
      <c r="Y49" s="31">
        <v>1559</v>
      </c>
      <c r="Z49" s="31">
        <v>1438</v>
      </c>
      <c r="AA49" s="31">
        <v>1635</v>
      </c>
      <c r="AB49" s="31">
        <v>3014</v>
      </c>
      <c r="AC49" s="31">
        <v>2376</v>
      </c>
      <c r="AD49" s="31">
        <f t="shared" ref="AD49:AD50" si="16">+Z49</f>
        <v>1438</v>
      </c>
      <c r="AE49" s="23"/>
      <c r="AF49" s="23"/>
      <c r="AG49" s="23"/>
      <c r="AH49" s="23"/>
      <c r="AI49" s="8"/>
      <c r="AJ49" s="51">
        <v>1921.877</v>
      </c>
      <c r="AK49" s="51">
        <v>3007.0120000000002</v>
      </c>
      <c r="AL49" s="51">
        <v>3741</v>
      </c>
      <c r="AM49" s="8"/>
      <c r="AN49" s="8"/>
      <c r="AO49" s="8"/>
      <c r="AP49" s="74">
        <f>SUM(G49:J49)</f>
        <v>1531</v>
      </c>
      <c r="AQ49" s="8">
        <f>SUM(K49:N49)</f>
        <v>1994</v>
      </c>
      <c r="AR49" s="8">
        <f>SUM(O49:R49)</f>
        <v>2789</v>
      </c>
      <c r="AS49" s="8">
        <f>SUM(S49:V49)</f>
        <v>3562.2</v>
      </c>
      <c r="AT49" s="65">
        <f>SUM(W49:Z49)</f>
        <v>6035</v>
      </c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</row>
    <row r="50" spans="2:58">
      <c r="B50" s="8" t="s">
        <v>64</v>
      </c>
      <c r="C50" s="23"/>
      <c r="D50" s="23"/>
      <c r="E50" s="23"/>
      <c r="F50" s="23"/>
      <c r="G50" s="35">
        <v>493</v>
      </c>
      <c r="H50" s="35">
        <v>605</v>
      </c>
      <c r="I50" s="35">
        <v>548</v>
      </c>
      <c r="J50" s="35">
        <v>580</v>
      </c>
      <c r="K50" s="35">
        <v>560</v>
      </c>
      <c r="L50" s="35">
        <v>487</v>
      </c>
      <c r="M50" s="35">
        <v>581</v>
      </c>
      <c r="N50" s="35">
        <v>678</v>
      </c>
      <c r="O50" s="35">
        <v>893</v>
      </c>
      <c r="P50" s="35">
        <v>951</v>
      </c>
      <c r="Q50" s="35">
        <v>894</v>
      </c>
      <c r="R50" s="35">
        <v>1064</v>
      </c>
      <c r="S50" s="35">
        <v>1279</v>
      </c>
      <c r="T50" s="35">
        <v>1466</v>
      </c>
      <c r="U50" s="35">
        <v>1645</v>
      </c>
      <c r="V50" s="35">
        <f t="shared" si="15"/>
        <v>1489.6</v>
      </c>
      <c r="W50" s="35">
        <v>1837</v>
      </c>
      <c r="X50" s="35">
        <v>2150</v>
      </c>
      <c r="Y50" s="35">
        <v>2166</v>
      </c>
      <c r="Z50" s="35">
        <v>2166</v>
      </c>
      <c r="AA50" s="35">
        <v>2288</v>
      </c>
      <c r="AB50" s="35">
        <v>2608</v>
      </c>
      <c r="AC50" s="35">
        <v>2790</v>
      </c>
      <c r="AD50" s="35">
        <f t="shared" si="16"/>
        <v>2166</v>
      </c>
      <c r="AE50" s="23"/>
      <c r="AF50" s="23"/>
      <c r="AG50" s="23"/>
      <c r="AH50" s="23"/>
      <c r="AI50" s="8"/>
      <c r="AJ50" s="51">
        <v>91.619</v>
      </c>
      <c r="AK50" s="51">
        <v>191.34399999999999</v>
      </c>
      <c r="AL50" s="51">
        <v>305.05200000000002</v>
      </c>
      <c r="AM50" s="8"/>
      <c r="AN50" s="8"/>
      <c r="AO50" s="8"/>
      <c r="AP50" s="8">
        <f>SUM(G50:J50)</f>
        <v>2226</v>
      </c>
      <c r="AQ50" s="8">
        <f>SUM(K50:N50)</f>
        <v>2306</v>
      </c>
      <c r="AR50" s="8">
        <f>SUM(O50:R50)</f>
        <v>3802</v>
      </c>
      <c r="AS50" s="8">
        <f>SUM(S50:V50)</f>
        <v>5879.6</v>
      </c>
      <c r="AT50" s="65">
        <f>SUM(W50:Z50)</f>
        <v>8319</v>
      </c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</row>
    <row r="51" spans="2:58" ht="26" thickBot="1">
      <c r="B51" s="9" t="s">
        <v>65</v>
      </c>
      <c r="C51" s="22"/>
      <c r="D51" s="22"/>
      <c r="E51" s="22"/>
      <c r="F51" s="22"/>
      <c r="G51" s="36">
        <f>SUM(G48:G50)</f>
        <v>4541</v>
      </c>
      <c r="H51" s="36">
        <f t="shared" ref="H51:R51" si="17">SUM(H48:H50)</f>
        <v>6350</v>
      </c>
      <c r="I51" s="36">
        <f t="shared" si="17"/>
        <v>6303</v>
      </c>
      <c r="J51" s="36">
        <f t="shared" si="17"/>
        <v>7384</v>
      </c>
      <c r="K51" s="36">
        <f t="shared" si="17"/>
        <v>5985</v>
      </c>
      <c r="L51" s="36">
        <f t="shared" si="17"/>
        <v>6036</v>
      </c>
      <c r="M51" s="36">
        <f t="shared" si="17"/>
        <v>8771</v>
      </c>
      <c r="N51" s="36">
        <f t="shared" si="17"/>
        <v>10744</v>
      </c>
      <c r="O51" s="36">
        <f t="shared" si="17"/>
        <v>10389</v>
      </c>
      <c r="P51" s="36">
        <f t="shared" si="17"/>
        <v>11958</v>
      </c>
      <c r="Q51" s="36">
        <f t="shared" si="17"/>
        <v>13757</v>
      </c>
      <c r="R51" s="36">
        <f t="shared" si="17"/>
        <v>17719</v>
      </c>
      <c r="S51" s="36">
        <f>SUM(S48:S50)</f>
        <v>18756</v>
      </c>
      <c r="T51" s="36">
        <f>SUM(T48:T50)</f>
        <v>16934</v>
      </c>
      <c r="U51" s="36">
        <f>SUM(U48:U50)</f>
        <v>21454</v>
      </c>
      <c r="V51" s="36">
        <f t="shared" ref="V51:AD51" si="18">SUM(V48:V50)</f>
        <v>24806.6</v>
      </c>
      <c r="W51" s="36">
        <f t="shared" si="18"/>
        <v>23329</v>
      </c>
      <c r="X51" s="36">
        <f t="shared" si="18"/>
        <v>24927</v>
      </c>
      <c r="Y51" s="36">
        <f t="shared" si="18"/>
        <v>23350</v>
      </c>
      <c r="Z51" s="36">
        <f t="shared" si="18"/>
        <v>25167</v>
      </c>
      <c r="AA51" s="36">
        <f t="shared" si="18"/>
        <v>21301</v>
      </c>
      <c r="AB51" s="36">
        <f t="shared" si="18"/>
        <v>25500</v>
      </c>
      <c r="AC51" s="36">
        <f>SUM(AC48:AC50)</f>
        <v>25182</v>
      </c>
      <c r="AD51" s="36">
        <f t="shared" si="18"/>
        <v>28570.031137321035</v>
      </c>
      <c r="AE51" s="23"/>
      <c r="AF51" s="23"/>
      <c r="AG51" s="23"/>
      <c r="AH51" s="23"/>
      <c r="AI51" s="8"/>
      <c r="AJ51" s="60">
        <f>SUM(AJ49:AJ50)</f>
        <v>2013.4959999999999</v>
      </c>
      <c r="AK51" s="60">
        <f t="shared" ref="AK51:AL51" si="19">SUM(AK49:AK50)</f>
        <v>3198.3560000000002</v>
      </c>
      <c r="AL51" s="60">
        <f t="shared" si="19"/>
        <v>4046.0520000000001</v>
      </c>
      <c r="AM51" s="8">
        <v>7000.3209999999999</v>
      </c>
      <c r="AN51" s="8">
        <v>11759</v>
      </c>
      <c r="AO51" s="8">
        <v>21461</v>
      </c>
      <c r="AP51" s="8">
        <f>SUM(AP48:AP50)</f>
        <v>24578</v>
      </c>
      <c r="AQ51" s="8">
        <v>31536</v>
      </c>
      <c r="AR51" s="8">
        <v>53823</v>
      </c>
      <c r="AS51" s="8">
        <v>81951</v>
      </c>
      <c r="AT51" s="65">
        <v>81951</v>
      </c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</row>
    <row r="52" spans="2:58" ht="26" thickTop="1">
      <c r="B52" s="8" t="s">
        <v>66</v>
      </c>
      <c r="C52" s="23"/>
      <c r="D52" s="23"/>
      <c r="E52" s="23"/>
      <c r="F52" s="23"/>
      <c r="G52" s="31">
        <v>2856</v>
      </c>
      <c r="H52" s="31">
        <v>4254</v>
      </c>
      <c r="I52" s="31">
        <v>4014</v>
      </c>
      <c r="J52" s="31">
        <v>4815</v>
      </c>
      <c r="K52" s="31">
        <v>3699</v>
      </c>
      <c r="L52" s="31">
        <v>3714</v>
      </c>
      <c r="M52" s="31">
        <v>5361</v>
      </c>
      <c r="N52" s="31">
        <v>6922</v>
      </c>
      <c r="O52" s="31">
        <v>6457</v>
      </c>
      <c r="P52" s="31">
        <v>7119</v>
      </c>
      <c r="Q52" s="31">
        <v>8150</v>
      </c>
      <c r="R52" s="31">
        <v>10689</v>
      </c>
      <c r="S52" s="31">
        <v>10914</v>
      </c>
      <c r="T52" s="31">
        <v>10153</v>
      </c>
      <c r="U52" s="31">
        <v>13099</v>
      </c>
      <c r="V52" s="31">
        <v>15433</v>
      </c>
      <c r="W52" s="31">
        <v>15422</v>
      </c>
      <c r="X52" s="31">
        <v>16841</v>
      </c>
      <c r="Y52" s="31">
        <v>15656</v>
      </c>
      <c r="Z52" s="31">
        <v>17202</v>
      </c>
      <c r="AA52" s="31">
        <v>13897</v>
      </c>
      <c r="AB52" s="31">
        <v>15962</v>
      </c>
      <c r="AC52" s="31">
        <v>15743</v>
      </c>
      <c r="AD52" s="31">
        <f>+AD45*0.85</f>
        <v>20428.07646672288</v>
      </c>
      <c r="AE52" s="23"/>
      <c r="AF52" s="23"/>
      <c r="AG52" s="23"/>
      <c r="AH52" s="23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23"/>
      <c r="AT52" s="68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</row>
    <row r="53" spans="2:58">
      <c r="B53" s="8" t="s">
        <v>67</v>
      </c>
      <c r="C53" s="23"/>
      <c r="D53" s="23"/>
      <c r="E53" s="23"/>
      <c r="F53" s="23"/>
      <c r="G53" s="31">
        <f>G45-G52</f>
        <v>653</v>
      </c>
      <c r="H53" s="31">
        <f t="shared" ref="H53:R53" si="20">H45-H52</f>
        <v>914</v>
      </c>
      <c r="I53" s="31">
        <f t="shared" si="20"/>
        <v>1118</v>
      </c>
      <c r="J53" s="31">
        <f t="shared" si="20"/>
        <v>1328</v>
      </c>
      <c r="K53" s="31">
        <f t="shared" si="20"/>
        <v>1194</v>
      </c>
      <c r="L53" s="31">
        <f t="shared" si="20"/>
        <v>1197</v>
      </c>
      <c r="M53" s="31">
        <f t="shared" si="20"/>
        <v>1985</v>
      </c>
      <c r="N53" s="31">
        <f t="shared" si="20"/>
        <v>1711</v>
      </c>
      <c r="O53" s="31">
        <f t="shared" si="20"/>
        <v>1730</v>
      </c>
      <c r="P53" s="31">
        <f t="shared" si="20"/>
        <v>2401</v>
      </c>
      <c r="Q53" s="31">
        <f t="shared" si="20"/>
        <v>3243</v>
      </c>
      <c r="R53" s="31">
        <f t="shared" si="20"/>
        <v>4336</v>
      </c>
      <c r="S53" s="31">
        <f>S45-S52</f>
        <v>4600</v>
      </c>
      <c r="T53" s="31">
        <f>T45-T52</f>
        <v>3517</v>
      </c>
      <c r="U53" s="31">
        <f>U45-U52</f>
        <v>4686</v>
      </c>
      <c r="V53" s="31">
        <f t="shared" ref="V53:Z53" si="21">V45-V52</f>
        <v>5602</v>
      </c>
      <c r="W53" s="31">
        <f>W45-W52</f>
        <v>3456</v>
      </c>
      <c r="X53" s="31">
        <f t="shared" si="21"/>
        <v>3578</v>
      </c>
      <c r="Y53" s="31">
        <f t="shared" si="21"/>
        <v>2926</v>
      </c>
      <c r="Z53" s="31">
        <f t="shared" si="21"/>
        <v>3428</v>
      </c>
      <c r="AA53" s="31">
        <f>AA45-AA52</f>
        <v>2563</v>
      </c>
      <c r="AB53" s="31">
        <f>AB45-AB52</f>
        <v>2568</v>
      </c>
      <c r="AC53" s="31">
        <f>AC45-AC52</f>
        <v>3088</v>
      </c>
      <c r="AD53" s="31">
        <f>AD45-AD52</f>
        <v>3604.9546705981556</v>
      </c>
      <c r="AE53" s="23"/>
      <c r="AF53" s="23"/>
      <c r="AG53" s="23"/>
      <c r="AH53" s="23"/>
      <c r="AI53" s="8"/>
      <c r="AJ53" s="8"/>
      <c r="AK53" s="8"/>
      <c r="AL53" s="8"/>
      <c r="AM53" s="8"/>
      <c r="AN53" s="8"/>
      <c r="AO53" s="8"/>
      <c r="AP53" s="8"/>
      <c r="AQ53" s="8"/>
      <c r="AS53" s="8"/>
      <c r="AT53" s="65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</row>
    <row r="54" spans="2:58">
      <c r="B54" s="8" t="s">
        <v>68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65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</row>
    <row r="55" spans="2:58">
      <c r="B55" s="8" t="s">
        <v>69</v>
      </c>
      <c r="C55" s="23"/>
      <c r="D55" s="23"/>
      <c r="E55" s="23"/>
      <c r="F55" s="23"/>
      <c r="G55" s="31">
        <v>117</v>
      </c>
      <c r="H55" s="31">
        <v>106</v>
      </c>
      <c r="I55" s="31">
        <v>117</v>
      </c>
      <c r="J55" s="23">
        <v>119</v>
      </c>
      <c r="K55" s="23">
        <v>122</v>
      </c>
      <c r="L55" s="23">
        <v>148</v>
      </c>
      <c r="M55" s="23">
        <v>145</v>
      </c>
      <c r="N55" s="23">
        <v>148</v>
      </c>
      <c r="O55" s="23">
        <v>160</v>
      </c>
      <c r="P55" s="23">
        <v>188</v>
      </c>
      <c r="Q55" s="23">
        <v>234</v>
      </c>
      <c r="R55" s="23">
        <v>396</v>
      </c>
      <c r="S55" s="23">
        <v>408</v>
      </c>
      <c r="T55" s="23">
        <v>369</v>
      </c>
      <c r="U55" s="23">
        <v>381</v>
      </c>
      <c r="V55" s="23">
        <v>352</v>
      </c>
      <c r="W55" s="23">
        <v>333</v>
      </c>
      <c r="X55" s="23">
        <v>338</v>
      </c>
      <c r="Y55" s="23">
        <v>301</v>
      </c>
      <c r="Z55" s="23">
        <v>296</v>
      </c>
      <c r="AA55" s="23">
        <v>269</v>
      </c>
      <c r="AB55" s="23">
        <v>245</v>
      </c>
      <c r="AC55" s="23">
        <v>247</v>
      </c>
      <c r="AD55" s="23">
        <v>250</v>
      </c>
      <c r="AE55" s="23"/>
      <c r="AF55" s="23"/>
      <c r="AG55" s="23"/>
      <c r="AH55" s="23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65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</row>
    <row r="56" spans="2:58">
      <c r="B56" s="8" t="s">
        <v>70</v>
      </c>
      <c r="C56" s="23"/>
      <c r="D56" s="23"/>
      <c r="E56" s="23"/>
      <c r="F56" s="23"/>
      <c r="G56" s="23">
        <f>G48-G52-G55</f>
        <v>751</v>
      </c>
      <c r="H56" s="23">
        <f>H48-H52-H55</f>
        <v>1016</v>
      </c>
      <c r="I56" s="23">
        <f t="shared" ref="I56:AD56" si="22">I48-I52-I55</f>
        <v>1222</v>
      </c>
      <c r="J56" s="23">
        <f t="shared" si="22"/>
        <v>1434</v>
      </c>
      <c r="K56" s="23">
        <f t="shared" si="22"/>
        <v>1311</v>
      </c>
      <c r="L56" s="23">
        <f t="shared" si="22"/>
        <v>1317</v>
      </c>
      <c r="M56" s="23">
        <f t="shared" si="22"/>
        <v>2105</v>
      </c>
      <c r="N56" s="23">
        <f t="shared" si="22"/>
        <v>2244</v>
      </c>
      <c r="O56" s="23">
        <f t="shared" si="22"/>
        <v>2385</v>
      </c>
      <c r="P56" s="23">
        <f t="shared" si="22"/>
        <v>2899</v>
      </c>
      <c r="Q56" s="23">
        <f t="shared" si="22"/>
        <v>3673</v>
      </c>
      <c r="R56" s="23">
        <f t="shared" si="22"/>
        <v>4882</v>
      </c>
      <c r="S56" s="23">
        <f t="shared" si="22"/>
        <v>5539</v>
      </c>
      <c r="T56" s="23">
        <f t="shared" si="22"/>
        <v>4080</v>
      </c>
      <c r="U56" s="23">
        <f t="shared" si="22"/>
        <v>5212</v>
      </c>
      <c r="V56" s="23">
        <f t="shared" si="22"/>
        <v>6568.7999999999993</v>
      </c>
      <c r="W56" s="23">
        <f t="shared" si="22"/>
        <v>4208</v>
      </c>
      <c r="X56" s="23">
        <f t="shared" si="22"/>
        <v>4089</v>
      </c>
      <c r="Y56" s="23">
        <f t="shared" si="22"/>
        <v>3668</v>
      </c>
      <c r="Z56" s="23">
        <f t="shared" si="22"/>
        <v>4065</v>
      </c>
      <c r="AA56" s="23">
        <f t="shared" si="22"/>
        <v>3212</v>
      </c>
      <c r="AB56" s="23">
        <f t="shared" si="22"/>
        <v>3671</v>
      </c>
      <c r="AC56" s="23">
        <f t="shared" si="22"/>
        <v>4026</v>
      </c>
      <c r="AD56" s="23">
        <f t="shared" si="22"/>
        <v>4287.9546705981556</v>
      </c>
      <c r="AE56" s="23"/>
      <c r="AF56" s="23"/>
      <c r="AG56" s="23"/>
      <c r="AH56" s="23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65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</row>
    <row r="57" spans="2:58">
      <c r="B57" s="8" t="s">
        <v>71</v>
      </c>
      <c r="C57" s="23"/>
      <c r="D57" s="23"/>
      <c r="E57" s="23"/>
      <c r="F57" s="23"/>
      <c r="G57" s="40">
        <v>316</v>
      </c>
      <c r="H57" s="40">
        <v>326</v>
      </c>
      <c r="I57" s="40">
        <v>314</v>
      </c>
      <c r="J57" s="40">
        <v>385</v>
      </c>
      <c r="K57" s="40">
        <v>282</v>
      </c>
      <c r="L57" s="40">
        <v>349</v>
      </c>
      <c r="M57" s="40">
        <v>558</v>
      </c>
      <c r="N57" s="40">
        <v>787</v>
      </c>
      <c r="O57" s="40">
        <v>595</v>
      </c>
      <c r="P57" s="40">
        <v>781</v>
      </c>
      <c r="Q57" s="40">
        <v>803</v>
      </c>
      <c r="R57" s="40">
        <v>739</v>
      </c>
      <c r="S57" s="40">
        <v>688</v>
      </c>
      <c r="T57" s="40">
        <v>769</v>
      </c>
      <c r="U57" s="40">
        <v>1013</v>
      </c>
      <c r="V57" s="40">
        <v>1151</v>
      </c>
      <c r="W57" s="40">
        <v>1361</v>
      </c>
      <c r="X57" s="40">
        <v>1231</v>
      </c>
      <c r="Y57" s="40">
        <v>1178</v>
      </c>
      <c r="Z57" s="40">
        <v>1124</v>
      </c>
      <c r="AA57" s="40">
        <v>1232</v>
      </c>
      <c r="AB57" s="40">
        <v>2274</v>
      </c>
      <c r="AC57" s="40">
        <v>1651</v>
      </c>
      <c r="AD57" s="40">
        <f>+AD49*0.9</f>
        <v>1294.2</v>
      </c>
      <c r="AE57" s="25"/>
      <c r="AF57" s="25"/>
      <c r="AG57" s="25"/>
      <c r="AH57" s="2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69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 spans="2:58">
      <c r="B58" s="8" t="s">
        <v>72</v>
      </c>
      <c r="C58" s="23"/>
      <c r="D58" s="23"/>
      <c r="E58" s="23"/>
      <c r="F58" s="23"/>
      <c r="G58" s="40">
        <v>686</v>
      </c>
      <c r="H58" s="40">
        <v>743</v>
      </c>
      <c r="I58" s="40">
        <v>667</v>
      </c>
      <c r="J58" s="40">
        <v>674</v>
      </c>
      <c r="K58" s="40">
        <v>648</v>
      </c>
      <c r="L58" s="40">
        <v>558</v>
      </c>
      <c r="M58" s="40">
        <v>644</v>
      </c>
      <c r="N58" s="40">
        <v>821</v>
      </c>
      <c r="O58" s="40">
        <v>962</v>
      </c>
      <c r="P58" s="40">
        <v>986</v>
      </c>
      <c r="Q58" s="40">
        <v>910</v>
      </c>
      <c r="R58" s="40">
        <v>1048</v>
      </c>
      <c r="S58" s="40">
        <v>1286</v>
      </c>
      <c r="T58" s="40">
        <v>1410</v>
      </c>
      <c r="U58" s="40">
        <v>1579</v>
      </c>
      <c r="V58" s="40">
        <v>1605</v>
      </c>
      <c r="W58" s="40">
        <v>1702</v>
      </c>
      <c r="X58" s="40">
        <v>1984</v>
      </c>
      <c r="Y58" s="40">
        <v>2037</v>
      </c>
      <c r="Z58" s="40">
        <v>2107</v>
      </c>
      <c r="AA58" s="40">
        <v>2207</v>
      </c>
      <c r="AB58" s="40">
        <v>2441</v>
      </c>
      <c r="AC58" s="40">
        <v>2544</v>
      </c>
      <c r="AD58" s="40">
        <f>+AD50</f>
        <v>2166</v>
      </c>
      <c r="AE58" s="23"/>
      <c r="AF58" s="23"/>
      <c r="AG58" s="23"/>
      <c r="AH58" s="23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65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</row>
    <row r="59" spans="2:58">
      <c r="B59" s="8" t="s">
        <v>73</v>
      </c>
      <c r="C59" s="23"/>
      <c r="D59" s="23"/>
      <c r="E59" s="23"/>
      <c r="F59" s="23"/>
      <c r="G59" s="23">
        <f>+G56+G49+G50-G57-G58</f>
        <v>566</v>
      </c>
      <c r="H59" s="23">
        <f t="shared" ref="H59:AD59" si="23">+H56+H49+H50-H57-H58</f>
        <v>921</v>
      </c>
      <c r="I59" s="23">
        <f t="shared" si="23"/>
        <v>1191</v>
      </c>
      <c r="J59" s="23">
        <f t="shared" si="23"/>
        <v>1391</v>
      </c>
      <c r="K59" s="23">
        <f t="shared" si="23"/>
        <v>1234</v>
      </c>
      <c r="L59" s="23">
        <f t="shared" si="23"/>
        <v>1267</v>
      </c>
      <c r="M59" s="23">
        <f t="shared" si="23"/>
        <v>2063</v>
      </c>
      <c r="N59" s="23">
        <f t="shared" si="23"/>
        <v>2066</v>
      </c>
      <c r="O59" s="23">
        <f t="shared" si="23"/>
        <v>2215</v>
      </c>
      <c r="P59" s="23">
        <f t="shared" si="23"/>
        <v>2884</v>
      </c>
      <c r="Q59" s="23">
        <f t="shared" si="23"/>
        <v>3660</v>
      </c>
      <c r="R59" s="23">
        <f t="shared" si="23"/>
        <v>4847</v>
      </c>
      <c r="S59" s="23">
        <f t="shared" si="23"/>
        <v>5460</v>
      </c>
      <c r="T59" s="23">
        <f t="shared" si="23"/>
        <v>4233</v>
      </c>
      <c r="U59" s="23">
        <f t="shared" si="23"/>
        <v>5382</v>
      </c>
      <c r="V59" s="23">
        <f t="shared" si="23"/>
        <v>6265.5999999999985</v>
      </c>
      <c r="W59" s="23">
        <f t="shared" si="23"/>
        <v>4511</v>
      </c>
      <c r="X59" s="23">
        <f t="shared" si="23"/>
        <v>4533</v>
      </c>
      <c r="Y59" s="23">
        <f t="shared" si="23"/>
        <v>4178</v>
      </c>
      <c r="Z59" s="23">
        <f t="shared" si="23"/>
        <v>4438</v>
      </c>
      <c r="AA59" s="23">
        <f t="shared" si="23"/>
        <v>3696</v>
      </c>
      <c r="AB59" s="23">
        <f t="shared" si="23"/>
        <v>4578</v>
      </c>
      <c r="AC59" s="23">
        <f t="shared" si="23"/>
        <v>4997</v>
      </c>
      <c r="AD59" s="23">
        <f t="shared" si="23"/>
        <v>4431.7546705981558</v>
      </c>
      <c r="AE59" s="10"/>
      <c r="AF59" s="10"/>
      <c r="AG59" s="10"/>
      <c r="AH59" s="10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61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</row>
    <row r="60" spans="2:58">
      <c r="B60" s="8" t="s">
        <v>74</v>
      </c>
      <c r="C60" s="23"/>
      <c r="D60" s="23"/>
      <c r="E60" s="23"/>
      <c r="F60" s="23"/>
      <c r="G60" s="31">
        <v>340</v>
      </c>
      <c r="H60" s="31">
        <v>324</v>
      </c>
      <c r="I60" s="31">
        <v>334</v>
      </c>
      <c r="J60" s="31">
        <v>345</v>
      </c>
      <c r="K60" s="31">
        <v>324</v>
      </c>
      <c r="L60" s="31">
        <v>279</v>
      </c>
      <c r="M60" s="31">
        <v>366</v>
      </c>
      <c r="N60" s="31">
        <v>522</v>
      </c>
      <c r="O60" s="31">
        <v>666</v>
      </c>
      <c r="P60" s="31">
        <v>576</v>
      </c>
      <c r="Q60" s="31">
        <v>611</v>
      </c>
      <c r="R60" s="31">
        <v>740</v>
      </c>
      <c r="S60" s="31">
        <v>865</v>
      </c>
      <c r="T60" s="31">
        <v>667</v>
      </c>
      <c r="U60" s="31">
        <v>733</v>
      </c>
      <c r="V60" s="31">
        <v>810</v>
      </c>
      <c r="W60" s="31">
        <v>771</v>
      </c>
      <c r="X60" s="31">
        <v>943</v>
      </c>
      <c r="Y60" s="31">
        <v>1161</v>
      </c>
      <c r="Z60" s="31">
        <v>1094</v>
      </c>
      <c r="AA60" s="31">
        <v>1151</v>
      </c>
      <c r="AB60" s="31">
        <v>1074</v>
      </c>
      <c r="AC60" s="31">
        <v>1039</v>
      </c>
      <c r="AD60" s="31">
        <f t="shared" ref="AD60:AD61" si="24">+Z60*1.1</f>
        <v>1203.4000000000001</v>
      </c>
      <c r="AE60" s="28"/>
      <c r="AF60" s="28"/>
      <c r="AG60" s="28"/>
      <c r="AH60" s="28"/>
      <c r="AI60" s="7"/>
      <c r="AJ60" s="7"/>
      <c r="AK60" s="29"/>
      <c r="AL60" s="29"/>
      <c r="AM60" s="29"/>
      <c r="AN60" s="29"/>
      <c r="AO60" s="29"/>
      <c r="AP60" s="29"/>
      <c r="AQ60" s="29"/>
      <c r="AR60" s="29"/>
      <c r="AS60" s="29"/>
      <c r="AT60" s="70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</row>
    <row r="61" spans="2:58">
      <c r="B61" s="8" t="s">
        <v>75</v>
      </c>
      <c r="C61" s="23"/>
      <c r="D61" s="23"/>
      <c r="E61" s="23"/>
      <c r="F61" s="23"/>
      <c r="G61" s="31">
        <v>704</v>
      </c>
      <c r="H61" s="31">
        <v>647</v>
      </c>
      <c r="I61" s="31">
        <v>596</v>
      </c>
      <c r="J61" s="31">
        <v>699</v>
      </c>
      <c r="K61" s="31">
        <v>627</v>
      </c>
      <c r="L61" s="31">
        <v>661</v>
      </c>
      <c r="M61" s="31">
        <v>888</v>
      </c>
      <c r="N61" s="31">
        <v>969</v>
      </c>
      <c r="O61" s="31">
        <v>1056</v>
      </c>
      <c r="P61" s="31">
        <v>973</v>
      </c>
      <c r="Q61" s="31">
        <v>994</v>
      </c>
      <c r="R61" s="31">
        <v>1494</v>
      </c>
      <c r="S61" s="31">
        <v>992</v>
      </c>
      <c r="T61" s="31">
        <v>961</v>
      </c>
      <c r="U61" s="31">
        <v>961</v>
      </c>
      <c r="V61" s="31">
        <f>+R61*1.2</f>
        <v>1792.8</v>
      </c>
      <c r="W61" s="31">
        <v>1076</v>
      </c>
      <c r="X61" s="31">
        <v>1191</v>
      </c>
      <c r="Y61" s="31">
        <v>1253</v>
      </c>
      <c r="Z61" s="31">
        <v>1280</v>
      </c>
      <c r="AA61" s="31">
        <v>1374</v>
      </c>
      <c r="AB61" s="31">
        <v>1277</v>
      </c>
      <c r="AC61" s="31">
        <v>1186</v>
      </c>
      <c r="AD61" s="31">
        <f t="shared" si="24"/>
        <v>1408</v>
      </c>
      <c r="AE61" s="30"/>
      <c r="AF61" s="30"/>
      <c r="AG61" s="30"/>
      <c r="AH61" s="30"/>
      <c r="AI61" s="5"/>
      <c r="AJ61" s="5"/>
      <c r="AK61" s="5"/>
      <c r="AL61" s="5"/>
      <c r="AM61" s="5"/>
      <c r="AN61" s="5"/>
      <c r="AO61" s="5"/>
      <c r="AP61" s="5"/>
      <c r="AQ61" s="24"/>
      <c r="AR61" s="24"/>
      <c r="AS61" s="24"/>
      <c r="AT61" s="71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</row>
    <row r="62" spans="2:58">
      <c r="B62" s="8" t="s">
        <v>76</v>
      </c>
      <c r="C62" s="23"/>
      <c r="D62" s="23"/>
      <c r="E62" s="23"/>
      <c r="F62" s="23"/>
      <c r="G62" s="41">
        <f>+G60+G61</f>
        <v>1044</v>
      </c>
      <c r="H62" s="41">
        <f t="shared" ref="H62:AD62" si="25">+H60+H61</f>
        <v>971</v>
      </c>
      <c r="I62" s="41">
        <f t="shared" si="25"/>
        <v>930</v>
      </c>
      <c r="J62" s="41">
        <f t="shared" si="25"/>
        <v>1044</v>
      </c>
      <c r="K62" s="41">
        <f t="shared" si="25"/>
        <v>951</v>
      </c>
      <c r="L62" s="41">
        <f t="shared" si="25"/>
        <v>940</v>
      </c>
      <c r="M62" s="41">
        <f t="shared" si="25"/>
        <v>1254</v>
      </c>
      <c r="N62" s="41">
        <f t="shared" si="25"/>
        <v>1491</v>
      </c>
      <c r="O62" s="41">
        <f t="shared" si="25"/>
        <v>1722</v>
      </c>
      <c r="P62" s="41">
        <f t="shared" si="25"/>
        <v>1549</v>
      </c>
      <c r="Q62" s="41">
        <f t="shared" si="25"/>
        <v>1605</v>
      </c>
      <c r="R62" s="41">
        <f t="shared" si="25"/>
        <v>2234</v>
      </c>
      <c r="S62" s="41">
        <f t="shared" si="25"/>
        <v>1857</v>
      </c>
      <c r="T62" s="41">
        <f t="shared" si="25"/>
        <v>1628</v>
      </c>
      <c r="U62" s="41">
        <f t="shared" si="25"/>
        <v>1694</v>
      </c>
      <c r="V62" s="41">
        <f t="shared" si="25"/>
        <v>2602.8000000000002</v>
      </c>
      <c r="W62" s="41">
        <f t="shared" si="25"/>
        <v>1847</v>
      </c>
      <c r="X62" s="41">
        <f t="shared" si="25"/>
        <v>2134</v>
      </c>
      <c r="Y62" s="41">
        <f t="shared" si="25"/>
        <v>2414</v>
      </c>
      <c r="Z62" s="41">
        <f t="shared" si="25"/>
        <v>2374</v>
      </c>
      <c r="AA62" s="41">
        <f t="shared" si="25"/>
        <v>2525</v>
      </c>
      <c r="AB62" s="41">
        <f t="shared" si="25"/>
        <v>2351</v>
      </c>
      <c r="AC62" s="41">
        <f t="shared" si="25"/>
        <v>2225</v>
      </c>
      <c r="AD62" s="41">
        <f t="shared" si="25"/>
        <v>2611.4</v>
      </c>
      <c r="AE62" s="30"/>
      <c r="AF62" s="30"/>
      <c r="AG62" s="30"/>
      <c r="AH62" s="30"/>
      <c r="AI62" s="5"/>
      <c r="AJ62" s="5"/>
      <c r="AK62" s="5"/>
      <c r="AL62" s="5"/>
      <c r="AM62" s="5"/>
      <c r="AN62" s="5"/>
      <c r="AO62" s="5"/>
      <c r="AP62" s="5"/>
      <c r="AQ62" s="24"/>
      <c r="AR62" s="24"/>
      <c r="AS62" s="24"/>
      <c r="AT62" s="71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</row>
    <row r="63" spans="2:58" ht="26" thickBot="1">
      <c r="B63" s="8" t="s">
        <v>77</v>
      </c>
      <c r="C63" s="23"/>
      <c r="D63" s="23"/>
      <c r="E63" s="23"/>
      <c r="F63" s="23"/>
      <c r="G63" s="42">
        <f>G59-G62</f>
        <v>-478</v>
      </c>
      <c r="H63" s="42">
        <f t="shared" ref="H63:AD63" si="26">H59-H62</f>
        <v>-50</v>
      </c>
      <c r="I63" s="42">
        <f t="shared" si="26"/>
        <v>261</v>
      </c>
      <c r="J63" s="42">
        <f t="shared" si="26"/>
        <v>347</v>
      </c>
      <c r="K63" s="42">
        <f t="shared" si="26"/>
        <v>283</v>
      </c>
      <c r="L63" s="42">
        <f t="shared" si="26"/>
        <v>327</v>
      </c>
      <c r="M63" s="42">
        <f t="shared" si="26"/>
        <v>809</v>
      </c>
      <c r="N63" s="42">
        <f t="shared" si="26"/>
        <v>575</v>
      </c>
      <c r="O63" s="42">
        <f t="shared" si="26"/>
        <v>493</v>
      </c>
      <c r="P63" s="42">
        <f t="shared" si="26"/>
        <v>1335</v>
      </c>
      <c r="Q63" s="42">
        <f t="shared" si="26"/>
        <v>2055</v>
      </c>
      <c r="R63" s="42">
        <f t="shared" si="26"/>
        <v>2613</v>
      </c>
      <c r="S63" s="42">
        <f t="shared" si="26"/>
        <v>3603</v>
      </c>
      <c r="T63" s="42">
        <f t="shared" si="26"/>
        <v>2605</v>
      </c>
      <c r="U63" s="42">
        <f t="shared" si="26"/>
        <v>3688</v>
      </c>
      <c r="V63" s="42">
        <f t="shared" si="26"/>
        <v>3662.7999999999984</v>
      </c>
      <c r="W63" s="42">
        <f t="shared" si="26"/>
        <v>2664</v>
      </c>
      <c r="X63" s="42">
        <f t="shared" si="26"/>
        <v>2399</v>
      </c>
      <c r="Y63" s="42">
        <f t="shared" si="26"/>
        <v>1764</v>
      </c>
      <c r="Z63" s="42">
        <f t="shared" si="26"/>
        <v>2064</v>
      </c>
      <c r="AA63" s="42">
        <f t="shared" si="26"/>
        <v>1171</v>
      </c>
      <c r="AB63" s="42">
        <f t="shared" si="26"/>
        <v>2227</v>
      </c>
      <c r="AC63" s="42">
        <f t="shared" si="26"/>
        <v>2772</v>
      </c>
      <c r="AD63" s="42">
        <f t="shared" si="26"/>
        <v>1820.3546705981557</v>
      </c>
      <c r="AE63" s="30"/>
      <c r="AF63" s="30"/>
      <c r="AG63" s="30"/>
      <c r="AH63" s="30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61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</row>
    <row r="64" spans="2:58" ht="26" thickTop="1">
      <c r="B64" s="8" t="s">
        <v>78</v>
      </c>
      <c r="C64" s="23"/>
      <c r="D64" s="23"/>
      <c r="E64" s="23"/>
      <c r="F64" s="23"/>
      <c r="G64" s="31">
        <v>3</v>
      </c>
      <c r="H64" s="31">
        <f>10-172-41</f>
        <v>-203</v>
      </c>
      <c r="I64" s="31">
        <f>15-185+85</f>
        <v>-85</v>
      </c>
      <c r="J64" s="31">
        <f>10-172-25</f>
        <v>-187</v>
      </c>
      <c r="K64" s="31">
        <f>10-169-54</f>
        <v>-213</v>
      </c>
      <c r="L64" s="31">
        <f>8-170-15</f>
        <v>-177</v>
      </c>
      <c r="M64" s="31">
        <f>6-163-97</f>
        <v>-254</v>
      </c>
      <c r="N64" s="31">
        <f>6-246+44</f>
        <v>-196</v>
      </c>
      <c r="O64" s="31">
        <f>10-99+28</f>
        <v>-61</v>
      </c>
      <c r="P64" s="31">
        <f>11-75+45</f>
        <v>-19</v>
      </c>
      <c r="Q64" s="31">
        <f>10-126-6</f>
        <v>-122</v>
      </c>
      <c r="R64" s="31">
        <f>25-71+68</f>
        <v>22</v>
      </c>
      <c r="S64" s="31">
        <f>28-61+56</f>
        <v>23</v>
      </c>
      <c r="T64" s="31">
        <f>-26-44+28</f>
        <v>-42</v>
      </c>
      <c r="U64" s="31">
        <f>86-53-85</f>
        <v>-52</v>
      </c>
      <c r="V64" s="31">
        <f>157-33-42</f>
        <v>82</v>
      </c>
      <c r="W64" s="31">
        <f>213-29-48</f>
        <v>136</v>
      </c>
      <c r="X64" s="31">
        <f>238-28+328</f>
        <v>538</v>
      </c>
      <c r="Y64" s="31">
        <f>282-38+37</f>
        <v>281</v>
      </c>
      <c r="Z64" s="31">
        <f>333-61-145</f>
        <v>127</v>
      </c>
      <c r="AA64" s="31">
        <f>350-76+108</f>
        <v>382</v>
      </c>
      <c r="AB64" s="31">
        <f>348-86+20</f>
        <v>282</v>
      </c>
      <c r="AC64" s="31">
        <f>429-92-270</f>
        <v>67</v>
      </c>
      <c r="AD64" s="31"/>
      <c r="AE64" s="30"/>
      <c r="AF64" s="30"/>
      <c r="AG64" s="30"/>
      <c r="AH64" s="30"/>
      <c r="AI64" s="5"/>
      <c r="AJ64" s="5"/>
      <c r="AK64" s="5"/>
      <c r="AL64" s="5"/>
      <c r="AM64" s="5"/>
      <c r="AN64" s="5"/>
      <c r="AO64" s="5"/>
      <c r="AP64" s="5"/>
      <c r="AQ64" s="30"/>
      <c r="AR64" s="30"/>
      <c r="AS64" s="30"/>
      <c r="AT64" s="72"/>
      <c r="AU64" s="30"/>
      <c r="AV64" s="30"/>
      <c r="AW64" s="30"/>
      <c r="AX64" s="30"/>
      <c r="AY64" s="5"/>
      <c r="AZ64" s="5"/>
      <c r="BA64" s="5"/>
      <c r="BB64" s="5"/>
      <c r="BC64" s="5"/>
      <c r="BD64" s="5"/>
      <c r="BE64" s="5"/>
      <c r="BF64" s="5"/>
    </row>
    <row r="65" spans="2:58">
      <c r="B65" s="8" t="s">
        <v>79</v>
      </c>
      <c r="C65" s="23"/>
      <c r="D65" s="23"/>
      <c r="E65" s="23"/>
      <c r="F65" s="23"/>
      <c r="G65" s="43">
        <f>G63+G64</f>
        <v>-475</v>
      </c>
      <c r="H65" s="43">
        <f t="shared" ref="H65:AD65" si="27">H63+H64</f>
        <v>-253</v>
      </c>
      <c r="I65" s="43">
        <f t="shared" si="27"/>
        <v>176</v>
      </c>
      <c r="J65" s="43">
        <f t="shared" si="27"/>
        <v>160</v>
      </c>
      <c r="K65" s="43">
        <f t="shared" si="27"/>
        <v>70</v>
      </c>
      <c r="L65" s="43">
        <f t="shared" si="27"/>
        <v>150</v>
      </c>
      <c r="M65" s="43">
        <f t="shared" si="27"/>
        <v>555</v>
      </c>
      <c r="N65" s="43">
        <f t="shared" si="27"/>
        <v>379</v>
      </c>
      <c r="O65" s="43">
        <f t="shared" si="27"/>
        <v>432</v>
      </c>
      <c r="P65" s="43">
        <f t="shared" si="27"/>
        <v>1316</v>
      </c>
      <c r="Q65" s="43">
        <f t="shared" si="27"/>
        <v>1933</v>
      </c>
      <c r="R65" s="43">
        <f t="shared" si="27"/>
        <v>2635</v>
      </c>
      <c r="S65" s="43">
        <f t="shared" si="27"/>
        <v>3626</v>
      </c>
      <c r="T65" s="43">
        <f t="shared" si="27"/>
        <v>2563</v>
      </c>
      <c r="U65" s="43">
        <f t="shared" si="27"/>
        <v>3636</v>
      </c>
      <c r="V65" s="43">
        <f t="shared" si="27"/>
        <v>3744.7999999999984</v>
      </c>
      <c r="W65" s="43">
        <f t="shared" si="27"/>
        <v>2800</v>
      </c>
      <c r="X65" s="43">
        <f t="shared" si="27"/>
        <v>2937</v>
      </c>
      <c r="Y65" s="43">
        <f t="shared" si="27"/>
        <v>2045</v>
      </c>
      <c r="Z65" s="43">
        <f t="shared" si="27"/>
        <v>2191</v>
      </c>
      <c r="AA65" s="43">
        <f t="shared" si="27"/>
        <v>1553</v>
      </c>
      <c r="AB65" s="43">
        <f t="shared" si="27"/>
        <v>2509</v>
      </c>
      <c r="AC65" s="43">
        <f t="shared" si="27"/>
        <v>2839</v>
      </c>
      <c r="AD65" s="43">
        <f t="shared" si="27"/>
        <v>1820.3546705981557</v>
      </c>
      <c r="AE65" s="30"/>
      <c r="AF65" s="30"/>
      <c r="AG65" s="30"/>
      <c r="AH65" s="30"/>
      <c r="AI65" s="5"/>
      <c r="AJ65" s="5"/>
      <c r="AK65" s="5"/>
      <c r="AL65" s="5"/>
      <c r="AM65" s="5"/>
      <c r="AN65" s="5"/>
      <c r="AO65" s="5"/>
      <c r="AP65" s="5"/>
      <c r="AQ65" s="30"/>
      <c r="AR65" s="30"/>
      <c r="AS65" s="30"/>
      <c r="AT65" s="72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</row>
    <row r="66" spans="2:58">
      <c r="B66" s="8" t="s">
        <v>80</v>
      </c>
      <c r="C66" s="23"/>
      <c r="D66" s="23"/>
      <c r="E66" s="23"/>
      <c r="F66" s="23"/>
      <c r="G66" s="31">
        <f>23+34</f>
        <v>57</v>
      </c>
      <c r="H66" s="31">
        <f>19+19</f>
        <v>38</v>
      </c>
      <c r="I66" s="31">
        <f>26+7</f>
        <v>33</v>
      </c>
      <c r="J66" s="31">
        <f>42+27</f>
        <v>69</v>
      </c>
      <c r="K66" s="31">
        <f>2+52</f>
        <v>54</v>
      </c>
      <c r="L66" s="31">
        <f>21+25</f>
        <v>46</v>
      </c>
      <c r="M66" s="31">
        <f>186+38+31</f>
        <v>255</v>
      </c>
      <c r="N66" s="31">
        <f>83+26</f>
        <v>109</v>
      </c>
      <c r="O66" s="31">
        <f>69+26</f>
        <v>95</v>
      </c>
      <c r="P66" s="31">
        <f>115+36</f>
        <v>151</v>
      </c>
      <c r="Q66" s="31">
        <f>223+41</f>
        <v>264</v>
      </c>
      <c r="R66" s="31">
        <f>292+22</f>
        <v>314</v>
      </c>
      <c r="S66" s="31">
        <f>346-38</f>
        <v>308</v>
      </c>
      <c r="T66" s="31">
        <f>205+10</f>
        <v>215</v>
      </c>
      <c r="U66" s="31">
        <v>305</v>
      </c>
      <c r="V66" s="31">
        <v>276</v>
      </c>
      <c r="W66" s="31">
        <f>261+26</f>
        <v>287</v>
      </c>
      <c r="X66" s="31">
        <f>323-89</f>
        <v>234</v>
      </c>
      <c r="Y66" s="31">
        <f>167+25</f>
        <v>192</v>
      </c>
      <c r="Z66" s="31">
        <v>15</v>
      </c>
      <c r="AA66" s="31">
        <f>409+15</f>
        <v>424</v>
      </c>
      <c r="AB66" s="31">
        <f>393+16</f>
        <v>409</v>
      </c>
      <c r="AC66" s="31">
        <f>601+16</f>
        <v>617</v>
      </c>
      <c r="AD66" s="31">
        <f>+AD65*0.2</f>
        <v>364.07093411963115</v>
      </c>
      <c r="AE66" s="23"/>
      <c r="AF66" s="23"/>
      <c r="AG66" s="23"/>
      <c r="AH66" s="23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65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</row>
    <row r="67" spans="2:58">
      <c r="B67" s="8" t="s">
        <v>81</v>
      </c>
      <c r="C67" s="23"/>
      <c r="D67" s="23"/>
      <c r="E67" s="23"/>
      <c r="F67" s="23"/>
      <c r="G67" s="23">
        <f>G65-G66</f>
        <v>-532</v>
      </c>
      <c r="H67" s="23">
        <f t="shared" ref="H67:AD67" si="28">H65-H66</f>
        <v>-291</v>
      </c>
      <c r="I67" s="23">
        <f t="shared" si="28"/>
        <v>143</v>
      </c>
      <c r="J67" s="23">
        <f t="shared" si="28"/>
        <v>91</v>
      </c>
      <c r="K67" s="23">
        <f t="shared" si="28"/>
        <v>16</v>
      </c>
      <c r="L67" s="23">
        <f t="shared" si="28"/>
        <v>104</v>
      </c>
      <c r="M67" s="23">
        <f t="shared" si="28"/>
        <v>300</v>
      </c>
      <c r="N67" s="23">
        <f t="shared" si="28"/>
        <v>270</v>
      </c>
      <c r="O67" s="23">
        <f t="shared" si="28"/>
        <v>337</v>
      </c>
      <c r="P67" s="23">
        <f t="shared" si="28"/>
        <v>1165</v>
      </c>
      <c r="Q67" s="23">
        <f t="shared" si="28"/>
        <v>1669</v>
      </c>
      <c r="R67" s="23">
        <f t="shared" si="28"/>
        <v>2321</v>
      </c>
      <c r="S67" s="23">
        <f t="shared" si="28"/>
        <v>3318</v>
      </c>
      <c r="T67" s="23">
        <f t="shared" si="28"/>
        <v>2348</v>
      </c>
      <c r="U67" s="23">
        <f t="shared" si="28"/>
        <v>3331</v>
      </c>
      <c r="V67" s="23">
        <f t="shared" si="28"/>
        <v>3468.7999999999984</v>
      </c>
      <c r="W67" s="23">
        <f t="shared" si="28"/>
        <v>2513</v>
      </c>
      <c r="X67" s="23">
        <f t="shared" si="28"/>
        <v>2703</v>
      </c>
      <c r="Y67" s="23">
        <f>Y65-Y66</f>
        <v>1853</v>
      </c>
      <c r="Z67" s="23">
        <f t="shared" si="28"/>
        <v>2176</v>
      </c>
      <c r="AA67" s="23">
        <f t="shared" si="28"/>
        <v>1129</v>
      </c>
      <c r="AB67" s="23">
        <f t="shared" si="28"/>
        <v>2100</v>
      </c>
      <c r="AC67" s="23">
        <f t="shared" si="28"/>
        <v>2222</v>
      </c>
      <c r="AD67" s="23">
        <f t="shared" si="28"/>
        <v>1456.2837364785246</v>
      </c>
      <c r="AE67" s="23"/>
      <c r="AF67" s="23"/>
      <c r="AG67" s="23"/>
      <c r="AH67" s="23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65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</row>
    <row r="68" spans="2:58">
      <c r="B68" s="5" t="s">
        <v>82</v>
      </c>
      <c r="C68" s="25"/>
      <c r="D68" s="25"/>
      <c r="E68" s="25"/>
      <c r="F68" s="25"/>
      <c r="G68" s="25">
        <f>G67/G69</f>
        <v>-0.61502890173410407</v>
      </c>
      <c r="H68" s="25">
        <f t="shared" ref="H68:AD68" si="29">H67/H69</f>
        <v>-0.32881355932203388</v>
      </c>
      <c r="I68" s="25">
        <f t="shared" si="29"/>
        <v>0.15509761388286333</v>
      </c>
      <c r="J68" s="25">
        <f t="shared" si="29"/>
        <v>9.8913043478260868E-2</v>
      </c>
      <c r="K68" s="25">
        <f t="shared" si="29"/>
        <v>1.7112299465240642E-2</v>
      </c>
      <c r="L68" s="25">
        <f t="shared" si="29"/>
        <v>0.10048309178743961</v>
      </c>
      <c r="M68" s="25">
        <f t="shared" si="29"/>
        <v>0.27149321266968324</v>
      </c>
      <c r="N68" s="25">
        <f t="shared" si="29"/>
        <v>0.2402135231316726</v>
      </c>
      <c r="O68" s="25">
        <f t="shared" si="29"/>
        <v>0.29744042365401591</v>
      </c>
      <c r="P68" s="25">
        <f t="shared" si="29"/>
        <v>1.0411081322609472</v>
      </c>
      <c r="Q68" s="25">
        <f t="shared" si="29"/>
        <v>1.4861976847729297</v>
      </c>
      <c r="R68" s="25">
        <f t="shared" si="29"/>
        <v>2.044933920704846</v>
      </c>
      <c r="S68" s="25">
        <f t="shared" si="29"/>
        <v>2.867761452031115</v>
      </c>
      <c r="T68" s="25">
        <f t="shared" si="29"/>
        <v>2.032900432900433</v>
      </c>
      <c r="U68" s="25">
        <f t="shared" si="29"/>
        <v>0.96049596309111884</v>
      </c>
      <c r="V68" s="25">
        <f t="shared" si="29"/>
        <v>0.99936617689426632</v>
      </c>
      <c r="W68" s="25">
        <f t="shared" si="29"/>
        <v>0.7246251441753172</v>
      </c>
      <c r="X68" s="25">
        <f t="shared" si="29"/>
        <v>0.77717078780908566</v>
      </c>
      <c r="Y68" s="25">
        <f t="shared" si="29"/>
        <v>0.53048955052963065</v>
      </c>
      <c r="Z68" s="25">
        <f t="shared" si="29"/>
        <v>0.62313860252004583</v>
      </c>
      <c r="AA68" s="25">
        <f t="shared" si="29"/>
        <v>0.32405281285878301</v>
      </c>
      <c r="AB68" s="25">
        <f t="shared" si="29"/>
        <v>0.60327492099971269</v>
      </c>
      <c r="AC68" s="25">
        <f t="shared" si="29"/>
        <v>0.63540177294824129</v>
      </c>
      <c r="AD68" s="25">
        <f t="shared" si="29"/>
        <v>0.41643801443480827</v>
      </c>
      <c r="AE68" s="25"/>
      <c r="AF68" s="25"/>
      <c r="AG68" s="25"/>
      <c r="AH68" s="2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69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 spans="2:58">
      <c r="B69" s="8" t="s">
        <v>83</v>
      </c>
      <c r="C69" s="23"/>
      <c r="D69" s="23"/>
      <c r="E69" s="23"/>
      <c r="F69" s="23"/>
      <c r="G69" s="31">
        <f>173*5</f>
        <v>865</v>
      </c>
      <c r="H69" s="31">
        <f>177*5</f>
        <v>885</v>
      </c>
      <c r="I69" s="31">
        <v>922</v>
      </c>
      <c r="J69" s="31">
        <f>184*5</f>
        <v>920</v>
      </c>
      <c r="K69" s="31">
        <f>187*5</f>
        <v>935</v>
      </c>
      <c r="L69" s="31">
        <f>207*5</f>
        <v>1035</v>
      </c>
      <c r="M69" s="31">
        <v>1105</v>
      </c>
      <c r="N69" s="31">
        <v>1124</v>
      </c>
      <c r="O69" s="31">
        <v>1133</v>
      </c>
      <c r="P69" s="31">
        <v>1119</v>
      </c>
      <c r="Q69" s="31">
        <v>1123</v>
      </c>
      <c r="R69" s="31">
        <v>1135</v>
      </c>
      <c r="S69" s="31">
        <v>1157</v>
      </c>
      <c r="T69" s="31">
        <v>1155</v>
      </c>
      <c r="U69" s="31">
        <v>3468</v>
      </c>
      <c r="V69" s="31">
        <v>3471</v>
      </c>
      <c r="W69" s="31">
        <v>3468</v>
      </c>
      <c r="X69" s="31">
        <v>3478</v>
      </c>
      <c r="Y69" s="31">
        <v>3493</v>
      </c>
      <c r="Z69" s="31">
        <v>3492</v>
      </c>
      <c r="AA69" s="31">
        <v>3484</v>
      </c>
      <c r="AB69" s="31">
        <v>3481</v>
      </c>
      <c r="AC69" s="31">
        <v>3497</v>
      </c>
      <c r="AD69" s="31">
        <f>+AC69</f>
        <v>3497</v>
      </c>
      <c r="AE69" s="23"/>
      <c r="AF69" s="23"/>
      <c r="AG69" s="23"/>
      <c r="AH69" s="23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65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</row>
    <row r="70" spans="2:58">
      <c r="B70" s="5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61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</row>
    <row r="71" spans="2:58">
      <c r="B71" s="7" t="s">
        <v>84</v>
      </c>
      <c r="C71" s="27"/>
      <c r="D71" s="27"/>
      <c r="E71" s="27"/>
      <c r="F71" s="27"/>
      <c r="G71" s="27"/>
      <c r="H71" s="27"/>
      <c r="I71" s="27"/>
      <c r="J71" s="27"/>
      <c r="K71" s="44">
        <f>K51/G51-1</f>
        <v>0.31799163179916312</v>
      </c>
      <c r="L71" s="44">
        <f t="shared" ref="L71:AD71" si="30">L51/H51-1</f>
        <v>-4.9448818897637747E-2</v>
      </c>
      <c r="M71" s="44">
        <f t="shared" si="30"/>
        <v>0.39155957480564818</v>
      </c>
      <c r="N71" s="44">
        <f t="shared" si="30"/>
        <v>0.45503791982665232</v>
      </c>
      <c r="O71" s="44">
        <f t="shared" si="30"/>
        <v>0.73583959899749374</v>
      </c>
      <c r="P71" s="44">
        <f t="shared" si="30"/>
        <v>0.98111332007952279</v>
      </c>
      <c r="Q71" s="44">
        <f t="shared" si="30"/>
        <v>0.56846425721126437</v>
      </c>
      <c r="R71" s="44">
        <f t="shared" si="30"/>
        <v>0.64919955323901712</v>
      </c>
      <c r="S71" s="44">
        <f t="shared" si="30"/>
        <v>0.80537106555010096</v>
      </c>
      <c r="T71" s="44">
        <f t="shared" si="30"/>
        <v>0.41612309750794441</v>
      </c>
      <c r="U71" s="44">
        <f t="shared" si="30"/>
        <v>0.55949698335392894</v>
      </c>
      <c r="V71" s="44">
        <f t="shared" si="30"/>
        <v>0.39999999999999991</v>
      </c>
      <c r="W71" s="44">
        <f t="shared" si="30"/>
        <v>0.24381531243335464</v>
      </c>
      <c r="X71" s="44">
        <f t="shared" si="30"/>
        <v>0.47200897602456604</v>
      </c>
      <c r="Y71" s="44">
        <f>Y51/U51-1</f>
        <v>8.8375128181224838E-2</v>
      </c>
      <c r="Z71" s="44">
        <f>Z51/V51-1</f>
        <v>1.452839163770947E-2</v>
      </c>
      <c r="AA71" s="44">
        <f>AA51/W51-1</f>
        <v>-8.6930429936988296E-2</v>
      </c>
      <c r="AB71" s="44">
        <f>AB51/X51-1</f>
        <v>2.2987122397400306E-2</v>
      </c>
      <c r="AC71" s="44">
        <f t="shared" si="30"/>
        <v>7.8458244111349051E-2</v>
      </c>
      <c r="AD71" s="44">
        <f t="shared" si="30"/>
        <v>0.13521798932415607</v>
      </c>
      <c r="AE71" s="28"/>
      <c r="AF71" s="28"/>
      <c r="AG71" s="28"/>
      <c r="AH71" s="28"/>
      <c r="AI71" s="7"/>
      <c r="AJ71" s="7"/>
      <c r="AK71" s="29"/>
      <c r="AL71" s="29"/>
      <c r="AM71" s="29"/>
      <c r="AN71" s="29"/>
      <c r="AO71" s="29"/>
      <c r="AP71" s="29"/>
      <c r="AQ71" s="29"/>
      <c r="AR71" s="29"/>
      <c r="AS71" s="29"/>
      <c r="AT71" s="70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</row>
    <row r="72" spans="2:58">
      <c r="B72" s="5" t="s">
        <v>85</v>
      </c>
      <c r="C72" s="10"/>
      <c r="D72" s="10"/>
      <c r="E72" s="10"/>
      <c r="F72" s="10"/>
      <c r="G72" s="10"/>
      <c r="H72" s="10"/>
      <c r="I72" s="10"/>
      <c r="J72" s="10"/>
      <c r="K72" s="30">
        <f>+K37/G37-1</f>
        <v>0.40427490122026688</v>
      </c>
      <c r="L72" s="30">
        <f t="shared" ref="L72:AD72" si="31">+L37/H37-1</f>
        <v>-4.9351902344897058E-2</v>
      </c>
      <c r="M72" s="30">
        <f t="shared" si="31"/>
        <v>0.43333401930319182</v>
      </c>
      <c r="N72" s="30">
        <f t="shared" si="31"/>
        <v>0.61086578348722065</v>
      </c>
      <c r="O72" s="30">
        <f t="shared" si="31"/>
        <v>1.088229976496113</v>
      </c>
      <c r="P72" s="30">
        <f t="shared" si="31"/>
        <v>1.2200772200772199</v>
      </c>
      <c r="Q72" s="30">
        <f t="shared" si="31"/>
        <v>0.73223259152907394</v>
      </c>
      <c r="R72" s="30">
        <f t="shared" si="31"/>
        <v>0.70903250816857732</v>
      </c>
      <c r="S72" s="30">
        <f t="shared" si="31"/>
        <v>0.67774891774891777</v>
      </c>
      <c r="T72" s="30">
        <f t="shared" si="31"/>
        <v>0.26556521739130434</v>
      </c>
      <c r="U72" s="30">
        <f t="shared" si="31"/>
        <v>0.42490675507666809</v>
      </c>
      <c r="V72" s="30">
        <f t="shared" si="31"/>
        <v>0.31327932598833441</v>
      </c>
      <c r="W72" s="30">
        <f t="shared" si="31"/>
        <v>0.36390171844359576</v>
      </c>
      <c r="X72" s="30">
        <f t="shared" si="31"/>
        <v>0.83018904964761764</v>
      </c>
      <c r="Y72" s="30">
        <f t="shared" si="31"/>
        <v>0.26533170462146982</v>
      </c>
      <c r="Z72" s="30">
        <f t="shared" si="31"/>
        <v>0.19549297025745282</v>
      </c>
      <c r="AA72" s="30">
        <f t="shared" si="31"/>
        <v>-8.5285249778303318E-2</v>
      </c>
      <c r="AB72" s="30">
        <f t="shared" si="31"/>
        <v>-4.7590852533573647E-2</v>
      </c>
      <c r="AC72" s="30">
        <f t="shared" si="31"/>
        <v>6.3970633868050131E-2</v>
      </c>
      <c r="AD72" s="30">
        <f t="shared" si="31"/>
        <v>0.10948139036174909</v>
      </c>
      <c r="AE72" s="30"/>
      <c r="AF72" s="30"/>
      <c r="AG72" s="30"/>
      <c r="AH72" s="30"/>
      <c r="AI72" s="5"/>
      <c r="AJ72" s="5"/>
      <c r="AK72" s="5"/>
      <c r="AL72" s="5"/>
      <c r="AM72" s="5"/>
      <c r="AN72" s="5"/>
      <c r="AO72" s="5"/>
      <c r="AP72" s="5"/>
      <c r="AQ72" s="24"/>
      <c r="AR72" s="24"/>
      <c r="AS72" s="24"/>
      <c r="AT72" s="71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</row>
    <row r="73" spans="2:58">
      <c r="B73" s="5" t="s">
        <v>86</v>
      </c>
      <c r="C73" s="10"/>
      <c r="D73" s="10"/>
      <c r="E73" s="10"/>
      <c r="F73" s="10"/>
      <c r="G73" s="10"/>
      <c r="H73" s="10"/>
      <c r="I73" s="10"/>
      <c r="J73" s="10"/>
      <c r="K73" s="30">
        <f>+K42/G42-1</f>
        <v>0.33101713811610356</v>
      </c>
      <c r="L73" s="30">
        <f t="shared" ref="L73:AD73" si="32">+L42/H42-1</f>
        <v>-5.4866280672732248E-2</v>
      </c>
      <c r="M73" s="30">
        <f t="shared" si="32"/>
        <v>0.50835629972440333</v>
      </c>
      <c r="N73" s="30">
        <f t="shared" si="32"/>
        <v>0.71375046476818782</v>
      </c>
      <c r="O73" s="30">
        <f t="shared" si="32"/>
        <v>0.75644771700171409</v>
      </c>
      <c r="P73" s="30">
        <f t="shared" si="32"/>
        <v>1.5090067094515751</v>
      </c>
      <c r="Q73" s="30">
        <f t="shared" si="32"/>
        <v>0.63975150996993846</v>
      </c>
      <c r="R73" s="30">
        <f t="shared" si="32"/>
        <v>0.7014080119272128</v>
      </c>
      <c r="S73" s="30">
        <f t="shared" si="32"/>
        <v>0.69352549102241356</v>
      </c>
      <c r="T73" s="30">
        <f t="shared" si="32"/>
        <v>0.25268262434539124</v>
      </c>
      <c r="U73" s="30">
        <f t="shared" si="32"/>
        <v>0.53863587626091669</v>
      </c>
      <c r="V73" s="30">
        <f t="shared" si="32"/>
        <v>0.43768310227569973</v>
      </c>
      <c r="W73" s="30">
        <f t="shared" si="32"/>
        <v>0.44334609226376598</v>
      </c>
      <c r="X73" s="30">
        <f t="shared" si="32"/>
        <v>0.85513187408152214</v>
      </c>
      <c r="Y73" s="30">
        <f t="shared" si="32"/>
        <v>0.17644422460462983</v>
      </c>
      <c r="Z73" s="30">
        <f t="shared" si="32"/>
        <v>0.12573999149421988</v>
      </c>
      <c r="AA73" s="30">
        <f t="shared" si="32"/>
        <v>-1.687129090216144E-2</v>
      </c>
      <c r="AB73" s="30">
        <f t="shared" si="32"/>
        <v>-0.14356681259120285</v>
      </c>
      <c r="AC73" s="30">
        <f t="shared" si="32"/>
        <v>9.1310326884837645E-2</v>
      </c>
      <c r="AD73" s="30">
        <f t="shared" si="32"/>
        <v>0</v>
      </c>
      <c r="AE73" s="30"/>
      <c r="AF73" s="30"/>
      <c r="AG73" s="30"/>
      <c r="AH73" s="30"/>
      <c r="AI73" s="5"/>
      <c r="AJ73" s="5"/>
      <c r="AK73" s="5"/>
      <c r="AL73" s="5"/>
      <c r="AM73" s="5"/>
      <c r="AN73" s="5"/>
      <c r="AO73" s="5"/>
      <c r="AP73" s="5"/>
      <c r="AQ73" s="24"/>
      <c r="AR73" s="24"/>
      <c r="AS73" s="24"/>
      <c r="AT73" s="71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</row>
    <row r="74" spans="2:58">
      <c r="B74" s="5" t="s">
        <v>87</v>
      </c>
      <c r="C74" s="10"/>
      <c r="D74" s="10"/>
      <c r="E74" s="10"/>
      <c r="F74" s="10"/>
      <c r="G74" s="10"/>
      <c r="H74" s="10"/>
      <c r="I74" s="10"/>
      <c r="J74" s="10"/>
      <c r="K74" s="46">
        <f>K45/G45-1</f>
        <v>0.39441436306640076</v>
      </c>
      <c r="L74" s="46">
        <f t="shared" ref="L74:AD74" si="33">L45/H45-1</f>
        <v>-4.9729102167182626E-2</v>
      </c>
      <c r="M74" s="46">
        <f t="shared" si="33"/>
        <v>0.43141075604053003</v>
      </c>
      <c r="N74" s="46">
        <f t="shared" si="33"/>
        <v>0.4053394107113788</v>
      </c>
      <c r="O74" s="46">
        <f t="shared" si="33"/>
        <v>0.67320662170447587</v>
      </c>
      <c r="P74" s="46">
        <f t="shared" si="33"/>
        <v>0.9385053960496843</v>
      </c>
      <c r="Q74" s="46">
        <f t="shared" si="33"/>
        <v>0.55091206098557044</v>
      </c>
      <c r="R74" s="46">
        <f t="shared" si="33"/>
        <v>0.74041468782578468</v>
      </c>
      <c r="S74" s="46">
        <f t="shared" si="33"/>
        <v>0.89495541712470983</v>
      </c>
      <c r="T74" s="46">
        <f t="shared" si="33"/>
        <v>0.43592436974789917</v>
      </c>
      <c r="U74" s="46">
        <f t="shared" si="33"/>
        <v>0.561046256473273</v>
      </c>
      <c r="V74" s="46">
        <f t="shared" si="33"/>
        <v>0.39999999999999991</v>
      </c>
      <c r="W74" s="46">
        <f t="shared" si="33"/>
        <v>0.21683640582699493</v>
      </c>
      <c r="X74" s="46">
        <f t="shared" si="33"/>
        <v>0.49370885149963417</v>
      </c>
      <c r="Y74" s="46">
        <f t="shared" si="33"/>
        <v>4.4813044700590332E-2</v>
      </c>
      <c r="Z74" s="46">
        <f t="shared" si="33"/>
        <v>-1.9253624910862799E-2</v>
      </c>
      <c r="AA74" s="46">
        <f t="shared" si="33"/>
        <v>-0.12808560228837795</v>
      </c>
      <c r="AB74" s="46">
        <f t="shared" si="33"/>
        <v>-9.2511876193741127E-2</v>
      </c>
      <c r="AC74" s="46">
        <f t="shared" si="33"/>
        <v>1.3400064578624526E-2</v>
      </c>
      <c r="AD74" s="46">
        <f t="shared" si="33"/>
        <v>0.16495545987983684</v>
      </c>
      <c r="AE74" s="30"/>
      <c r="AF74" s="30"/>
      <c r="AG74" s="30"/>
      <c r="AH74" s="30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61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</row>
    <row r="75" spans="2:58">
      <c r="B75" s="5" t="s">
        <v>88</v>
      </c>
      <c r="C75" s="30"/>
      <c r="D75" s="30"/>
      <c r="E75" s="30"/>
      <c r="F75" s="30"/>
      <c r="G75" s="30">
        <f>G53/G45</f>
        <v>0.18609290396124251</v>
      </c>
      <c r="H75" s="30">
        <f t="shared" ref="H75:AD75" si="34">H53/H45</f>
        <v>0.17685758513931887</v>
      </c>
      <c r="I75" s="30">
        <f t="shared" si="34"/>
        <v>0.21784879189399844</v>
      </c>
      <c r="J75" s="30">
        <f t="shared" si="34"/>
        <v>0.21618101904606871</v>
      </c>
      <c r="K75" s="30">
        <f t="shared" si="34"/>
        <v>0.2440220723482526</v>
      </c>
      <c r="L75" s="30">
        <f t="shared" si="34"/>
        <v>0.24373854612095297</v>
      </c>
      <c r="M75" s="30">
        <f t="shared" si="34"/>
        <v>0.27021508303838826</v>
      </c>
      <c r="N75" s="30">
        <f t="shared" si="34"/>
        <v>0.19819298042395458</v>
      </c>
      <c r="O75" s="30">
        <f t="shared" si="34"/>
        <v>0.21131061438866497</v>
      </c>
      <c r="P75" s="30">
        <f t="shared" si="34"/>
        <v>0.25220588235294117</v>
      </c>
      <c r="Q75" s="30">
        <f t="shared" si="34"/>
        <v>0.28464846835776353</v>
      </c>
      <c r="R75" s="30">
        <f t="shared" si="34"/>
        <v>0.28858569051580701</v>
      </c>
      <c r="S75" s="30">
        <f t="shared" si="34"/>
        <v>0.29650638133298957</v>
      </c>
      <c r="T75" s="30">
        <f t="shared" si="34"/>
        <v>0.25727871250914414</v>
      </c>
      <c r="U75" s="30">
        <f t="shared" si="34"/>
        <v>0.26348046106269329</v>
      </c>
      <c r="V75" s="30">
        <f t="shared" si="34"/>
        <v>0.26631804135963871</v>
      </c>
      <c r="W75" s="30">
        <f t="shared" si="34"/>
        <v>0.1830702404915775</v>
      </c>
      <c r="X75" s="30">
        <f t="shared" si="34"/>
        <v>0.17522895342573094</v>
      </c>
      <c r="Y75" s="30">
        <f t="shared" si="34"/>
        <v>0.15746421267893659</v>
      </c>
      <c r="Z75" s="30">
        <f t="shared" si="34"/>
        <v>0.16616577799321378</v>
      </c>
      <c r="AA75" s="30">
        <f t="shared" si="34"/>
        <v>0.15571081409477522</v>
      </c>
      <c r="AB75" s="30">
        <f t="shared" si="34"/>
        <v>0.13858607663248787</v>
      </c>
      <c r="AC75" s="30">
        <f t="shared" si="34"/>
        <v>0.16398491848547608</v>
      </c>
      <c r="AD75" s="30">
        <f t="shared" si="34"/>
        <v>0.15000000000000002</v>
      </c>
      <c r="AE75" s="30"/>
      <c r="AF75" s="30"/>
      <c r="AG75" s="30"/>
      <c r="AH75" s="30"/>
      <c r="AI75" s="5"/>
      <c r="AJ75" s="5"/>
      <c r="AK75" s="5"/>
      <c r="AL75" s="5"/>
      <c r="AM75" s="5"/>
      <c r="AN75" s="5"/>
      <c r="AO75" s="5"/>
      <c r="AP75" s="5"/>
      <c r="AQ75" s="30"/>
      <c r="AR75" s="30"/>
      <c r="AS75" s="30"/>
      <c r="AT75" s="72"/>
      <c r="AU75" s="30"/>
      <c r="AV75" s="30"/>
      <c r="AW75" s="30"/>
      <c r="AX75" s="30"/>
      <c r="AY75" s="5"/>
      <c r="AZ75" s="5"/>
      <c r="BA75" s="5"/>
      <c r="BB75" s="5"/>
      <c r="BC75" s="5"/>
      <c r="BD75" s="5"/>
      <c r="BE75" s="5"/>
      <c r="BF75" s="5"/>
    </row>
    <row r="76" spans="2:58">
      <c r="B76" s="5" t="s">
        <v>73</v>
      </c>
      <c r="C76" s="30"/>
      <c r="D76" s="30"/>
      <c r="E76" s="30"/>
      <c r="F76" s="30"/>
      <c r="G76" s="30">
        <f>+G59/G51</f>
        <v>0.1246421493063202</v>
      </c>
      <c r="H76" s="30">
        <f t="shared" ref="H76:AD76" si="35">+H59/H51</f>
        <v>0.14503937007874015</v>
      </c>
      <c r="I76" s="30">
        <f t="shared" si="35"/>
        <v>0.18895763921941933</v>
      </c>
      <c r="J76" s="30">
        <f t="shared" si="35"/>
        <v>0.18838028169014084</v>
      </c>
      <c r="K76" s="30">
        <f t="shared" si="35"/>
        <v>0.20618212197159566</v>
      </c>
      <c r="L76" s="30">
        <f t="shared" si="35"/>
        <v>0.20990722332670642</v>
      </c>
      <c r="M76" s="30">
        <f t="shared" si="35"/>
        <v>0.23520693193478509</v>
      </c>
      <c r="N76" s="30">
        <f t="shared" si="35"/>
        <v>0.19229337304542071</v>
      </c>
      <c r="O76" s="30">
        <f t="shared" si="35"/>
        <v>0.21320627586870727</v>
      </c>
      <c r="P76" s="30">
        <f t="shared" si="35"/>
        <v>0.24117745442381669</v>
      </c>
      <c r="Q76" s="30">
        <f t="shared" si="35"/>
        <v>0.26604637639020134</v>
      </c>
      <c r="R76" s="30">
        <f t="shared" si="35"/>
        <v>0.27354816863254133</v>
      </c>
      <c r="S76" s="30">
        <f t="shared" si="35"/>
        <v>0.29110684580934099</v>
      </c>
      <c r="T76" s="30">
        <f t="shared" si="35"/>
        <v>0.24997047360340144</v>
      </c>
      <c r="U76" s="30">
        <f t="shared" si="35"/>
        <v>0.25086231005873033</v>
      </c>
      <c r="V76" s="30">
        <f t="shared" si="35"/>
        <v>0.25257794296679104</v>
      </c>
      <c r="W76" s="30">
        <f t="shared" si="35"/>
        <v>0.19336448197522396</v>
      </c>
      <c r="X76" s="30">
        <f t="shared" si="35"/>
        <v>0.18185100493440848</v>
      </c>
      <c r="Y76" s="30">
        <f t="shared" si="35"/>
        <v>0.17892933618843684</v>
      </c>
      <c r="Z76" s="30">
        <f t="shared" si="35"/>
        <v>0.17634203520483172</v>
      </c>
      <c r="AA76" s="30">
        <f t="shared" si="35"/>
        <v>0.1735129806112389</v>
      </c>
      <c r="AB76" s="30">
        <f t="shared" si="35"/>
        <v>0.17952941176470588</v>
      </c>
      <c r="AC76" s="30">
        <f t="shared" si="35"/>
        <v>0.19843539035819235</v>
      </c>
      <c r="AD76" s="30">
        <f t="shared" si="35"/>
        <v>0.15511900037130005</v>
      </c>
      <c r="AE76" s="30"/>
      <c r="AF76" s="30"/>
      <c r="AG76" s="30"/>
      <c r="AH76" s="30"/>
      <c r="AI76" s="5"/>
      <c r="AJ76" s="5"/>
      <c r="AK76" s="5"/>
      <c r="AL76" s="5"/>
      <c r="AM76" s="5"/>
      <c r="AN76" s="5"/>
      <c r="AO76" s="5"/>
      <c r="AP76" s="5"/>
      <c r="AQ76" s="30"/>
      <c r="AR76" s="30"/>
      <c r="AS76" s="30"/>
      <c r="AT76" s="72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</row>
    <row r="77" spans="2:58">
      <c r="B77" s="5"/>
    </row>
    <row r="78" spans="2:58">
      <c r="B78" s="5"/>
    </row>
    <row r="79" spans="2:58">
      <c r="B79" s="8" t="s">
        <v>89</v>
      </c>
      <c r="M79" s="31">
        <f t="shared" ref="M79:AC79" si="36">M67</f>
        <v>300</v>
      </c>
      <c r="N79" s="31">
        <f t="shared" si="36"/>
        <v>270</v>
      </c>
      <c r="O79" s="31">
        <f t="shared" si="36"/>
        <v>337</v>
      </c>
      <c r="P79" s="31">
        <f t="shared" si="36"/>
        <v>1165</v>
      </c>
      <c r="Q79" s="31">
        <f t="shared" si="36"/>
        <v>1669</v>
      </c>
      <c r="R79" s="31">
        <f t="shared" si="36"/>
        <v>2321</v>
      </c>
      <c r="S79" s="31">
        <f t="shared" si="36"/>
        <v>3318</v>
      </c>
      <c r="T79" s="31">
        <f t="shared" si="36"/>
        <v>2348</v>
      </c>
      <c r="U79" s="31">
        <f t="shared" si="36"/>
        <v>3331</v>
      </c>
      <c r="V79" s="31">
        <f t="shared" si="36"/>
        <v>3468.7999999999984</v>
      </c>
      <c r="W79" s="31">
        <f t="shared" si="36"/>
        <v>2513</v>
      </c>
      <c r="X79" s="31">
        <f t="shared" si="36"/>
        <v>2703</v>
      </c>
      <c r="Y79" s="31">
        <f t="shared" si="36"/>
        <v>1853</v>
      </c>
      <c r="Z79" s="31">
        <f t="shared" si="36"/>
        <v>2176</v>
      </c>
      <c r="AA79" s="31">
        <f t="shared" si="36"/>
        <v>1129</v>
      </c>
      <c r="AB79" s="31">
        <f t="shared" si="36"/>
        <v>2100</v>
      </c>
      <c r="AC79" s="31">
        <f>AC67</f>
        <v>2222</v>
      </c>
      <c r="AD79" s="31">
        <f>AD67</f>
        <v>1456.2837364785246</v>
      </c>
    </row>
    <row r="80" spans="2:58">
      <c r="B80" s="8" t="s">
        <v>90</v>
      </c>
      <c r="M80" s="31"/>
      <c r="N80" s="31">
        <v>296</v>
      </c>
      <c r="O80" s="31">
        <v>464</v>
      </c>
      <c r="P80" s="31">
        <v>1178</v>
      </c>
      <c r="Q80" s="31">
        <v>1659</v>
      </c>
      <c r="R80" s="31">
        <v>2343</v>
      </c>
      <c r="S80" s="31">
        <v>3280</v>
      </c>
      <c r="T80" s="31">
        <v>2269</v>
      </c>
      <c r="U80" s="31">
        <f>8880-T80-S80</f>
        <v>3331</v>
      </c>
      <c r="V80" s="31">
        <v>3707</v>
      </c>
      <c r="W80" s="31">
        <v>2539</v>
      </c>
      <c r="X80" s="31">
        <v>2614</v>
      </c>
      <c r="Y80" s="31">
        <v>1878</v>
      </c>
      <c r="Z80" s="31">
        <v>7943</v>
      </c>
      <c r="AA80" s="31">
        <v>1144</v>
      </c>
      <c r="AB80" s="31"/>
      <c r="AC80" s="31"/>
      <c r="AD80" s="31"/>
    </row>
    <row r="81" spans="2:34">
      <c r="B81" s="8" t="s">
        <v>91</v>
      </c>
      <c r="N81" s="31">
        <v>618</v>
      </c>
      <c r="O81" s="31">
        <v>621</v>
      </c>
      <c r="P81" s="31">
        <v>681</v>
      </c>
      <c r="Q81" s="31">
        <v>761</v>
      </c>
      <c r="R81" s="31">
        <v>848</v>
      </c>
      <c r="S81" s="31">
        <v>880</v>
      </c>
      <c r="T81" s="31">
        <v>922</v>
      </c>
      <c r="U81" s="31">
        <f>2758-T81-S81</f>
        <v>956</v>
      </c>
      <c r="V81" s="31">
        <v>989</v>
      </c>
      <c r="W81" s="31">
        <v>1046</v>
      </c>
      <c r="X81" s="31">
        <v>1154</v>
      </c>
      <c r="Y81" s="31">
        <v>1235</v>
      </c>
      <c r="Z81" s="31">
        <v>1232</v>
      </c>
      <c r="AA81" s="31">
        <v>1246</v>
      </c>
    </row>
    <row r="82" spans="2:34">
      <c r="B82" s="8" t="s">
        <v>92</v>
      </c>
      <c r="N82" s="31">
        <v>633</v>
      </c>
      <c r="O82" s="31">
        <v>614</v>
      </c>
      <c r="P82" s="31">
        <v>474</v>
      </c>
      <c r="Q82" s="31">
        <v>475</v>
      </c>
      <c r="R82" s="31">
        <v>558</v>
      </c>
      <c r="S82" s="31">
        <v>418</v>
      </c>
      <c r="T82" s="31">
        <v>361</v>
      </c>
      <c r="U82" s="31">
        <f>1141-T82-S82</f>
        <v>362</v>
      </c>
      <c r="V82" s="31">
        <v>419</v>
      </c>
      <c r="W82" s="31">
        <v>418</v>
      </c>
      <c r="X82" s="31">
        <v>445</v>
      </c>
      <c r="Y82" s="31">
        <v>465</v>
      </c>
      <c r="Z82" s="31">
        <v>484</v>
      </c>
      <c r="AA82" s="31">
        <v>524</v>
      </c>
    </row>
    <row r="83" spans="2:34">
      <c r="B83" s="8" t="s">
        <v>93</v>
      </c>
      <c r="N83" s="31"/>
      <c r="O83" s="31"/>
      <c r="P83" s="31"/>
      <c r="Q83" s="31"/>
      <c r="R83" s="31"/>
      <c r="S83" s="31">
        <v>33</v>
      </c>
      <c r="T83" s="31"/>
      <c r="U83" s="31">
        <f>118-T83-S83</f>
        <v>85</v>
      </c>
      <c r="V83" s="31"/>
      <c r="W83" s="31"/>
      <c r="X83" s="31"/>
      <c r="Y83" s="31"/>
      <c r="Z83" s="31"/>
      <c r="AA83" s="31">
        <v>0</v>
      </c>
      <c r="AB83" s="31"/>
      <c r="AC83" s="31"/>
      <c r="AD83" s="31"/>
      <c r="AE83" s="47"/>
      <c r="AF83" s="47"/>
      <c r="AG83" s="47"/>
    </row>
    <row r="84" spans="2:34">
      <c r="B84" s="8" t="s">
        <v>94</v>
      </c>
      <c r="N84" s="31">
        <v>230</v>
      </c>
      <c r="O84" s="31">
        <v>-46</v>
      </c>
      <c r="P84" s="31">
        <v>115</v>
      </c>
      <c r="Q84" s="31">
        <v>253</v>
      </c>
      <c r="R84" s="31">
        <v>-19</v>
      </c>
      <c r="S84" s="31">
        <v>-30</v>
      </c>
      <c r="T84" s="31">
        <v>145</v>
      </c>
      <c r="U84" s="31">
        <f>1-T84-S84</f>
        <v>-114</v>
      </c>
      <c r="V84" s="31">
        <v>354</v>
      </c>
      <c r="W84" s="31">
        <v>40</v>
      </c>
      <c r="X84" s="31">
        <f>-148-47</f>
        <v>-195</v>
      </c>
      <c r="Y84" s="31">
        <f>-113+145</f>
        <v>32</v>
      </c>
      <c r="Z84" s="31">
        <f>-6033+262</f>
        <v>-5771</v>
      </c>
      <c r="AA84" s="31">
        <v>-11</v>
      </c>
    </row>
    <row r="85" spans="2:34">
      <c r="B85" s="8" t="s">
        <v>95</v>
      </c>
      <c r="S85" s="31">
        <v>16</v>
      </c>
      <c r="T85" s="31"/>
      <c r="U85" s="31">
        <f>159-T85-S85</f>
        <v>143</v>
      </c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</row>
    <row r="86" spans="2:34">
      <c r="B86" s="8" t="s">
        <v>96</v>
      </c>
      <c r="U86" s="40">
        <f>106-T86-S86</f>
        <v>106</v>
      </c>
      <c r="V86" s="40"/>
      <c r="W86" s="40"/>
      <c r="X86" s="40"/>
      <c r="Y86" s="40"/>
      <c r="Z86" s="40"/>
      <c r="AA86" s="40"/>
    </row>
    <row r="87" spans="2:34">
      <c r="B87" s="8" t="s">
        <v>97</v>
      </c>
      <c r="N87" s="40">
        <v>1242</v>
      </c>
      <c r="O87" s="40">
        <v>-12</v>
      </c>
      <c r="P87" s="40">
        <v>-324</v>
      </c>
      <c r="Q87" s="40">
        <v>-1</v>
      </c>
      <c r="R87" s="40">
        <v>855</v>
      </c>
      <c r="S87" s="40">
        <f>-409-633-462-289-611+997+287+204+314</f>
        <v>-602</v>
      </c>
      <c r="T87" s="40">
        <v>-1346</v>
      </c>
      <c r="U87" s="40">
        <f>-426-4492-1136-865-1580+4659+856+251+1016-T87-S87</f>
        <v>231</v>
      </c>
      <c r="V87" s="40">
        <v>-2191</v>
      </c>
      <c r="W87" s="40">
        <v>-1530</v>
      </c>
      <c r="X87" s="40">
        <v>-953</v>
      </c>
      <c r="Y87" s="40">
        <v>-302</v>
      </c>
      <c r="Z87" s="40">
        <v>482</v>
      </c>
      <c r="AA87" s="40">
        <v>-2661</v>
      </c>
    </row>
    <row r="88" spans="2:34">
      <c r="B88" s="8" t="s">
        <v>98</v>
      </c>
      <c r="N88" s="45">
        <f>SUM(N80:N87)</f>
        <v>3019</v>
      </c>
      <c r="O88" s="45">
        <f t="shared" ref="O88:AA88" si="37">SUM(O80:O87)</f>
        <v>1641</v>
      </c>
      <c r="P88" s="45">
        <f t="shared" si="37"/>
        <v>2124</v>
      </c>
      <c r="Q88" s="45">
        <f>SUM(Q80:Q87)</f>
        <v>3147</v>
      </c>
      <c r="R88" s="45">
        <f t="shared" si="37"/>
        <v>4585</v>
      </c>
      <c r="S88" s="45">
        <f t="shared" si="37"/>
        <v>3995</v>
      </c>
      <c r="T88" s="45">
        <f t="shared" si="37"/>
        <v>2351</v>
      </c>
      <c r="U88" s="45">
        <f t="shared" si="37"/>
        <v>5100</v>
      </c>
      <c r="V88" s="45">
        <f t="shared" si="37"/>
        <v>3278</v>
      </c>
      <c r="W88" s="45">
        <f t="shared" si="37"/>
        <v>2513</v>
      </c>
      <c r="X88" s="45">
        <f t="shared" si="37"/>
        <v>3065</v>
      </c>
      <c r="Y88" s="45">
        <f t="shared" si="37"/>
        <v>3308</v>
      </c>
      <c r="Z88" s="45">
        <f t="shared" si="37"/>
        <v>4370</v>
      </c>
      <c r="AA88" s="45">
        <f t="shared" si="37"/>
        <v>242</v>
      </c>
      <c r="AB88" s="45">
        <v>3612</v>
      </c>
      <c r="AC88" s="45">
        <v>6255</v>
      </c>
    </row>
    <row r="89" spans="2:34">
      <c r="B89" s="8"/>
    </row>
    <row r="90" spans="2:34">
      <c r="B90" s="8" t="s">
        <v>99</v>
      </c>
      <c r="N90" s="40">
        <v>1151</v>
      </c>
      <c r="O90" s="40">
        <v>1348</v>
      </c>
      <c r="P90" s="40">
        <v>1505</v>
      </c>
      <c r="Q90" s="40">
        <v>1819</v>
      </c>
      <c r="R90" s="40">
        <v>1810</v>
      </c>
      <c r="S90" s="40">
        <v>1767</v>
      </c>
      <c r="T90" s="40">
        <f>3497-S90</f>
        <v>1730</v>
      </c>
      <c r="U90" s="40">
        <f>5300-T90-S90</f>
        <v>1803</v>
      </c>
      <c r="V90" s="40">
        <v>1858</v>
      </c>
      <c r="W90" s="40">
        <v>2072</v>
      </c>
      <c r="X90" s="40">
        <v>2060</v>
      </c>
      <c r="Y90" s="40">
        <v>2460</v>
      </c>
      <c r="Z90" s="40">
        <v>2306</v>
      </c>
      <c r="AA90" s="40">
        <v>2773</v>
      </c>
      <c r="AB90" s="40">
        <v>2270</v>
      </c>
      <c r="AC90" s="40">
        <v>3513</v>
      </c>
    </row>
    <row r="91" spans="2:34">
      <c r="B91" s="8" t="s">
        <v>100</v>
      </c>
      <c r="N91" s="45">
        <f>N88-N90</f>
        <v>1868</v>
      </c>
      <c r="O91" s="45">
        <f t="shared" ref="O91:AC91" si="38">O88-O90</f>
        <v>293</v>
      </c>
      <c r="P91" s="45">
        <f t="shared" si="38"/>
        <v>619</v>
      </c>
      <c r="Q91" s="45">
        <f t="shared" si="38"/>
        <v>1328</v>
      </c>
      <c r="R91" s="45">
        <f t="shared" si="38"/>
        <v>2775</v>
      </c>
      <c r="S91" s="45">
        <f t="shared" si="38"/>
        <v>2228</v>
      </c>
      <c r="T91" s="45">
        <f t="shared" si="38"/>
        <v>621</v>
      </c>
      <c r="U91" s="45">
        <f t="shared" si="38"/>
        <v>3297</v>
      </c>
      <c r="V91" s="45">
        <f t="shared" si="38"/>
        <v>1420</v>
      </c>
      <c r="W91" s="45">
        <f t="shared" si="38"/>
        <v>441</v>
      </c>
      <c r="X91" s="45">
        <f t="shared" si="38"/>
        <v>1005</v>
      </c>
      <c r="Y91" s="45">
        <f t="shared" si="38"/>
        <v>848</v>
      </c>
      <c r="Z91" s="45">
        <f t="shared" si="38"/>
        <v>2064</v>
      </c>
      <c r="AA91" s="45">
        <f t="shared" si="38"/>
        <v>-2531</v>
      </c>
      <c r="AB91" s="45">
        <f t="shared" si="38"/>
        <v>1342</v>
      </c>
      <c r="AC91" s="45">
        <f t="shared" si="38"/>
        <v>2742</v>
      </c>
    </row>
    <row r="92" spans="2:34">
      <c r="B92" s="8" t="s">
        <v>101</v>
      </c>
      <c r="Q92" s="48">
        <f>SUM(N91:Q91)</f>
        <v>4108</v>
      </c>
      <c r="R92" s="48">
        <f t="shared" ref="R92:Y92" si="39">SUM(O91:R91)</f>
        <v>5015</v>
      </c>
      <c r="S92" s="48">
        <f t="shared" si="39"/>
        <v>6950</v>
      </c>
      <c r="T92" s="48">
        <f t="shared" si="39"/>
        <v>6952</v>
      </c>
      <c r="U92" s="48">
        <f t="shared" si="39"/>
        <v>8921</v>
      </c>
      <c r="V92" s="48">
        <f t="shared" si="39"/>
        <v>7566</v>
      </c>
      <c r="W92" s="48">
        <f t="shared" si="39"/>
        <v>5779</v>
      </c>
      <c r="X92" s="48">
        <f t="shared" si="39"/>
        <v>6163</v>
      </c>
      <c r="Y92" s="48">
        <f t="shared" si="39"/>
        <v>3714</v>
      </c>
      <c r="Z92" s="48">
        <f>SUM(W91:Z91)</f>
        <v>4358</v>
      </c>
      <c r="AA92" s="48">
        <f>SUM(X91:AA91)</f>
        <v>1386</v>
      </c>
      <c r="AB92" s="48">
        <f>SUM(Y91:AB91)</f>
        <v>1723</v>
      </c>
      <c r="AC92" s="48">
        <f>SUM(Z91:AC91)</f>
        <v>3617</v>
      </c>
    </row>
    <row r="93" spans="2:34">
      <c r="B93" s="8"/>
    </row>
    <row r="94" spans="2:34">
      <c r="B94" s="8" t="s">
        <v>102</v>
      </c>
      <c r="W94" s="40">
        <f>W95-W112</f>
        <v>19726</v>
      </c>
      <c r="X94" s="45">
        <v>25105</v>
      </c>
      <c r="Y94" s="45">
        <v>26958</v>
      </c>
      <c r="Z94" s="53">
        <f>Z95-Z112</f>
        <v>23864</v>
      </c>
      <c r="AA94" s="53">
        <f>AA95-AA112</f>
        <v>21503</v>
      </c>
      <c r="AB94" s="53">
        <f>AB95-AB112</f>
        <v>22975</v>
      </c>
      <c r="AC94" s="6">
        <v>0</v>
      </c>
    </row>
    <row r="95" spans="2:34">
      <c r="B95" s="8" t="s">
        <v>103</v>
      </c>
      <c r="S95" s="50">
        <f>17576+131</f>
        <v>17707</v>
      </c>
      <c r="T95" s="50">
        <f>18324+591</f>
        <v>18915</v>
      </c>
      <c r="U95" s="50">
        <f>19532+1575</f>
        <v>21107</v>
      </c>
      <c r="V95" s="49"/>
      <c r="W95" s="45">
        <v>22402</v>
      </c>
      <c r="X95" s="45">
        <f>W95+X67</f>
        <v>25105</v>
      </c>
      <c r="Y95" s="40">
        <f>X95+Y67</f>
        <v>26958</v>
      </c>
      <c r="Z95" s="53">
        <f>16398+12696</f>
        <v>29094</v>
      </c>
      <c r="AA95" s="40">
        <v>26863</v>
      </c>
      <c r="AB95" s="40">
        <f>14635+16085</f>
        <v>30720</v>
      </c>
    </row>
    <row r="96" spans="2:34">
      <c r="B96" s="8" t="s">
        <v>104</v>
      </c>
      <c r="S96" s="50">
        <v>1913</v>
      </c>
      <c r="T96" s="50">
        <v>2081</v>
      </c>
      <c r="U96" s="50">
        <v>2192</v>
      </c>
      <c r="V96" s="49"/>
      <c r="W96" s="45">
        <v>2994</v>
      </c>
      <c r="Z96" s="51">
        <v>3508</v>
      </c>
      <c r="AA96" s="45">
        <v>3887</v>
      </c>
      <c r="AB96" s="45">
        <v>3737</v>
      </c>
    </row>
    <row r="97" spans="2:28">
      <c r="B97" s="8" t="s">
        <v>93</v>
      </c>
      <c r="S97" s="50">
        <v>5757</v>
      </c>
      <c r="T97" s="50">
        <v>8108</v>
      </c>
      <c r="U97" s="50">
        <v>10327</v>
      </c>
      <c r="V97" s="49"/>
      <c r="W97" s="45">
        <v>14375</v>
      </c>
      <c r="Z97" s="51">
        <v>13626</v>
      </c>
      <c r="AA97" s="45">
        <v>16033</v>
      </c>
      <c r="AB97" s="45">
        <v>14195</v>
      </c>
    </row>
    <row r="98" spans="2:28">
      <c r="B98" s="8" t="s">
        <v>105</v>
      </c>
      <c r="S98" s="50">
        <v>1723</v>
      </c>
      <c r="T98" s="50">
        <v>2118</v>
      </c>
      <c r="U98" s="50">
        <v>2364</v>
      </c>
      <c r="V98" s="49"/>
      <c r="W98" s="45">
        <v>3227</v>
      </c>
      <c r="Z98" s="51">
        <v>3388</v>
      </c>
      <c r="AA98" s="45">
        <v>3752</v>
      </c>
      <c r="AB98" s="45">
        <v>4325</v>
      </c>
    </row>
    <row r="99" spans="2:28">
      <c r="B99" s="8" t="s">
        <v>106</v>
      </c>
      <c r="S99" s="50">
        <v>4511</v>
      </c>
      <c r="T99" s="50">
        <v>4782</v>
      </c>
      <c r="U99" s="50">
        <v>4824</v>
      </c>
      <c r="V99" s="49"/>
      <c r="W99" s="45">
        <v>5473</v>
      </c>
      <c r="Z99" s="51">
        <v>5989</v>
      </c>
      <c r="AA99" s="45">
        <v>5736</v>
      </c>
      <c r="AB99" s="45">
        <v>5541</v>
      </c>
    </row>
    <row r="100" spans="2:28">
      <c r="B100" s="8" t="s">
        <v>107</v>
      </c>
      <c r="S100" s="50">
        <v>5765</v>
      </c>
      <c r="T100" s="50">
        <v>5624</v>
      </c>
      <c r="U100" s="50">
        <v>5562</v>
      </c>
      <c r="V100" s="49"/>
      <c r="W100" s="45">
        <v>5427</v>
      </c>
      <c r="Z100" s="51">
        <v>5229</v>
      </c>
      <c r="AA100" s="45">
        <v>5162</v>
      </c>
      <c r="AB100" s="45">
        <v>5102</v>
      </c>
    </row>
    <row r="101" spans="2:28">
      <c r="B101" s="8" t="s">
        <v>108</v>
      </c>
      <c r="S101" s="50">
        <v>18884</v>
      </c>
      <c r="T101" s="50">
        <v>21093</v>
      </c>
      <c r="U101" s="50">
        <v>21926</v>
      </c>
      <c r="V101" s="49"/>
      <c r="W101" s="45">
        <v>24969</v>
      </c>
      <c r="Z101" s="51">
        <v>29725</v>
      </c>
      <c r="AA101" s="45">
        <v>31436</v>
      </c>
      <c r="AB101" s="45">
        <v>32902</v>
      </c>
    </row>
    <row r="102" spans="2:28">
      <c r="B102" s="8" t="s">
        <v>109</v>
      </c>
      <c r="S102" s="50">
        <v>2016</v>
      </c>
      <c r="T102" s="50">
        <v>2185</v>
      </c>
      <c r="U102" s="50">
        <v>2251</v>
      </c>
      <c r="V102" s="49"/>
      <c r="W102" s="45">
        <v>2800</v>
      </c>
      <c r="Z102" s="51">
        <v>4180</v>
      </c>
      <c r="AA102" s="45">
        <v>4367</v>
      </c>
      <c r="AB102" s="45">
        <v>4563</v>
      </c>
    </row>
    <row r="103" spans="2:28">
      <c r="B103" s="8" t="s">
        <v>96</v>
      </c>
      <c r="S103" s="50">
        <v>1260</v>
      </c>
      <c r="T103" s="50">
        <v>218</v>
      </c>
      <c r="U103" s="50">
        <v>218</v>
      </c>
      <c r="V103" s="49"/>
      <c r="W103" s="6">
        <v>184</v>
      </c>
      <c r="Z103" s="52">
        <v>184</v>
      </c>
      <c r="AA103" s="6">
        <f>Z103</f>
        <v>184</v>
      </c>
      <c r="AB103" s="6">
        <f>AA103</f>
        <v>184</v>
      </c>
    </row>
    <row r="104" spans="2:28">
      <c r="B104" s="8" t="s">
        <v>110</v>
      </c>
      <c r="S104" s="50">
        <v>457</v>
      </c>
      <c r="T104" s="50">
        <f>241+196</f>
        <v>437</v>
      </c>
      <c r="U104" s="50">
        <f>228+191</f>
        <v>419</v>
      </c>
      <c r="V104" s="49"/>
      <c r="W104" s="6">
        <v>399</v>
      </c>
      <c r="Z104" s="52">
        <v>431</v>
      </c>
      <c r="AA104" s="6">
        <v>421</v>
      </c>
      <c r="AB104" s="6">
        <v>413</v>
      </c>
    </row>
    <row r="105" spans="2:28">
      <c r="B105" s="8" t="s">
        <v>111</v>
      </c>
      <c r="S105" s="50">
        <v>2138</v>
      </c>
      <c r="T105" s="50">
        <v>2952</v>
      </c>
      <c r="U105" s="50">
        <v>3236</v>
      </c>
      <c r="V105" s="49"/>
      <c r="W105" s="45">
        <v>4584</v>
      </c>
      <c r="Z105" s="40">
        <f>6733+4531</f>
        <v>11264</v>
      </c>
      <c r="AA105" s="45">
        <v>11385</v>
      </c>
      <c r="AB105" s="45">
        <v>11150</v>
      </c>
    </row>
    <row r="106" spans="2:28">
      <c r="B106" s="8" t="s">
        <v>112</v>
      </c>
      <c r="S106" s="50">
        <f>SUM(S95:S105)</f>
        <v>62131</v>
      </c>
      <c r="T106" s="50">
        <f>SUM(T95:T105)</f>
        <v>68513</v>
      </c>
      <c r="U106" s="50">
        <f>SUM(U95:U105)</f>
        <v>74426</v>
      </c>
      <c r="V106" s="50"/>
      <c r="W106" s="50">
        <f>SUM(W95:W105)</f>
        <v>86834</v>
      </c>
      <c r="Z106" s="40">
        <f>SUM(Z95:Z105)</f>
        <v>106618</v>
      </c>
      <c r="AA106" s="40">
        <f>SUM(AA95:AA105)</f>
        <v>109226</v>
      </c>
      <c r="AB106" s="40">
        <f>SUM(AB95:AB105)</f>
        <v>112832</v>
      </c>
    </row>
    <row r="107" spans="2:28">
      <c r="B107" s="5"/>
      <c r="Z107" s="52"/>
    </row>
    <row r="108" spans="2:28">
      <c r="B108" s="5" t="s">
        <v>113</v>
      </c>
      <c r="S108" s="45">
        <v>10025</v>
      </c>
      <c r="T108" s="45">
        <v>11212</v>
      </c>
      <c r="U108" s="45">
        <v>13897</v>
      </c>
      <c r="W108" s="45">
        <v>15904</v>
      </c>
      <c r="Z108" s="45">
        <v>14431</v>
      </c>
      <c r="AA108" s="45">
        <v>14725</v>
      </c>
      <c r="AB108" s="45">
        <v>13056</v>
      </c>
    </row>
    <row r="109" spans="2:28">
      <c r="B109" s="5" t="s">
        <v>114</v>
      </c>
      <c r="S109" s="45">
        <v>5719</v>
      </c>
      <c r="T109" s="45">
        <v>6037</v>
      </c>
      <c r="U109" s="45">
        <v>6246</v>
      </c>
      <c r="W109" s="45">
        <v>7321</v>
      </c>
      <c r="Z109" s="45">
        <v>9080</v>
      </c>
      <c r="AA109" s="6">
        <v>9243</v>
      </c>
      <c r="AB109" s="6">
        <v>9616</v>
      </c>
    </row>
    <row r="110" spans="2:28">
      <c r="B110" s="5" t="s">
        <v>115</v>
      </c>
      <c r="S110" s="45">
        <v>3499</v>
      </c>
      <c r="T110" s="45">
        <v>4068</v>
      </c>
      <c r="U110" s="45">
        <v>4193</v>
      </c>
      <c r="W110" s="45">
        <v>4661</v>
      </c>
      <c r="Z110" s="45">
        <v>6115</v>
      </c>
      <c r="AA110" s="40">
        <f>3024+3214</f>
        <v>6238</v>
      </c>
      <c r="AB110" s="55">
        <f>2793+3357</f>
        <v>6150</v>
      </c>
    </row>
    <row r="111" spans="2:28">
      <c r="B111" s="5" t="s">
        <v>116</v>
      </c>
      <c r="S111" s="6">
        <v>925</v>
      </c>
      <c r="T111" s="45">
        <v>1182</v>
      </c>
      <c r="U111" s="45">
        <v>1083</v>
      </c>
      <c r="W111" s="45">
        <v>1057</v>
      </c>
      <c r="Z111" s="6">
        <v>0</v>
      </c>
      <c r="AA111" s="6">
        <f>Z111</f>
        <v>0</v>
      </c>
      <c r="AB111" s="6">
        <f>AA111</f>
        <v>0</v>
      </c>
    </row>
    <row r="112" spans="2:28">
      <c r="B112" s="5" t="s">
        <v>117</v>
      </c>
      <c r="S112" s="45">
        <v>6834</v>
      </c>
      <c r="T112" s="45">
        <v>4430</v>
      </c>
      <c r="U112" s="45">
        <v>3553</v>
      </c>
      <c r="W112" s="45">
        <v>2676</v>
      </c>
      <c r="Z112" s="40">
        <f>2373+2857</f>
        <v>5230</v>
      </c>
      <c r="AA112" s="45">
        <v>5360</v>
      </c>
      <c r="AB112" s="45">
        <v>7745</v>
      </c>
    </row>
    <row r="113" spans="2:28">
      <c r="B113" s="5" t="s">
        <v>118</v>
      </c>
      <c r="S113" s="45">
        <v>3546</v>
      </c>
      <c r="T113" s="45">
        <v>3926</v>
      </c>
      <c r="U113" s="45">
        <v>4330</v>
      </c>
      <c r="W113" s="45">
        <v>5979</v>
      </c>
      <c r="Z113" s="45">
        <v>8153</v>
      </c>
      <c r="AA113" s="45">
        <v>8480</v>
      </c>
      <c r="AB113" s="45">
        <v>9002</v>
      </c>
    </row>
    <row r="114" spans="2:28">
      <c r="B114" s="5" t="s">
        <v>119</v>
      </c>
      <c r="S114" s="45">
        <v>31583</v>
      </c>
      <c r="T114" s="45">
        <v>37658</v>
      </c>
      <c r="U114" s="45">
        <v>41124</v>
      </c>
      <c r="W114" s="45">
        <v>49235</v>
      </c>
      <c r="Z114" s="54">
        <f>62634+733+242</f>
        <v>63609</v>
      </c>
      <c r="AA114" s="40">
        <f>73+64378+729</f>
        <v>65180</v>
      </c>
      <c r="AB114" s="40">
        <f>66468+723</f>
        <v>67191</v>
      </c>
    </row>
    <row r="115" spans="2:28">
      <c r="B115" s="5" t="s">
        <v>120</v>
      </c>
      <c r="S115" s="45">
        <f>SUM(S108:S114)</f>
        <v>62131</v>
      </c>
      <c r="T115" s="45">
        <f>SUM(T108:T114)</f>
        <v>68513</v>
      </c>
      <c r="U115" s="45">
        <f>SUM(U108:U114)</f>
        <v>74426</v>
      </c>
      <c r="W115" s="45">
        <f>SUM(W108:W114)</f>
        <v>86833</v>
      </c>
      <c r="Z115" s="45">
        <f>SUM(Z108:Z114)</f>
        <v>106618</v>
      </c>
      <c r="AA115" s="45">
        <f>SUM(AA108:AA114)</f>
        <v>109226</v>
      </c>
      <c r="AB115" s="45">
        <f>SUM(AB108:AB114)</f>
        <v>112760</v>
      </c>
    </row>
    <row r="116" spans="2:28">
      <c r="B116" s="5"/>
    </row>
    <row r="117" spans="2:28">
      <c r="B117" s="5" t="s">
        <v>121</v>
      </c>
      <c r="Z117" s="45">
        <v>3540</v>
      </c>
      <c r="AB117" s="45">
        <v>3660</v>
      </c>
    </row>
    <row r="118" spans="2:28">
      <c r="B118" s="5" t="s">
        <v>122</v>
      </c>
    </row>
    <row r="119" spans="2:28">
      <c r="B119" s="5" t="s">
        <v>123</v>
      </c>
    </row>
    <row r="120" spans="2:28">
      <c r="B120" s="5"/>
    </row>
    <row r="121" spans="2:28">
      <c r="B121" s="5" t="s">
        <v>124</v>
      </c>
    </row>
    <row r="122" spans="2:28">
      <c r="B122" s="5" t="s">
        <v>125</v>
      </c>
    </row>
    <row r="123" spans="2:28">
      <c r="B123" s="5" t="s">
        <v>126</v>
      </c>
      <c r="T123" s="6" t="s">
        <v>240</v>
      </c>
    </row>
    <row r="130" spans="2:10">
      <c r="C130" s="59">
        <v>2020</v>
      </c>
      <c r="D130" s="59">
        <f>C130+1</f>
        <v>2021</v>
      </c>
      <c r="E130" s="59">
        <f t="shared" ref="E130:G130" si="40">D130+1</f>
        <v>2022</v>
      </c>
      <c r="F130" s="59">
        <f t="shared" si="40"/>
        <v>2023</v>
      </c>
      <c r="G130" s="59">
        <f t="shared" si="40"/>
        <v>2024</v>
      </c>
      <c r="H130" s="59" t="s">
        <v>236</v>
      </c>
    </row>
    <row r="131" spans="2:10">
      <c r="B131" s="6" t="s">
        <v>239</v>
      </c>
      <c r="C131" s="56">
        <v>3</v>
      </c>
      <c r="D131" s="56">
        <v>4</v>
      </c>
      <c r="E131" s="56">
        <v>6.5</v>
      </c>
      <c r="F131" s="56">
        <v>14.7</v>
      </c>
      <c r="G131" s="56">
        <v>31.4</v>
      </c>
      <c r="H131" s="57">
        <f>G131/F131-1</f>
        <v>1.1360544217687076</v>
      </c>
      <c r="I131" s="56"/>
      <c r="J131" s="56"/>
    </row>
    <row r="132" spans="2:10">
      <c r="C132" s="56"/>
      <c r="D132" s="56"/>
      <c r="E132" s="56"/>
      <c r="F132" s="56"/>
      <c r="G132" s="56"/>
      <c r="H132" s="56"/>
      <c r="I132" s="56"/>
      <c r="J132" s="56"/>
    </row>
    <row r="133" spans="2:10">
      <c r="C133" s="56"/>
      <c r="D133" s="56"/>
      <c r="E133" s="56"/>
      <c r="F133" s="56"/>
      <c r="G133" s="56"/>
      <c r="H133" s="56"/>
      <c r="I133" s="56"/>
      <c r="J133" s="56"/>
    </row>
    <row r="134" spans="2:10">
      <c r="C134" s="56"/>
      <c r="D134" s="56"/>
      <c r="E134" s="56"/>
      <c r="F134" s="56"/>
      <c r="G134" s="56"/>
      <c r="H134" s="56"/>
      <c r="I134" s="56"/>
      <c r="J134" s="56"/>
    </row>
    <row r="135" spans="2:10">
      <c r="C135" s="59">
        <v>2020</v>
      </c>
      <c r="D135" s="59">
        <f>C135+1</f>
        <v>2021</v>
      </c>
      <c r="E135" s="59">
        <f t="shared" ref="E135:G135" si="41">D135+1</f>
        <v>2022</v>
      </c>
      <c r="F135" s="59">
        <f t="shared" si="41"/>
        <v>2023</v>
      </c>
      <c r="G135" s="59">
        <f t="shared" si="41"/>
        <v>2024</v>
      </c>
      <c r="H135" s="59" t="s">
        <v>236</v>
      </c>
      <c r="I135" s="56"/>
      <c r="J135" s="56"/>
    </row>
    <row r="136" spans="2:10">
      <c r="B136" s="6" t="s">
        <v>237</v>
      </c>
      <c r="C136" s="56">
        <v>523</v>
      </c>
      <c r="D136" s="56">
        <v>644</v>
      </c>
      <c r="E136" s="56">
        <v>963</v>
      </c>
      <c r="F136" s="58">
        <v>1208</v>
      </c>
      <c r="G136" s="58">
        <v>1359</v>
      </c>
      <c r="H136" s="57">
        <f>G136/F136-1</f>
        <v>0.125</v>
      </c>
      <c r="I136" s="56"/>
      <c r="J136" s="56"/>
    </row>
    <row r="137" spans="2:10">
      <c r="B137" s="6" t="s">
        <v>238</v>
      </c>
      <c r="C137" s="56">
        <v>894</v>
      </c>
      <c r="D137" s="58">
        <v>1281</v>
      </c>
      <c r="E137" s="58">
        <v>1584</v>
      </c>
      <c r="F137" s="58">
        <v>1909</v>
      </c>
      <c r="G137" s="58">
        <v>1895</v>
      </c>
      <c r="H137" s="57">
        <f>G137/F137-1</f>
        <v>-7.333682556312171E-3</v>
      </c>
      <c r="I137" s="56"/>
      <c r="J137" s="56"/>
    </row>
    <row r="138" spans="2:10">
      <c r="C138" s="56"/>
      <c r="D138" s="56"/>
      <c r="E138" s="56"/>
      <c r="F138" s="56"/>
      <c r="G138" s="56"/>
      <c r="H138" s="56"/>
      <c r="I138" s="56"/>
      <c r="J138" s="56"/>
    </row>
    <row r="139" spans="2:10">
      <c r="C139" s="56"/>
      <c r="D139" s="56"/>
      <c r="E139" s="56"/>
      <c r="F139" s="56"/>
      <c r="G139" s="56" t="s">
        <v>233</v>
      </c>
      <c r="H139" s="56"/>
      <c r="I139" s="56"/>
      <c r="J139" s="56"/>
    </row>
    <row r="140" spans="2:10">
      <c r="C140" s="56"/>
      <c r="D140" s="56"/>
      <c r="E140" s="56"/>
      <c r="F140" s="56"/>
      <c r="G140" s="56"/>
      <c r="H140" s="56"/>
      <c r="I140" s="56"/>
      <c r="J140" s="56"/>
    </row>
    <row r="141" spans="2:10">
      <c r="C141" s="59">
        <v>2020</v>
      </c>
      <c r="D141" s="59">
        <f>C141+1</f>
        <v>2021</v>
      </c>
      <c r="E141" s="59">
        <f t="shared" ref="E141:G141" si="42">D141+1</f>
        <v>2022</v>
      </c>
      <c r="F141" s="59">
        <f t="shared" si="42"/>
        <v>2023</v>
      </c>
      <c r="G141" s="59">
        <f t="shared" si="42"/>
        <v>2024</v>
      </c>
      <c r="H141" s="59" t="s">
        <v>236</v>
      </c>
      <c r="I141" s="56"/>
      <c r="J141" s="56"/>
    </row>
    <row r="142" spans="2:10">
      <c r="B142" s="6" t="s">
        <v>234</v>
      </c>
      <c r="C142" s="58">
        <v>2564</v>
      </c>
      <c r="D142" s="58">
        <v>3476</v>
      </c>
      <c r="E142" s="58">
        <v>4678</v>
      </c>
      <c r="F142" s="58">
        <v>5952</v>
      </c>
      <c r="G142" s="58">
        <v>6975</v>
      </c>
      <c r="H142" s="57">
        <f>G142/F142-1</f>
        <v>0.171875</v>
      </c>
      <c r="I142" s="56"/>
      <c r="J142" s="56"/>
    </row>
    <row r="143" spans="2:10">
      <c r="B143" s="6" t="s">
        <v>235</v>
      </c>
      <c r="C143" s="58">
        <v>23277</v>
      </c>
      <c r="D143" s="58">
        <v>31498</v>
      </c>
      <c r="E143" s="58">
        <v>42419</v>
      </c>
      <c r="F143" s="58">
        <v>54892</v>
      </c>
      <c r="G143" s="58">
        <v>65495</v>
      </c>
      <c r="H143" s="57">
        <f>G143/F143-1</f>
        <v>0.1931611163739706</v>
      </c>
      <c r="I143" s="56"/>
      <c r="J143" s="56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0B8E-B283-A040-9EE8-3B1EDAEBD48B}">
  <dimension ref="B4:E19"/>
  <sheetViews>
    <sheetView workbookViewId="0">
      <selection activeCell="G8" sqref="F8:G17"/>
    </sheetView>
  </sheetViews>
  <sheetFormatPr baseColWidth="10" defaultRowHeight="30"/>
  <sheetData>
    <row r="4" spans="2:5">
      <c r="B4" s="14" t="s">
        <v>164</v>
      </c>
      <c r="C4" s="14" t="s">
        <v>165</v>
      </c>
      <c r="D4" s="14">
        <v>100000</v>
      </c>
      <c r="E4" s="14"/>
    </row>
    <row r="5" spans="2:5">
      <c r="B5" s="14"/>
      <c r="C5" s="14" t="s">
        <v>166</v>
      </c>
      <c r="D5" s="14">
        <v>550000</v>
      </c>
      <c r="E5" s="14"/>
    </row>
    <row r="6" spans="2:5">
      <c r="B6" s="14" t="s">
        <v>167</v>
      </c>
      <c r="C6" s="14" t="s">
        <v>166</v>
      </c>
      <c r="D6" s="14">
        <v>750000</v>
      </c>
      <c r="E6" s="14">
        <v>950000</v>
      </c>
    </row>
    <row r="7" spans="2:5">
      <c r="B7" s="14" t="s">
        <v>168</v>
      </c>
      <c r="C7" s="14" t="s">
        <v>169</v>
      </c>
      <c r="D7" s="14">
        <v>350000</v>
      </c>
      <c r="E7" s="14">
        <v>375000</v>
      </c>
    </row>
    <row r="8" spans="2:5">
      <c r="B8" s="14" t="s">
        <v>170</v>
      </c>
      <c r="C8" s="14" t="s">
        <v>169</v>
      </c>
      <c r="D8" s="14">
        <v>250000</v>
      </c>
      <c r="E8" s="14"/>
    </row>
    <row r="9" spans="2:5">
      <c r="B9" s="14"/>
      <c r="C9" s="14" t="s">
        <v>13</v>
      </c>
      <c r="D9" s="14">
        <v>300000</v>
      </c>
      <c r="E9" s="14">
        <v>125000</v>
      </c>
    </row>
    <row r="10" spans="2:5">
      <c r="B10" s="14" t="s">
        <v>171</v>
      </c>
      <c r="C10" s="14" t="s">
        <v>11</v>
      </c>
      <c r="D10" s="14">
        <v>300000</v>
      </c>
      <c r="E10" s="14"/>
    </row>
    <row r="11" spans="2:5">
      <c r="B11" s="14"/>
      <c r="C11" s="14" t="s">
        <v>172</v>
      </c>
      <c r="D11" s="14">
        <v>300000</v>
      </c>
      <c r="E11" s="14"/>
    </row>
    <row r="12" spans="2:5">
      <c r="B12" s="14"/>
      <c r="C12" s="14" t="s">
        <v>173</v>
      </c>
      <c r="D12" s="14">
        <v>300000</v>
      </c>
      <c r="E12" s="14"/>
    </row>
    <row r="13" spans="2:5">
      <c r="B13" s="15"/>
      <c r="C13" s="14"/>
      <c r="D13" s="14"/>
      <c r="E13" s="14"/>
    </row>
    <row r="14" spans="2:5">
      <c r="C14" s="13"/>
      <c r="D14" s="13"/>
      <c r="E14" s="13"/>
    </row>
    <row r="15" spans="2:5">
      <c r="B15" s="13" t="s">
        <v>174</v>
      </c>
      <c r="C15" s="13" t="s">
        <v>180</v>
      </c>
    </row>
    <row r="16" spans="2:5">
      <c r="C16" s="13" t="s">
        <v>176</v>
      </c>
    </row>
    <row r="17" spans="2:4">
      <c r="C17" s="13" t="s">
        <v>177</v>
      </c>
    </row>
    <row r="19" spans="2:4">
      <c r="B19" s="13" t="s">
        <v>175</v>
      </c>
      <c r="C19" s="13" t="s">
        <v>178</v>
      </c>
      <c r="D19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120C-973D-B842-9E59-2065DB3CEDFD}">
  <dimension ref="B2:N25"/>
  <sheetViews>
    <sheetView zoomScale="120" zoomScaleNormal="120" workbookViewId="0">
      <pane xSplit="2" topLeftCell="C1" activePane="topRight" state="frozen"/>
      <selection pane="topRight" activeCell="C27" sqref="C27"/>
    </sheetView>
  </sheetViews>
  <sheetFormatPr baseColWidth="10" defaultRowHeight="30"/>
  <cols>
    <col min="2" max="2" width="16.6640625" bestFit="1" customWidth="1"/>
  </cols>
  <sheetData>
    <row r="2" spans="2:14">
      <c r="B2" t="s">
        <v>210</v>
      </c>
      <c r="C2" t="s">
        <v>211</v>
      </c>
      <c r="G2" t="s">
        <v>212</v>
      </c>
      <c r="L2" t="s">
        <v>213</v>
      </c>
      <c r="N2" t="s">
        <v>214</v>
      </c>
    </row>
    <row r="3" spans="2:14">
      <c r="B3" s="16"/>
      <c r="C3" s="19"/>
    </row>
    <row r="4" spans="2:14">
      <c r="B4" s="16" t="s">
        <v>181</v>
      </c>
      <c r="C4" s="17" t="s">
        <v>182</v>
      </c>
      <c r="F4" s="16"/>
      <c r="G4" t="s">
        <v>203</v>
      </c>
      <c r="H4" s="16"/>
      <c r="K4" s="16"/>
      <c r="L4" s="18" t="s">
        <v>215</v>
      </c>
      <c r="M4" s="16"/>
      <c r="N4" t="s">
        <v>217</v>
      </c>
    </row>
    <row r="5" spans="2:14">
      <c r="B5" s="16" t="s">
        <v>183</v>
      </c>
      <c r="C5" s="17" t="s">
        <v>184</v>
      </c>
      <c r="F5" s="16"/>
      <c r="G5" t="s">
        <v>204</v>
      </c>
      <c r="H5" s="16"/>
      <c r="K5" s="16"/>
      <c r="L5" s="18" t="s">
        <v>216</v>
      </c>
      <c r="M5" s="16"/>
      <c r="N5" t="s">
        <v>218</v>
      </c>
    </row>
    <row r="6" spans="2:14">
      <c r="B6" s="16" t="s">
        <v>185</v>
      </c>
      <c r="C6" s="17" t="s">
        <v>193</v>
      </c>
      <c r="F6" s="16"/>
      <c r="G6" t="s">
        <v>198</v>
      </c>
      <c r="K6" s="16"/>
      <c r="L6" s="18" t="s">
        <v>223</v>
      </c>
      <c r="M6" s="16"/>
      <c r="N6" t="s">
        <v>219</v>
      </c>
    </row>
    <row r="7" spans="2:14" ht="217">
      <c r="B7" s="16" t="s">
        <v>186</v>
      </c>
      <c r="C7" s="17" t="s">
        <v>187</v>
      </c>
      <c r="F7" s="16"/>
      <c r="G7" t="s">
        <v>199</v>
      </c>
      <c r="K7" s="16"/>
      <c r="L7" s="18" t="s">
        <v>225</v>
      </c>
      <c r="M7" s="16"/>
      <c r="N7" s="21" t="s">
        <v>226</v>
      </c>
    </row>
    <row r="8" spans="2:14">
      <c r="B8" s="16" t="s">
        <v>188</v>
      </c>
      <c r="C8" s="17" t="s">
        <v>189</v>
      </c>
      <c r="F8" s="16"/>
      <c r="G8" t="s">
        <v>205</v>
      </c>
      <c r="K8" s="16"/>
      <c r="L8" s="18" t="s">
        <v>231</v>
      </c>
      <c r="M8" s="16"/>
      <c r="N8" t="s">
        <v>220</v>
      </c>
    </row>
    <row r="9" spans="2:14">
      <c r="B9" s="16"/>
      <c r="C9" s="17"/>
      <c r="F9" s="16"/>
      <c r="K9" s="16"/>
      <c r="L9" s="18"/>
      <c r="M9" s="16"/>
    </row>
    <row r="10" spans="2:14">
      <c r="B10" s="16"/>
      <c r="C10" s="17"/>
      <c r="F10" s="16"/>
      <c r="K10" s="16"/>
      <c r="L10" s="18"/>
      <c r="M10" s="16"/>
    </row>
    <row r="11" spans="2:14">
      <c r="B11" s="16"/>
      <c r="C11" s="17"/>
      <c r="F11" s="16"/>
      <c r="K11" s="16"/>
      <c r="L11" s="18"/>
      <c r="M11" s="16"/>
    </row>
    <row r="12" spans="2:14">
      <c r="B12" s="16" t="s">
        <v>190</v>
      </c>
      <c r="C12" s="17" t="s">
        <v>191</v>
      </c>
      <c r="F12" s="16"/>
      <c r="G12" t="s">
        <v>206</v>
      </c>
      <c r="K12" s="16"/>
      <c r="M12" s="16"/>
      <c r="N12" t="s">
        <v>221</v>
      </c>
    </row>
    <row r="13" spans="2:14">
      <c r="B13" s="16"/>
      <c r="C13" s="17"/>
      <c r="F13" s="16"/>
      <c r="K13" s="16"/>
      <c r="M13" s="16"/>
    </row>
    <row r="14" spans="2:14">
      <c r="B14" s="16"/>
      <c r="C14" s="17"/>
      <c r="F14" s="16"/>
      <c r="K14" s="16"/>
      <c r="M14" s="16"/>
    </row>
    <row r="15" spans="2:14">
      <c r="B15" s="16"/>
      <c r="C15" s="17"/>
      <c r="F15" s="16"/>
      <c r="K15" s="16"/>
      <c r="M15" s="16"/>
    </row>
    <row r="16" spans="2:14">
      <c r="B16" s="16"/>
      <c r="C16" s="17"/>
      <c r="F16" s="16"/>
      <c r="K16" s="16"/>
      <c r="M16" s="16"/>
    </row>
    <row r="17" spans="2:14">
      <c r="B17" s="16" t="s">
        <v>192</v>
      </c>
      <c r="C17" s="17" t="s">
        <v>194</v>
      </c>
      <c r="F17" s="16"/>
      <c r="G17" t="s">
        <v>207</v>
      </c>
      <c r="K17" s="16"/>
      <c r="L17" s="18">
        <v>12227972</v>
      </c>
      <c r="M17" s="16"/>
    </row>
    <row r="18" spans="2:14">
      <c r="B18" s="16"/>
      <c r="C18" s="17"/>
      <c r="F18" s="16"/>
      <c r="K18" s="16"/>
      <c r="L18" s="18" t="s">
        <v>232</v>
      </c>
      <c r="M18" s="16"/>
    </row>
    <row r="19" spans="2:14">
      <c r="B19" s="16"/>
      <c r="C19" s="17"/>
      <c r="F19" s="16"/>
      <c r="K19" s="16"/>
      <c r="M19" s="16"/>
    </row>
    <row r="20" spans="2:14">
      <c r="B20" s="16"/>
      <c r="C20" s="17"/>
      <c r="F20" s="16"/>
      <c r="K20" s="16"/>
      <c r="M20" s="16"/>
    </row>
    <row r="21" spans="2:14">
      <c r="B21" s="16" t="s">
        <v>195</v>
      </c>
      <c r="C21" s="17" t="s">
        <v>196</v>
      </c>
      <c r="F21" s="16"/>
      <c r="G21" t="s">
        <v>208</v>
      </c>
      <c r="K21" s="16"/>
      <c r="L21" s="18" t="s">
        <v>227</v>
      </c>
      <c r="M21" s="16"/>
      <c r="N21" t="s">
        <v>228</v>
      </c>
    </row>
    <row r="22" spans="2:14">
      <c r="B22" s="16"/>
      <c r="C22" s="17"/>
      <c r="F22" s="16"/>
      <c r="K22" s="16"/>
      <c r="L22" s="18" t="s">
        <v>229</v>
      </c>
      <c r="M22" s="16"/>
      <c r="N22" t="s">
        <v>230</v>
      </c>
    </row>
    <row r="23" spans="2:14">
      <c r="B23" s="16"/>
      <c r="C23" s="17"/>
      <c r="F23" s="16"/>
      <c r="K23" s="16"/>
      <c r="L23" s="18"/>
      <c r="M23" s="16"/>
    </row>
    <row r="24" spans="2:14">
      <c r="B24" s="16" t="s">
        <v>197</v>
      </c>
      <c r="C24" s="17" t="s">
        <v>224</v>
      </c>
      <c r="F24" s="16"/>
      <c r="G24" t="s">
        <v>209</v>
      </c>
      <c r="K24" s="16"/>
      <c r="M24" s="16"/>
    </row>
    <row r="25" spans="2:14">
      <c r="J25" s="18"/>
    </row>
  </sheetData>
  <hyperlinks>
    <hyperlink ref="L4" r:id="rId1" xr:uid="{E2F24EB8-154A-DF43-AF7E-6AA52A3D7523}"/>
    <hyperlink ref="L5" r:id="rId2" xr:uid="{37FB7DFE-CEFE-DF4A-8781-525BCA76013C}"/>
    <hyperlink ref="L6" r:id="rId3" xr:uid="{65084BF8-1D99-5E49-B591-10934C48F653}"/>
    <hyperlink ref="L7" r:id="rId4" xr:uid="{A74000A3-AE42-5E47-B46E-2DC91371D88E}"/>
    <hyperlink ref="L21" r:id="rId5" xr:uid="{C2D438CB-DC2F-2F49-A639-7CF14880071C}"/>
    <hyperlink ref="L22" r:id="rId6" xr:uid="{69B24C4B-67FB-F543-9681-0F68621B23C4}"/>
    <hyperlink ref="L8" r:id="rId7" xr:uid="{FA3738C0-04A2-1843-B86C-D0DB155F653C}"/>
    <hyperlink ref="L17" r:id="rId8" location=":~:text=An%20angle,signal%20from%20the%20rotary%20sensor" display="https://patents.justia.com/patent/12227972 - :~:text=An%20angle,signal%20from%20the%20rotary%20sensor" xr:uid="{50CF0A0A-5997-B44F-A3B2-D756F1943E42}"/>
    <hyperlink ref="L18" r:id="rId9" xr:uid="{372E829F-3D3E-4E4E-B682-D46A7D2ACE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manufacturing</vt:lpstr>
      <vt:lpstr>IP_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harrison brown</dc:creator>
  <cp:keywords/>
  <dc:description/>
  <cp:lastModifiedBy>harrison brown</cp:lastModifiedBy>
  <dcterms:created xsi:type="dcterms:W3CDTF">2025-03-05T05:03:55Z</dcterms:created>
  <dcterms:modified xsi:type="dcterms:W3CDTF">2025-03-15T15:56:12Z</dcterms:modified>
  <cp:category/>
</cp:coreProperties>
</file>