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DC24EEB1-F814-3340-BCD1-6F7C9CB2FDCE}" xr6:coauthVersionLast="47" xr6:coauthVersionMax="47" xr10:uidLastSave="{00000000-0000-0000-0000-000000000000}"/>
  <bookViews>
    <workbookView xWindow="8400" yWindow="5000" windowWidth="28040" windowHeight="16940" activeTab="1" xr2:uid="{1A02EE8D-B799-744B-857C-E0D1364C67A8}"/>
  </bookViews>
  <sheets>
    <sheet name="main" sheetId="2" r:id="rId1"/>
    <sheet name="model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V85" i="1"/>
  <c r="AA84" i="1"/>
  <c r="W84" i="1"/>
  <c r="U84" i="1"/>
  <c r="T84" i="1"/>
  <c r="S84" i="1"/>
  <c r="AA81" i="1"/>
  <c r="W81" i="1"/>
  <c r="U81" i="1"/>
  <c r="U85" i="1" s="1"/>
  <c r="T81" i="1"/>
  <c r="T85" i="1" s="1"/>
  <c r="S81" i="1"/>
  <c r="S85" i="1" s="1"/>
  <c r="W75" i="1"/>
  <c r="V75" i="1"/>
  <c r="U75" i="1"/>
  <c r="AA74" i="1"/>
  <c r="AA75" i="1" s="1"/>
  <c r="U73" i="1"/>
  <c r="T73" i="1"/>
  <c r="T75" i="1" s="1"/>
  <c r="W64" i="1"/>
  <c r="U64" i="1"/>
  <c r="T64" i="1"/>
  <c r="S64" i="1"/>
  <c r="S75" i="1" s="1"/>
  <c r="AA63" i="1"/>
  <c r="W63" i="1"/>
  <c r="AA60" i="1"/>
  <c r="R60" i="1"/>
  <c r="Q60" i="1"/>
  <c r="P60" i="1"/>
  <c r="O60" i="1"/>
  <c r="R61" i="1" s="1"/>
  <c r="U59" i="1"/>
  <c r="T59" i="1"/>
  <c r="AA57" i="1"/>
  <c r="W57" i="1"/>
  <c r="W60" i="1" s="1"/>
  <c r="Z61" i="1" s="1"/>
  <c r="V57" i="1"/>
  <c r="V60" i="1" s="1"/>
  <c r="T57" i="1"/>
  <c r="T60" i="1" s="1"/>
  <c r="S57" i="1"/>
  <c r="S60" i="1" s="1"/>
  <c r="R57" i="1"/>
  <c r="Q57" i="1"/>
  <c r="P57" i="1"/>
  <c r="O57" i="1"/>
  <c r="N57" i="1"/>
  <c r="N60" i="1" s="1"/>
  <c r="U56" i="1"/>
  <c r="S56" i="1"/>
  <c r="U55" i="1"/>
  <c r="U54" i="1"/>
  <c r="Z53" i="1"/>
  <c r="Z57" i="1" s="1"/>
  <c r="Z60" i="1" s="1"/>
  <c r="Y53" i="1"/>
  <c r="Y57" i="1" s="1"/>
  <c r="Y60" i="1" s="1"/>
  <c r="X53" i="1"/>
  <c r="X57" i="1" s="1"/>
  <c r="X60" i="1" s="1"/>
  <c r="AA61" i="1" s="1"/>
  <c r="U53" i="1"/>
  <c r="U52" i="1"/>
  <c r="U51" i="1"/>
  <c r="U50" i="1"/>
  <c r="U49" i="1"/>
  <c r="AA44" i="1"/>
  <c r="W44" i="1"/>
  <c r="U44" i="1"/>
  <c r="S44" i="1"/>
  <c r="M44" i="1"/>
  <c r="K44" i="1"/>
  <c r="AA43" i="1"/>
  <c r="Y43" i="1"/>
  <c r="X43" i="1"/>
  <c r="W43" i="1"/>
  <c r="S43" i="1"/>
  <c r="O43" i="1"/>
  <c r="N43" i="1"/>
  <c r="M43" i="1"/>
  <c r="L43" i="1"/>
  <c r="K43" i="1"/>
  <c r="AK40" i="1"/>
  <c r="AJ40" i="1"/>
  <c r="AQ38" i="1"/>
  <c r="AR38" i="1" s="1"/>
  <c r="AS38" i="1" s="1"/>
  <c r="AT38" i="1" s="1"/>
  <c r="AU38" i="1" s="1"/>
  <c r="AV38" i="1" s="1"/>
  <c r="AW38" i="1" s="1"/>
  <c r="AP38" i="1"/>
  <c r="AC38" i="1"/>
  <c r="AD38" i="1" s="1"/>
  <c r="AB38" i="1"/>
  <c r="L38" i="1"/>
  <c r="K38" i="1"/>
  <c r="J38" i="1"/>
  <c r="H38" i="1"/>
  <c r="G38" i="1"/>
  <c r="AP35" i="1"/>
  <c r="AA35" i="1"/>
  <c r="Y35" i="1"/>
  <c r="X35" i="1"/>
  <c r="W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A33" i="1"/>
  <c r="Z33" i="1"/>
  <c r="Y33" i="1"/>
  <c r="X33" i="1"/>
  <c r="W33" i="1"/>
  <c r="AP33" i="1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D31" i="1"/>
  <c r="AB31" i="1"/>
  <c r="AA31" i="1"/>
  <c r="Z31" i="1"/>
  <c r="Y31" i="1"/>
  <c r="X31" i="1"/>
  <c r="W31" i="1"/>
  <c r="V31" i="1"/>
  <c r="U31" i="1"/>
  <c r="T31" i="1"/>
  <c r="T32" i="1" s="1"/>
  <c r="T34" i="1" s="1"/>
  <c r="T36" i="1" s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P30" i="1"/>
  <c r="AQ30" i="1" s="1"/>
  <c r="AR30" i="1" s="1"/>
  <c r="AS30" i="1" s="1"/>
  <c r="AT30" i="1" s="1"/>
  <c r="AU30" i="1" s="1"/>
  <c r="AV30" i="1" s="1"/>
  <c r="AW30" i="1" s="1"/>
  <c r="AO30" i="1"/>
  <c r="AD30" i="1"/>
  <c r="AC30" i="1"/>
  <c r="AC31" i="1" s="1"/>
  <c r="AB30" i="1"/>
  <c r="V30" i="1"/>
  <c r="AQ29" i="1"/>
  <c r="AP29" i="1"/>
  <c r="AO29" i="1"/>
  <c r="AO31" i="1" s="1"/>
  <c r="AD29" i="1"/>
  <c r="AC29" i="1"/>
  <c r="AB29" i="1"/>
  <c r="W28" i="1"/>
  <c r="O28" i="1"/>
  <c r="M28" i="1"/>
  <c r="AP27" i="1"/>
  <c r="AO27" i="1"/>
  <c r="AC27" i="1"/>
  <c r="AP26" i="1"/>
  <c r="AO26" i="1"/>
  <c r="AD26" i="1"/>
  <c r="AB26" i="1"/>
  <c r="Z25" i="1"/>
  <c r="Z28" i="1" s="1"/>
  <c r="X25" i="1"/>
  <c r="X28" i="1" s="1"/>
  <c r="T25" i="1"/>
  <c r="T28" i="1" s="1"/>
  <c r="T45" i="1" s="1"/>
  <c r="S25" i="1"/>
  <c r="N25" i="1"/>
  <c r="N28" i="1" s="1"/>
  <c r="L25" i="1"/>
  <c r="L28" i="1" s="1"/>
  <c r="AP24" i="1"/>
  <c r="AO24" i="1"/>
  <c r="AC24" i="1"/>
  <c r="AW23" i="1"/>
  <c r="AV23" i="1"/>
  <c r="AU23" i="1"/>
  <c r="AT23" i="1"/>
  <c r="AS23" i="1"/>
  <c r="AR23" i="1"/>
  <c r="AQ23" i="1"/>
  <c r="AA22" i="1"/>
  <c r="Z22" i="1"/>
  <c r="Z44" i="1" s="1"/>
  <c r="Y22" i="1"/>
  <c r="Y44" i="1" s="1"/>
  <c r="X22" i="1"/>
  <c r="X44" i="1" s="1"/>
  <c r="W22" i="1"/>
  <c r="AP22" i="1" s="1"/>
  <c r="AP44" i="1" s="1"/>
  <c r="U22" i="1"/>
  <c r="T22" i="1"/>
  <c r="S22" i="1"/>
  <c r="R22" i="1"/>
  <c r="R44" i="1" s="1"/>
  <c r="O22" i="1"/>
  <c r="O44" i="1" s="1"/>
  <c r="M22" i="1"/>
  <c r="L22" i="1"/>
  <c r="L44" i="1" s="1"/>
  <c r="K22" i="1"/>
  <c r="J22" i="1"/>
  <c r="J44" i="1" s="1"/>
  <c r="I22" i="1"/>
  <c r="I44" i="1" s="1"/>
  <c r="H22" i="1"/>
  <c r="H44" i="1" s="1"/>
  <c r="G22" i="1"/>
  <c r="G44" i="1" s="1"/>
  <c r="AP21" i="1"/>
  <c r="AO21" i="1"/>
  <c r="AH20" i="1"/>
  <c r="AH40" i="1" s="1"/>
  <c r="AG20" i="1"/>
  <c r="AF20" i="1"/>
  <c r="AG40" i="1" s="1"/>
  <c r="W20" i="1"/>
  <c r="W40" i="1" s="1"/>
  <c r="T20" i="1"/>
  <c r="M20" i="1"/>
  <c r="L20" i="1"/>
  <c r="L40" i="1" s="1"/>
  <c r="K20" i="1"/>
  <c r="J20" i="1"/>
  <c r="N40" i="1" s="1"/>
  <c r="AP19" i="1"/>
  <c r="AO19" i="1"/>
  <c r="AN19" i="1"/>
  <c r="AM19" i="1"/>
  <c r="AL19" i="1"/>
  <c r="AD19" i="1"/>
  <c r="AD27" i="1" s="1"/>
  <c r="AC19" i="1"/>
  <c r="AB19" i="1"/>
  <c r="AB27" i="1" s="1"/>
  <c r="V19" i="1"/>
  <c r="AP18" i="1"/>
  <c r="AO18" i="1"/>
  <c r="AN18" i="1"/>
  <c r="AM18" i="1"/>
  <c r="AL18" i="1"/>
  <c r="AD18" i="1"/>
  <c r="AC18" i="1"/>
  <c r="AC26" i="1" s="1"/>
  <c r="AB18" i="1"/>
  <c r="V18" i="1"/>
  <c r="AP17" i="1"/>
  <c r="AP20" i="1" s="1"/>
  <c r="AA17" i="1"/>
  <c r="Z17" i="1"/>
  <c r="Z20" i="1" s="1"/>
  <c r="Y17" i="1"/>
  <c r="Y25" i="1" s="1"/>
  <c r="Y28" i="1" s="1"/>
  <c r="X17" i="1"/>
  <c r="X20" i="1" s="1"/>
  <c r="W17" i="1"/>
  <c r="W25" i="1" s="1"/>
  <c r="U17" i="1"/>
  <c r="T17" i="1"/>
  <c r="S17" i="1"/>
  <c r="S20" i="1" s="1"/>
  <c r="R17" i="1"/>
  <c r="R25" i="1" s="1"/>
  <c r="R28" i="1" s="1"/>
  <c r="P17" i="1"/>
  <c r="P20" i="1" s="1"/>
  <c r="P40" i="1" s="1"/>
  <c r="O17" i="1"/>
  <c r="O25" i="1" s="1"/>
  <c r="M17" i="1"/>
  <c r="M25" i="1" s="1"/>
  <c r="L17" i="1"/>
  <c r="K17" i="1"/>
  <c r="K25" i="1" s="1"/>
  <c r="K28" i="1" s="1"/>
  <c r="J17" i="1"/>
  <c r="J25" i="1" s="1"/>
  <c r="J28" i="1" s="1"/>
  <c r="I17" i="1"/>
  <c r="I20" i="1" s="1"/>
  <c r="H17" i="1"/>
  <c r="H20" i="1" s="1"/>
  <c r="G17" i="1"/>
  <c r="G25" i="1" s="1"/>
  <c r="G28" i="1" s="1"/>
  <c r="AP16" i="1"/>
  <c r="AO16" i="1"/>
  <c r="AN16" i="1"/>
  <c r="AM16" i="1"/>
  <c r="AL16" i="1"/>
  <c r="AD16" i="1"/>
  <c r="AD24" i="1" s="1"/>
  <c r="AC16" i="1"/>
  <c r="AB16" i="1"/>
  <c r="AB24" i="1" s="1"/>
  <c r="V16" i="1"/>
  <c r="AP15" i="1"/>
  <c r="AN15" i="1"/>
  <c r="AM15" i="1"/>
  <c r="AL15" i="1"/>
  <c r="AL17" i="1" s="1"/>
  <c r="AL20" i="1" s="1"/>
  <c r="AL40" i="1" s="1"/>
  <c r="AD15" i="1"/>
  <c r="AC15" i="1"/>
  <c r="AB15" i="1"/>
  <c r="V15" i="1"/>
  <c r="AO15" i="1" s="1"/>
  <c r="AP14" i="1"/>
  <c r="AN14" i="1"/>
  <c r="AL14" i="1"/>
  <c r="V14" i="1"/>
  <c r="R14" i="1"/>
  <c r="R43" i="1" s="1"/>
  <c r="Q14" i="1"/>
  <c r="P14" i="1"/>
  <c r="P22" i="1" s="1"/>
  <c r="P44" i="1" s="1"/>
  <c r="N14" i="1"/>
  <c r="N17" i="1" s="1"/>
  <c r="N20" i="1" s="1"/>
  <c r="AO12" i="1"/>
  <c r="AP12" i="1" s="1"/>
  <c r="AQ12" i="1" s="1"/>
  <c r="AR12" i="1" s="1"/>
  <c r="AS12" i="1" s="1"/>
  <c r="AT12" i="1" s="1"/>
  <c r="AU12" i="1" s="1"/>
  <c r="AV12" i="1" s="1"/>
  <c r="AW12" i="1" s="1"/>
  <c r="AN12" i="1"/>
  <c r="AM10" i="1"/>
  <c r="AM42" i="1" s="1"/>
  <c r="AD10" i="1"/>
  <c r="AC10" i="1"/>
  <c r="AB10" i="1"/>
  <c r="AA10" i="1"/>
  <c r="AA42" i="1" s="1"/>
  <c r="Z10" i="1"/>
  <c r="Y10" i="1"/>
  <c r="X10" i="1"/>
  <c r="X42" i="1" s="1"/>
  <c r="W10" i="1"/>
  <c r="W42" i="1" s="1"/>
  <c r="V10" i="1"/>
  <c r="U10" i="1"/>
  <c r="T10" i="1"/>
  <c r="S10" i="1"/>
  <c r="S42" i="1" s="1"/>
  <c r="R10" i="1"/>
  <c r="Q10" i="1"/>
  <c r="Q42" i="1" s="1"/>
  <c r="P10" i="1"/>
  <c r="P42" i="1" s="1"/>
  <c r="O10" i="1"/>
  <c r="O42" i="1" s="1"/>
  <c r="N10" i="1"/>
  <c r="N42" i="1" s="1"/>
  <c r="M10" i="1"/>
  <c r="M42" i="1" s="1"/>
  <c r="L10" i="1"/>
  <c r="K10" i="1"/>
  <c r="K42" i="1" s="1"/>
  <c r="J10" i="1"/>
  <c r="I10" i="1"/>
  <c r="H10" i="1"/>
  <c r="G10" i="1"/>
  <c r="AO9" i="1"/>
  <c r="AN9" i="1"/>
  <c r="AM9" i="1"/>
  <c r="AL9" i="1"/>
  <c r="AO8" i="1"/>
  <c r="AN8" i="1"/>
  <c r="AN10" i="1" s="1"/>
  <c r="AM8" i="1"/>
  <c r="AL8" i="1"/>
  <c r="AL10" i="1" s="1"/>
  <c r="AN6" i="1"/>
  <c r="AL6" i="1"/>
  <c r="Z6" i="1"/>
  <c r="AD6" i="1" s="1"/>
  <c r="Y6" i="1"/>
  <c r="AC6" i="1" s="1"/>
  <c r="W6" i="1"/>
  <c r="R6" i="1"/>
  <c r="Q6" i="1"/>
  <c r="O6" i="1"/>
  <c r="J6" i="1"/>
  <c r="I6" i="1"/>
  <c r="H6" i="1"/>
  <c r="G6" i="1"/>
  <c r="AM5" i="1"/>
  <c r="AM41" i="1" s="1"/>
  <c r="AD5" i="1"/>
  <c r="AD41" i="1" s="1"/>
  <c r="AC5" i="1"/>
  <c r="AC41" i="1" s="1"/>
  <c r="AB5" i="1"/>
  <c r="AB41" i="1" s="1"/>
  <c r="AA5" i="1"/>
  <c r="Z5" i="1"/>
  <c r="Y5" i="1"/>
  <c r="X5" i="1"/>
  <c r="W5" i="1"/>
  <c r="W41" i="1" s="1"/>
  <c r="V5" i="1"/>
  <c r="V41" i="1" s="1"/>
  <c r="U5" i="1"/>
  <c r="T5" i="1"/>
  <c r="T41" i="1" s="1"/>
  <c r="S5" i="1"/>
  <c r="R5" i="1"/>
  <c r="Q5" i="1"/>
  <c r="P5" i="1"/>
  <c r="O5" i="1"/>
  <c r="O41" i="1" s="1"/>
  <c r="N5" i="1"/>
  <c r="M5" i="1"/>
  <c r="L5" i="1"/>
  <c r="L41" i="1" s="1"/>
  <c r="K5" i="1"/>
  <c r="J5" i="1"/>
  <c r="I5" i="1"/>
  <c r="H5" i="1"/>
  <c r="G5" i="1"/>
  <c r="AP4" i="1"/>
  <c r="AO4" i="1"/>
  <c r="AN4" i="1"/>
  <c r="AM4" i="1"/>
  <c r="AL4" i="1"/>
  <c r="AD4" i="1"/>
  <c r="AC4" i="1"/>
  <c r="AB4" i="1"/>
  <c r="AQ4" i="1" s="1"/>
  <c r="AP3" i="1"/>
  <c r="AP5" i="1" s="1"/>
  <c r="AO3" i="1"/>
  <c r="AN3" i="1"/>
  <c r="AN5" i="1" s="1"/>
  <c r="AM3" i="1"/>
  <c r="AL3" i="1"/>
  <c r="AL5" i="1" s="1"/>
  <c r="AD3" i="1"/>
  <c r="AC3" i="1"/>
  <c r="AB3" i="1"/>
  <c r="AQ3" i="1" s="1"/>
  <c r="AQ5" i="1" l="1"/>
  <c r="AQ41" i="1" s="1"/>
  <c r="Y32" i="1"/>
  <c r="Y34" i="1" s="1"/>
  <c r="Y36" i="1" s="1"/>
  <c r="AN42" i="1"/>
  <c r="S40" i="1"/>
  <c r="K40" i="1"/>
  <c r="I25" i="1"/>
  <c r="I28" i="1" s="1"/>
  <c r="M41" i="1"/>
  <c r="M6" i="1"/>
  <c r="Y20" i="1"/>
  <c r="Y40" i="1" s="1"/>
  <c r="AD14" i="1"/>
  <c r="X41" i="1"/>
  <c r="J45" i="1"/>
  <c r="J32" i="1"/>
  <c r="J34" i="1" s="1"/>
  <c r="J36" i="1" s="1"/>
  <c r="J37" i="1" s="1"/>
  <c r="L32" i="1"/>
  <c r="L34" i="1" s="1"/>
  <c r="L36" i="1" s="1"/>
  <c r="L37" i="1" s="1"/>
  <c r="L45" i="1"/>
  <c r="M45" i="1"/>
  <c r="M32" i="1"/>
  <c r="M34" i="1" s="1"/>
  <c r="M36" i="1" s="1"/>
  <c r="N6" i="1"/>
  <c r="N41" i="1"/>
  <c r="R41" i="1"/>
  <c r="T6" i="1"/>
  <c r="Z32" i="1"/>
  <c r="Z34" i="1" s="1"/>
  <c r="Z36" i="1" s="1"/>
  <c r="Z45" i="1"/>
  <c r="AN44" i="1"/>
  <c r="AN17" i="1"/>
  <c r="AN20" i="1" s="1"/>
  <c r="L6" i="1"/>
  <c r="N32" i="1"/>
  <c r="N34" i="1" s="1"/>
  <c r="N36" i="1" s="1"/>
  <c r="N45" i="1"/>
  <c r="O32" i="1"/>
  <c r="O34" i="1" s="1"/>
  <c r="O36" i="1" s="1"/>
  <c r="T48" i="1"/>
  <c r="T37" i="1"/>
  <c r="U41" i="1"/>
  <c r="Y41" i="1"/>
  <c r="U6" i="1"/>
  <c r="G32" i="1"/>
  <c r="G34" i="1" s="1"/>
  <c r="G36" i="1" s="1"/>
  <c r="G37" i="1" s="1"/>
  <c r="AA20" i="1"/>
  <c r="AA40" i="1" s="1"/>
  <c r="AA25" i="1"/>
  <c r="AA28" i="1" s="1"/>
  <c r="K45" i="1"/>
  <c r="K32" i="1"/>
  <c r="K34" i="1" s="1"/>
  <c r="K36" i="1" s="1"/>
  <c r="K37" i="1" s="1"/>
  <c r="L42" i="1"/>
  <c r="AP25" i="1"/>
  <c r="V42" i="1"/>
  <c r="Z42" i="1"/>
  <c r="G20" i="1"/>
  <c r="G45" i="1" s="1"/>
  <c r="X32" i="1"/>
  <c r="X34" i="1" s="1"/>
  <c r="X36" i="1" s="1"/>
  <c r="X45" i="1"/>
  <c r="R32" i="1"/>
  <c r="R34" i="1" s="1"/>
  <c r="R36" i="1" s="1"/>
  <c r="P41" i="1"/>
  <c r="X6" i="1"/>
  <c r="AB6" i="1" s="1"/>
  <c r="AB14" i="1" s="1"/>
  <c r="AO10" i="1"/>
  <c r="R42" i="1"/>
  <c r="Q41" i="1"/>
  <c r="AC14" i="1"/>
  <c r="AP6" i="1"/>
  <c r="AQ6" i="1" s="1"/>
  <c r="U25" i="1"/>
  <c r="U28" i="1" s="1"/>
  <c r="U20" i="1"/>
  <c r="M40" i="1"/>
  <c r="AN41" i="1"/>
  <c r="Z41" i="1"/>
  <c r="T42" i="1"/>
  <c r="P43" i="1"/>
  <c r="T43" i="1"/>
  <c r="R20" i="1"/>
  <c r="R40" i="1" s="1"/>
  <c r="P25" i="1"/>
  <c r="P28" i="1" s="1"/>
  <c r="W32" i="1"/>
  <c r="W34" i="1" s="1"/>
  <c r="W36" i="1" s="1"/>
  <c r="AP28" i="1"/>
  <c r="W45" i="1"/>
  <c r="T61" i="1"/>
  <c r="X64" i="1"/>
  <c r="AO5" i="1"/>
  <c r="AO41" i="1" s="1"/>
  <c r="K41" i="1"/>
  <c r="K6" i="1"/>
  <c r="S41" i="1"/>
  <c r="S6" i="1"/>
  <c r="AA41" i="1"/>
  <c r="AA6" i="1"/>
  <c r="P6" i="1"/>
  <c r="Y42" i="1"/>
  <c r="U42" i="1"/>
  <c r="U43" i="1"/>
  <c r="Q43" i="1"/>
  <c r="Q22" i="1"/>
  <c r="Q44" i="1" s="1"/>
  <c r="Q17" i="1"/>
  <c r="T40" i="1"/>
  <c r="S28" i="1"/>
  <c r="AQ31" i="1"/>
  <c r="AR29" i="1"/>
  <c r="T44" i="1"/>
  <c r="AP31" i="1"/>
  <c r="Y61" i="1"/>
  <c r="Z43" i="1"/>
  <c r="V17" i="1"/>
  <c r="AO14" i="1"/>
  <c r="Q61" i="1"/>
  <c r="S61" i="1"/>
  <c r="H25" i="1"/>
  <c r="H28" i="1" s="1"/>
  <c r="W85" i="1"/>
  <c r="O20" i="1"/>
  <c r="O40" i="1" s="1"/>
  <c r="N22" i="1"/>
  <c r="N44" i="1" s="1"/>
  <c r="V22" i="1"/>
  <c r="V44" i="1" s="1"/>
  <c r="AI40" i="1"/>
  <c r="AA85" i="1"/>
  <c r="V6" i="1"/>
  <c r="AM14" i="1"/>
  <c r="X40" i="1"/>
  <c r="V43" i="1"/>
  <c r="U57" i="1"/>
  <c r="U60" i="1" s="1"/>
  <c r="X61" i="1" s="1"/>
  <c r="V61" i="1" l="1"/>
  <c r="U45" i="1"/>
  <c r="U32" i="1"/>
  <c r="U34" i="1" s="1"/>
  <c r="U36" i="1" s="1"/>
  <c r="R45" i="1"/>
  <c r="U61" i="1"/>
  <c r="AP32" i="1"/>
  <c r="AP34" i="1" s="1"/>
  <c r="AP36" i="1" s="1"/>
  <c r="AP37" i="1" s="1"/>
  <c r="AP45" i="1"/>
  <c r="AO42" i="1"/>
  <c r="AP10" i="1"/>
  <c r="O45" i="1"/>
  <c r="Z48" i="1"/>
  <c r="Z37" i="1"/>
  <c r="Y37" i="1"/>
  <c r="Y48" i="1"/>
  <c r="S45" i="1"/>
  <c r="S32" i="1"/>
  <c r="S34" i="1" s="1"/>
  <c r="S36" i="1" s="1"/>
  <c r="N37" i="1"/>
  <c r="N48" i="1"/>
  <c r="AN45" i="1"/>
  <c r="AD21" i="1"/>
  <c r="AD17" i="1"/>
  <c r="AD43" i="1"/>
  <c r="AD22" i="1"/>
  <c r="AD44" i="1" s="1"/>
  <c r="W61" i="1"/>
  <c r="X37" i="1"/>
  <c r="X48" i="1"/>
  <c r="H45" i="1"/>
  <c r="H32" i="1"/>
  <c r="H34" i="1" s="1"/>
  <c r="H36" i="1" s="1"/>
  <c r="H37" i="1" s="1"/>
  <c r="AR31" i="1"/>
  <c r="AS29" i="1"/>
  <c r="W37" i="1"/>
  <c r="W48" i="1"/>
  <c r="AB21" i="1"/>
  <c r="AB17" i="1"/>
  <c r="AB43" i="1"/>
  <c r="AB22" i="1"/>
  <c r="AB44" i="1" s="1"/>
  <c r="O37" i="1"/>
  <c r="O48" i="1"/>
  <c r="AP41" i="1"/>
  <c r="V20" i="1"/>
  <c r="V25" i="1"/>
  <c r="R48" i="1"/>
  <c r="R37" i="1"/>
  <c r="X63" i="1"/>
  <c r="X75" i="1"/>
  <c r="Y64" i="1"/>
  <c r="AR6" i="1"/>
  <c r="AC21" i="1"/>
  <c r="AC22" i="1" s="1"/>
  <c r="AC44" i="1" s="1"/>
  <c r="AC43" i="1"/>
  <c r="AC17" i="1"/>
  <c r="M37" i="1"/>
  <c r="M48" i="1"/>
  <c r="Q20" i="1"/>
  <c r="Q40" i="1" s="1"/>
  <c r="Q25" i="1"/>
  <c r="Q28" i="1" s="1"/>
  <c r="AA45" i="1"/>
  <c r="AA32" i="1"/>
  <c r="AA34" i="1" s="1"/>
  <c r="AA36" i="1" s="1"/>
  <c r="AO22" i="1"/>
  <c r="AO44" i="1" s="1"/>
  <c r="AM44" i="1"/>
  <c r="AM6" i="1"/>
  <c r="AM17" i="1"/>
  <c r="AM20" i="1" s="1"/>
  <c r="Y45" i="1"/>
  <c r="AO17" i="1"/>
  <c r="AO20" i="1" s="1"/>
  <c r="AO6" i="1"/>
  <c r="P45" i="1"/>
  <c r="P32" i="1"/>
  <c r="P34" i="1" s="1"/>
  <c r="P36" i="1" s="1"/>
  <c r="I32" i="1"/>
  <c r="I34" i="1" s="1"/>
  <c r="I36" i="1" s="1"/>
  <c r="I37" i="1" s="1"/>
  <c r="I45" i="1"/>
  <c r="S48" i="1" l="1"/>
  <c r="S37" i="1"/>
  <c r="AD20" i="1"/>
  <c r="AD40" i="1" s="1"/>
  <c r="AD25" i="1"/>
  <c r="AD28" i="1" s="1"/>
  <c r="U48" i="1"/>
  <c r="U37" i="1"/>
  <c r="Y75" i="1"/>
  <c r="Y63" i="1"/>
  <c r="Z64" i="1"/>
  <c r="AS31" i="1"/>
  <c r="AT29" i="1"/>
  <c r="U40" i="1"/>
  <c r="P37" i="1"/>
  <c r="P48" i="1"/>
  <c r="AM45" i="1"/>
  <c r="AM40" i="1"/>
  <c r="AC25" i="1"/>
  <c r="AC28" i="1" s="1"/>
  <c r="AC20" i="1"/>
  <c r="AC40" i="1" s="1"/>
  <c r="AN40" i="1"/>
  <c r="AA48" i="1"/>
  <c r="AA37" i="1"/>
  <c r="AB25" i="1"/>
  <c r="AB28" i="1" s="1"/>
  <c r="AB20" i="1"/>
  <c r="AB40" i="1" s="1"/>
  <c r="V28" i="1"/>
  <c r="AO25" i="1"/>
  <c r="AO28" i="1"/>
  <c r="AO40" i="1"/>
  <c r="AP40" i="1"/>
  <c r="Q32" i="1"/>
  <c r="Q34" i="1" s="1"/>
  <c r="Q36" i="1" s="1"/>
  <c r="Q45" i="1"/>
  <c r="AS6" i="1"/>
  <c r="V40" i="1"/>
  <c r="Z40" i="1"/>
  <c r="AP42" i="1"/>
  <c r="AQ10" i="1"/>
  <c r="V45" i="1" l="1"/>
  <c r="V32" i="1"/>
  <c r="V34" i="1" s="1"/>
  <c r="V36" i="1" s="1"/>
  <c r="Q48" i="1"/>
  <c r="Q37" i="1"/>
  <c r="AD45" i="1"/>
  <c r="AD32" i="1"/>
  <c r="AD34" i="1" s="1"/>
  <c r="AT31" i="1"/>
  <c r="AU29" i="1"/>
  <c r="AO32" i="1"/>
  <c r="AO45" i="1"/>
  <c r="AT6" i="1"/>
  <c r="AB45" i="1"/>
  <c r="AB32" i="1"/>
  <c r="AB34" i="1" s="1"/>
  <c r="AQ42" i="1"/>
  <c r="AR10" i="1"/>
  <c r="AQ14" i="1"/>
  <c r="AC45" i="1"/>
  <c r="AC32" i="1"/>
  <c r="AC34" i="1" s="1"/>
  <c r="Z75" i="1"/>
  <c r="Z63" i="1"/>
  <c r="AP63" i="1" s="1"/>
  <c r="AR42" i="1" l="1"/>
  <c r="AR5" i="1"/>
  <c r="AR41" i="1" s="1"/>
  <c r="AS10" i="1"/>
  <c r="AR14" i="1"/>
  <c r="AR17" i="1" s="1"/>
  <c r="AR20" i="1" s="1"/>
  <c r="AQ33" i="1"/>
  <c r="AV29" i="1"/>
  <c r="AU31" i="1"/>
  <c r="AD35" i="1"/>
  <c r="AD36" i="1" s="1"/>
  <c r="AU6" i="1"/>
  <c r="AB35" i="1"/>
  <c r="AB36" i="1" s="1"/>
  <c r="AC35" i="1"/>
  <c r="AC36" i="1" s="1"/>
  <c r="V37" i="1"/>
  <c r="V48" i="1"/>
  <c r="AQ17" i="1"/>
  <c r="AQ20" i="1" s="1"/>
  <c r="AQ44" i="1"/>
  <c r="AD37" i="1" l="1"/>
  <c r="AD48" i="1"/>
  <c r="AC48" i="1"/>
  <c r="AC37" i="1"/>
  <c r="AB48" i="1"/>
  <c r="AB37" i="1"/>
  <c r="AW29" i="1"/>
  <c r="AW31" i="1" s="1"/>
  <c r="AV31" i="1"/>
  <c r="AV6" i="1"/>
  <c r="AR40" i="1"/>
  <c r="AR21" i="1"/>
  <c r="AR25" i="1"/>
  <c r="AR28" i="1" s="1"/>
  <c r="AR32" i="1" s="1"/>
  <c r="AQ40" i="1"/>
  <c r="AQ21" i="1"/>
  <c r="AQ25" i="1" s="1"/>
  <c r="AQ28" i="1" s="1"/>
  <c r="AT10" i="1"/>
  <c r="AS42" i="1"/>
  <c r="AS5" i="1"/>
  <c r="AS41" i="1" s="1"/>
  <c r="AS14" i="1"/>
  <c r="AS17" i="1" s="1"/>
  <c r="AS20" i="1" s="1"/>
  <c r="AQ32" i="1" l="1"/>
  <c r="AQ34" i="1" s="1"/>
  <c r="AQ45" i="1"/>
  <c r="AS40" i="1"/>
  <c r="AS21" i="1"/>
  <c r="AS25" i="1"/>
  <c r="AS28" i="1" s="1"/>
  <c r="AS32" i="1" s="1"/>
  <c r="AW6" i="1"/>
  <c r="AU10" i="1"/>
  <c r="AT42" i="1"/>
  <c r="AT5" i="1"/>
  <c r="AT41" i="1" s="1"/>
  <c r="AT14" i="1"/>
  <c r="AT17" i="1" s="1"/>
  <c r="AT20" i="1" s="1"/>
  <c r="AT21" i="1" l="1"/>
  <c r="AT25" i="1" s="1"/>
  <c r="AT28" i="1" s="1"/>
  <c r="AT32" i="1" s="1"/>
  <c r="AT40" i="1"/>
  <c r="AU42" i="1"/>
  <c r="AV10" i="1"/>
  <c r="AU5" i="1"/>
  <c r="AU41" i="1" s="1"/>
  <c r="AU14" i="1"/>
  <c r="AU17" i="1" s="1"/>
  <c r="AU20" i="1" s="1"/>
  <c r="AQ35" i="1"/>
  <c r="AQ36" i="1" s="1"/>
  <c r="AQ37" i="1" l="1"/>
  <c r="AQ63" i="1"/>
  <c r="AU40" i="1"/>
  <c r="AU21" i="1"/>
  <c r="AU25" i="1" s="1"/>
  <c r="AU28" i="1" s="1"/>
  <c r="AU32" i="1" s="1"/>
  <c r="AW10" i="1"/>
  <c r="AV5" i="1"/>
  <c r="AV41" i="1" s="1"/>
  <c r="AV42" i="1"/>
  <c r="AV14" i="1"/>
  <c r="AV17" i="1" s="1"/>
  <c r="AV20" i="1" s="1"/>
  <c r="AV21" i="1" l="1"/>
  <c r="AV25" i="1"/>
  <c r="AV28" i="1" s="1"/>
  <c r="AV32" i="1" s="1"/>
  <c r="AV40" i="1"/>
  <c r="AW42" i="1"/>
  <c r="AW5" i="1"/>
  <c r="AW41" i="1" s="1"/>
  <c r="AW14" i="1"/>
  <c r="AW17" i="1" s="1"/>
  <c r="AW20" i="1" s="1"/>
  <c r="AR33" i="1"/>
  <c r="AR34" i="1" s="1"/>
  <c r="AW21" i="1" l="1"/>
  <c r="AW25" i="1" s="1"/>
  <c r="AW28" i="1" s="1"/>
  <c r="AW32" i="1" s="1"/>
  <c r="AW40" i="1"/>
  <c r="AR35" i="1"/>
  <c r="AR36" i="1" s="1"/>
  <c r="AR37" i="1" l="1"/>
  <c r="AR63" i="1"/>
  <c r="AS33" i="1" l="1"/>
  <c r="AS34" i="1" s="1"/>
  <c r="AS35" i="1" l="1"/>
  <c r="AS36" i="1" s="1"/>
  <c r="AS37" i="1" l="1"/>
  <c r="AS63" i="1"/>
  <c r="AT33" i="1" l="1"/>
  <c r="AT34" i="1" s="1"/>
  <c r="AT35" i="1" l="1"/>
  <c r="AT36" i="1" s="1"/>
  <c r="AT37" i="1" l="1"/>
  <c r="AT63" i="1"/>
  <c r="AU33" i="1" l="1"/>
  <c r="AU34" i="1" s="1"/>
  <c r="AU35" i="1" l="1"/>
  <c r="AU36" i="1" s="1"/>
  <c r="AU37" i="1" l="1"/>
  <c r="AU63" i="1"/>
  <c r="AV33" i="1" l="1"/>
  <c r="AV34" i="1" s="1"/>
  <c r="AV35" i="1" l="1"/>
  <c r="AV36" i="1" s="1"/>
  <c r="AV37" i="1" l="1"/>
  <c r="AV63" i="1"/>
  <c r="AW33" i="1" l="1"/>
  <c r="AW34" i="1" s="1"/>
  <c r="AW35" i="1" l="1"/>
  <c r="AW36" i="1" s="1"/>
  <c r="AW37" i="1" l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AZ45" i="1" s="1"/>
  <c r="AZ47" i="1" s="1"/>
  <c r="AZ48" i="1" s="1"/>
  <c r="AW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tc={10D7AE6C-C563-0B48-8384-B2F5EB7B39F7}</author>
  </authors>
  <commentList>
    <comment ref="AP10" authorId="0" shapeId="0" xr:uid="{10D7AE6C-C563-0B48-8384-B2F5EB7B39F7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<sst xmlns="http://schemas.openxmlformats.org/spreadsheetml/2006/main" count="118" uniqueCount="108">
  <si>
    <t>Main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</si>
  <si>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</si>
  <si>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</si>
  <si>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</si>
  <si>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</si>
  <si>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</si>
  <si>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</si>
  <si>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</si>
  <si>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</si>
  <si>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</si>
  <si>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</si>
  <si>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</si>
  <si>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</si>
  <si>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</si>
  <si>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</si>
  <si>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</si>
  <si>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</si>
  <si>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</si>
  <si>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</si>
  <si>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</si>
  <si>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</si>
  <si>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</si>
  <si>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</si>
  <si>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</si>
  <si>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</si>
  <si>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</si>
  <si>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</si>
  <si>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</si>
  <si>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</si>
  <si>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</si>
  <si>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</si>
  <si>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</si>
  <si>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</si>
  <si>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</si>
  <si>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</si>
  <si>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</si>
  <si>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</si>
  <si>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Software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</si>
  <si>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</si>
  <si>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</si>
  <si>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</si>
  <si>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</si>
  <si>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</si>
  <si>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</si>
  <si>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</si>
  <si>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</si>
  <si>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</si>
  <si>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</si>
  <si>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</si>
  <si>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</si>
  <si>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</si>
  <si>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</si>
  <si>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</si>
  <si>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</si>
  <si>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</si>
  <si>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</si>
  <si>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</si>
  <si>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</si>
  <si>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</si>
  <si>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</si>
  <si>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</si>
  <si>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</si>
  <si>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Shares</t>
  </si>
  <si>
    <t>Revenue y/y</t>
  </si>
  <si>
    <t>Deliveries y/y</t>
  </si>
  <si>
    <t>Production y/y</t>
  </si>
  <si>
    <t>Auto Product y/y</t>
  </si>
  <si>
    <t>Maturity</t>
  </si>
  <si>
    <t>Auto GM</t>
  </si>
  <si>
    <t>Discount</t>
  </si>
  <si>
    <t>NPV</t>
  </si>
  <si>
    <t>ROIC</t>
  </si>
  <si>
    <t>Share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</si>
  <si>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</si>
  <si>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</si>
  <si>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</si>
  <si>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</si>
  <si>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</si>
  <si>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</si>
  <si>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</si>
  <si>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</si>
  <si>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</si>
  <si>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</si>
  <si>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</si>
  <si>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</si>
  <si>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</si>
  <si>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</si>
  <si>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</si>
  <si>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</si>
  <si>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</si>
  <si>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</si>
  <si>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</si>
  <si>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</si>
  <si>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</si>
  <si>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</si>
  <si>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</si>
  <si>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</si>
  <si>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</si>
  <si>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</si>
  <si>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</si>
  <si>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</si>
  <si>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Debt</t>
  </si>
  <si>
    <t>OLTL</t>
  </si>
  <si>
    <t>SE</t>
  </si>
  <si>
    <t>L+SE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</si>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</sst>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23"/>
      <color theme="1"/>
      <name val="Aptos Narrow"/>
      <family val="2"/>
      <scheme val="minor"/>
    </font>
    <font>
      <u/>
      <sz val="23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 applyAlignment="1">
      <alignment horizontal="right"/>
    </xf>
    <xf numFmtId="164" fontId="3" fillId="0" borderId="0" xfId="0" applyNumberFormat="1" applyFont="1"/>
    <xf numFmtId="2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57117</xdr:colOff>
      <xdr:row>0</xdr:row>
      <xdr:rowOff>0</xdr:rowOff>
    </xdr:from>
    <xdr:to>
      <xdr:col>27</xdr:col>
      <xdr:colOff>72572</xdr:colOff>
      <xdr:row>102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5670277-02F2-6F4C-A4C5-147D6D96728D}"/>
            </a:ext>
          </a:extLst>
        </xdr:cNvPr>
        <xdr:cNvCxnSpPr>
          <a:cxnSpLocks/>
        </xdr:cNvCxnSpPr>
      </xdr:nvCxnSpPr>
      <xdr:spPr>
        <a:xfrm>
          <a:off x="19716717" y="0"/>
          <a:ext cx="15455" cy="16909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6283</xdr:colOff>
      <xdr:row>0</xdr:row>
      <xdr:rowOff>0</xdr:rowOff>
    </xdr:from>
    <xdr:to>
      <xdr:col>42</xdr:col>
      <xdr:colOff>6283</xdr:colOff>
      <xdr:row>74</xdr:row>
      <xdr:rowOff>52551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50A396-098F-6C41-9E6A-D054B7999E65}"/>
            </a:ext>
          </a:extLst>
        </xdr:cNvPr>
        <xdr:cNvCxnSpPr/>
      </xdr:nvCxnSpPr>
      <xdr:spPr>
        <a:xfrm>
          <a:off x="30105283" y="0"/>
          <a:ext cx="0" cy="122699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rybrown/Downloads/TSLA.xlsx" TargetMode="External"/><Relationship Id="rId1" Type="http://schemas.openxmlformats.org/officeDocument/2006/relationships/externalLinkPath" Target="/Users/harrybrown/Downloads/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2">
          <cell r="K2">
            <v>176</v>
          </cell>
        </row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91D8B62-6123-0940-81E8-470F5F226A8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0" dT="2023-04-23T20:32:30.18" personId="{A91D8B62-6123-0940-81E8-470F5F226A8D}" id="{10D7AE6C-C563-0B48-8384-B2F5EB7B39F7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0FE-842A-D84C-9B40-DD705F3FBC29}">
  <dimension ref="D5:F18"/>
  <sheetViews>
    <sheetView topLeftCell="C1" zoomScale="244" zoomScaleNormal="130" workbookViewId="0">
      <selection activeCell="C8" sqref="C8"/>
    </sheetView>
  </sheetViews>
  <sheetFormatPr baseColWidth="10" defaultRowHeight="30" x14ac:dyDescent="0.35"/>
  <sheetData>
    <row r="5" spans="4:6" x14ac:dyDescent="0.35">
      <c r="D5" s="17" t="s">
        <v>105</v>
      </c>
      <c r="E5" s="17">
        <v>176</v>
      </c>
      <c r="F5" s="17"/>
    </row>
    <row r="6" spans="4:6" x14ac:dyDescent="0.35">
      <c r="D6" s="17" t="s">
        <v>62</v>
      </c>
      <c r="E6" s="17">
        <v>3157.7524490000001</v>
      </c>
      <c r="F6" s="17" t="s">
        <v>27</v>
      </c>
    </row>
    <row r="7" spans="4:6" x14ac:dyDescent="0.35">
      <c r="D7" s="17" t="s">
        <v>106</v>
      </c>
      <c r="E7" s="17">
        <f>E5*E6</f>
        <v>555764.43102400005</v>
      </c>
      <c r="F7" s="17"/>
    </row>
    <row r="8" spans="4:6" x14ac:dyDescent="0.35">
      <c r="D8" s="17" t="s">
        <v>87</v>
      </c>
      <c r="E8" s="17">
        <f>19532+1575</f>
        <v>21107</v>
      </c>
      <c r="F8" s="17" t="s">
        <v>27</v>
      </c>
    </row>
    <row r="9" spans="4:6" x14ac:dyDescent="0.35">
      <c r="D9" s="17" t="s">
        <v>101</v>
      </c>
      <c r="E9" s="17">
        <f>2096+1457</f>
        <v>3553</v>
      </c>
      <c r="F9" s="17" t="s">
        <v>27</v>
      </c>
    </row>
    <row r="10" spans="4:6" x14ac:dyDescent="0.35">
      <c r="D10" s="17" t="s">
        <v>107</v>
      </c>
      <c r="E10" s="17">
        <f>E7-E8+E9</f>
        <v>538210.43102400005</v>
      </c>
      <c r="F10" s="17"/>
    </row>
    <row r="13" spans="4:6" x14ac:dyDescent="0.35">
      <c r="D13" s="2"/>
    </row>
    <row r="14" spans="4:6" x14ac:dyDescent="0.35">
      <c r="D14" s="2"/>
    </row>
    <row r="15" spans="4:6" x14ac:dyDescent="0.35">
      <c r="D15" s="2"/>
    </row>
    <row r="16" spans="4:6" x14ac:dyDescent="0.35">
      <c r="D16" s="2"/>
    </row>
    <row r="17" spans="4:4" x14ac:dyDescent="0.35">
      <c r="D17" s="2"/>
    </row>
    <row r="18" spans="4:4" x14ac:dyDescent="0.35">
      <c r="D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C97E-C738-D042-9293-1EA608605577}">
  <dimension ref="A1:DA89"/>
  <sheetViews>
    <sheetView tabSelected="1" workbookViewId="0">
      <selection activeCell="D16" sqref="D16"/>
    </sheetView>
  </sheetViews>
  <sheetFormatPr baseColWidth="10" defaultColWidth="4.58203125" defaultRowHeight="13" x14ac:dyDescent="0.15"/>
  <cols>
    <col min="1" max="1" width="2.58203125" style="2" bestFit="1" customWidth="1"/>
    <col min="2" max="2" width="12.08203125" style="2" customWidth="1"/>
    <col min="3" max="18" width="4.58203125" style="3"/>
    <col min="19" max="19" width="4.33203125" style="3" customWidth="1"/>
    <col min="20" max="27" width="4.58203125" style="3"/>
    <col min="28" max="30" width="4.25" style="3" customWidth="1"/>
    <col min="31" max="39" width="4.58203125" style="2"/>
    <col min="40" max="42" width="4.83203125" style="2" customWidth="1"/>
    <col min="43" max="43" width="5.4140625" style="2" customWidth="1"/>
    <col min="44" max="44" width="5.1640625" style="2" customWidth="1"/>
    <col min="45" max="45" width="5.4140625" style="2" customWidth="1"/>
    <col min="46" max="46" width="5.58203125" style="2" customWidth="1"/>
    <col min="47" max="50" width="5.4140625" style="2" customWidth="1"/>
    <col min="51" max="51" width="4.58203125" style="2"/>
    <col min="52" max="52" width="6.1640625" style="2" bestFit="1" customWidth="1"/>
    <col min="53" max="16384" width="4.58203125" style="2"/>
  </cols>
  <sheetData>
    <row r="1" spans="1:49" x14ac:dyDescent="0.15">
      <c r="A1" s="1" t="s">
        <v>0</v>
      </c>
    </row>
    <row r="2" spans="1:49" s="4" customFormat="1" x14ac:dyDescent="0.15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49" s="4" customFormat="1" x14ac:dyDescent="0.15">
      <c r="B3" s="4" t="s">
        <v>2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>
        <v>19225</v>
      </c>
      <c r="Y3" s="5">
        <v>15985</v>
      </c>
      <c r="Z3" s="5">
        <v>22969</v>
      </c>
      <c r="AA3" s="5">
        <v>17027</v>
      </c>
      <c r="AB3" s="5">
        <f>+X3*1.3</f>
        <v>24992.5</v>
      </c>
      <c r="AC3" s="5">
        <f>+Y3*1.3</f>
        <v>20780.5</v>
      </c>
      <c r="AD3" s="5">
        <f>+Z3*1.3</f>
        <v>29859.7</v>
      </c>
      <c r="AL3" s="4">
        <f>SUM(G3:J3)</f>
        <v>66771</v>
      </c>
      <c r="AM3" s="4">
        <f>SUM(K3:N3)</f>
        <v>56950</v>
      </c>
      <c r="AN3" s="4">
        <f>SUM(O3:R3)</f>
        <v>24935</v>
      </c>
      <c r="AO3" s="4">
        <f>SUM(S3:V3)</f>
        <v>66705</v>
      </c>
      <c r="AP3" s="4">
        <f>SUM(W3:Z3)</f>
        <v>68874</v>
      </c>
      <c r="AQ3" s="4">
        <f>SUM(AA3:AD3)</f>
        <v>92659.7</v>
      </c>
    </row>
    <row r="4" spans="1:49" s="4" customFormat="1" x14ac:dyDescent="0.15">
      <c r="B4" s="4" t="s">
        <v>3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>
        <v>446915</v>
      </c>
      <c r="Y4" s="5">
        <v>419074</v>
      </c>
      <c r="Z4" s="5">
        <v>461538</v>
      </c>
      <c r="AA4" s="5">
        <v>369783</v>
      </c>
      <c r="AB4" s="5">
        <f>+X4*1.1</f>
        <v>491606.50000000006</v>
      </c>
      <c r="AC4" s="5">
        <f>+Y4*1.1</f>
        <v>460981.4</v>
      </c>
      <c r="AD4" s="5">
        <f>+Z4*1.1</f>
        <v>507691.80000000005</v>
      </c>
      <c r="AL4" s="4">
        <f>SUM(G4:J4)</f>
        <v>300885</v>
      </c>
      <c r="AM4" s="4">
        <f>SUM(K4:N4)</f>
        <v>442066</v>
      </c>
      <c r="AN4" s="4">
        <f>SUM(O4:R4)</f>
        <v>911015</v>
      </c>
      <c r="AO4" s="4">
        <f>SUM(S4:V4)</f>
        <v>1247146</v>
      </c>
      <c r="AP4" s="4">
        <f>SUM(W4:Z4)</f>
        <v>1739707</v>
      </c>
      <c r="AQ4" s="4">
        <f>SUM(AA4:AD4)</f>
        <v>1830062.7</v>
      </c>
    </row>
    <row r="5" spans="1:49" s="6" customFormat="1" x14ac:dyDescent="0.15">
      <c r="B5" s="6" t="s">
        <v>4</v>
      </c>
      <c r="C5" s="7"/>
      <c r="D5" s="7"/>
      <c r="E5" s="7"/>
      <c r="F5" s="7"/>
      <c r="G5" s="7">
        <f t="shared" ref="G5:AD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 t="shared" si="0"/>
        <v>310048</v>
      </c>
      <c r="T5" s="7">
        <f t="shared" si="0"/>
        <v>254695</v>
      </c>
      <c r="U5" s="7">
        <f t="shared" si="0"/>
        <v>343830</v>
      </c>
      <c r="V5" s="7">
        <f t="shared" si="0"/>
        <v>405278</v>
      </c>
      <c r="W5" s="7">
        <f t="shared" si="0"/>
        <v>422875</v>
      </c>
      <c r="X5" s="7">
        <f t="shared" si="0"/>
        <v>466140</v>
      </c>
      <c r="Y5" s="7">
        <f t="shared" si="0"/>
        <v>435059</v>
      </c>
      <c r="Z5" s="7">
        <f t="shared" si="0"/>
        <v>484507</v>
      </c>
      <c r="AA5" s="7">
        <f t="shared" si="0"/>
        <v>386810</v>
      </c>
      <c r="AB5" s="7">
        <f t="shared" si="0"/>
        <v>516599.00000000006</v>
      </c>
      <c r="AC5" s="7">
        <f t="shared" si="0"/>
        <v>481761.9</v>
      </c>
      <c r="AD5" s="7">
        <f t="shared" si="0"/>
        <v>537551.5</v>
      </c>
      <c r="AL5" s="6">
        <f t="shared" ref="AL5:AQ5" si="1">+AL3+AL4</f>
        <v>367656</v>
      </c>
      <c r="AM5" s="6">
        <f t="shared" si="1"/>
        <v>499016</v>
      </c>
      <c r="AN5" s="6">
        <f t="shared" si="1"/>
        <v>935950</v>
      </c>
      <c r="AO5" s="6">
        <f t="shared" si="1"/>
        <v>1313851</v>
      </c>
      <c r="AP5" s="6">
        <f t="shared" si="1"/>
        <v>1808581</v>
      </c>
      <c r="AQ5" s="6">
        <f t="shared" si="1"/>
        <v>1922722.4</v>
      </c>
      <c r="AR5" s="6">
        <f t="shared" ref="AR5:AV5" si="2">AR10</f>
        <v>3124767.4965000004</v>
      </c>
      <c r="AS5" s="6">
        <f t="shared" si="2"/>
        <v>3905959.3706250004</v>
      </c>
      <c r="AT5" s="6">
        <f t="shared" si="2"/>
        <v>4687151.2447500005</v>
      </c>
      <c r="AU5" s="6">
        <f t="shared" si="2"/>
        <v>5624581.4937000005</v>
      </c>
      <c r="AV5" s="6">
        <f t="shared" si="2"/>
        <v>6468268.7177550001</v>
      </c>
      <c r="AW5" s="6">
        <f>AW10</f>
        <v>7115095.5895305006</v>
      </c>
    </row>
    <row r="6" spans="1:49" s="4" customFormat="1" x14ac:dyDescent="0.15">
      <c r="B6" s="4" t="s">
        <v>5</v>
      </c>
      <c r="C6" s="5"/>
      <c r="D6" s="5"/>
      <c r="E6" s="5"/>
      <c r="F6" s="5"/>
      <c r="G6" s="5">
        <f t="shared" ref="G6:Y6" si="3">G14*1000000/G5</f>
        <v>55681.619828940478</v>
      </c>
      <c r="H6" s="5">
        <f t="shared" si="3"/>
        <v>54196.904232560089</v>
      </c>
      <c r="I6" s="5">
        <f t="shared" si="3"/>
        <v>52805.95970613051</v>
      </c>
      <c r="J6" s="5">
        <f t="shared" si="3"/>
        <v>54801.730674873994</v>
      </c>
      <c r="K6" s="5">
        <f t="shared" si="3"/>
        <v>55290.634604953899</v>
      </c>
      <c r="L6" s="5">
        <f t="shared" si="3"/>
        <v>54175.399889685606</v>
      </c>
      <c r="M6" s="5">
        <f t="shared" si="3"/>
        <v>52735.10409188801</v>
      </c>
      <c r="N6" s="5">
        <f t="shared" si="3"/>
        <v>47809.713684443705</v>
      </c>
      <c r="O6" s="5">
        <f t="shared" si="3"/>
        <v>44301.948051948049</v>
      </c>
      <c r="P6" s="5">
        <f t="shared" si="3"/>
        <v>47304.34782608696</v>
      </c>
      <c r="Q6" s="5">
        <f t="shared" si="3"/>
        <v>47215.084956485705</v>
      </c>
      <c r="R6" s="5">
        <f t="shared" si="3"/>
        <v>48687.621516526247</v>
      </c>
      <c r="S6" s="5">
        <f t="shared" si="3"/>
        <v>50037.413561771078</v>
      </c>
      <c r="T6" s="5">
        <f t="shared" si="3"/>
        <v>53672.039105596894</v>
      </c>
      <c r="U6" s="5">
        <f t="shared" si="3"/>
        <v>51726.143733821948</v>
      </c>
      <c r="V6" s="5">
        <f t="shared" si="3"/>
        <v>51902.644604444358</v>
      </c>
      <c r="W6" s="5">
        <f t="shared" si="3"/>
        <v>44642.033697901272</v>
      </c>
      <c r="X6" s="5">
        <f t="shared" si="3"/>
        <v>43804.436435405674</v>
      </c>
      <c r="Y6" s="5">
        <f t="shared" si="3"/>
        <v>42711.448332295156</v>
      </c>
      <c r="Z6" s="5">
        <f>Z14*1000000/Z5</f>
        <v>42579.364178432923</v>
      </c>
      <c r="AA6" s="5">
        <f t="shared" ref="AA6" si="4">AA14*1000000/AA5</f>
        <v>42553.191489361699</v>
      </c>
      <c r="AB6" s="5">
        <f>+X6*1.05</f>
        <v>45994.658257175957</v>
      </c>
      <c r="AC6" s="5">
        <f>+Y6*1.05</f>
        <v>44847.020748909919</v>
      </c>
      <c r="AD6" s="5">
        <f>+Z6*1.05</f>
        <v>44708.332387354574</v>
      </c>
      <c r="AL6" s="5">
        <f>AL14/AL5*1000000</f>
        <v>54268.120199316756</v>
      </c>
      <c r="AM6" s="5">
        <f>AM14/AM5*1000000</f>
        <v>51667.681998172404</v>
      </c>
      <c r="AN6" s="5">
        <f>AN14/AN5*1000000</f>
        <v>47144.612425877451</v>
      </c>
      <c r="AO6" s="5">
        <f>AO14/AO5*1000000</f>
        <v>51759.293862089384</v>
      </c>
      <c r="AP6" s="5">
        <f>AP14/AP5*1000000</f>
        <v>43409.169951470241</v>
      </c>
      <c r="AQ6" s="4">
        <f>AP6*1.1</f>
        <v>47750.086946617266</v>
      </c>
      <c r="AR6" s="4">
        <f>AQ6*1.03</f>
        <v>49182.589555015787</v>
      </c>
      <c r="AS6" s="4">
        <f>AR6*1.03</f>
        <v>50658.067241666264</v>
      </c>
      <c r="AT6" s="4">
        <f>AS6*1.03</f>
        <v>52177.809258916255</v>
      </c>
      <c r="AU6" s="4">
        <f>AT6*1.03</f>
        <v>53743.143536683747</v>
      </c>
      <c r="AV6" s="4">
        <f t="shared" ref="AV6:AW6" si="5">AU6*1.03</f>
        <v>55355.43784278426</v>
      </c>
      <c r="AW6" s="4">
        <f t="shared" si="5"/>
        <v>57016.100978067792</v>
      </c>
    </row>
    <row r="7" spans="1:49" s="4" customFormat="1" x14ac:dyDescent="0.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49" s="4" customFormat="1" x14ac:dyDescent="0.15">
      <c r="B8" s="4" t="s">
        <v>6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>
        <v>19489</v>
      </c>
      <c r="Y8" s="5">
        <v>13688</v>
      </c>
      <c r="Z8" s="5">
        <v>18212</v>
      </c>
      <c r="AA8" s="5">
        <v>20995</v>
      </c>
      <c r="AB8" s="5"/>
      <c r="AC8" s="5"/>
      <c r="AD8" s="5"/>
      <c r="AL8" s="4">
        <f>SUM(G8:J8)</f>
        <v>62931</v>
      </c>
      <c r="AM8" s="4">
        <f>SUM(K8:N8)</f>
        <v>54805</v>
      </c>
      <c r="AN8" s="4">
        <f>SUM(O8:R8)</f>
        <v>24390</v>
      </c>
      <c r="AO8" s="4">
        <f>SUM(S8:V8)</f>
        <v>71177</v>
      </c>
    </row>
    <row r="9" spans="1:49" s="4" customFormat="1" x14ac:dyDescent="0.15">
      <c r="B9" s="4" t="s">
        <v>7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>
        <v>460211</v>
      </c>
      <c r="Y9" s="5">
        <v>416800</v>
      </c>
      <c r="Z9" s="5">
        <v>476777</v>
      </c>
      <c r="AA9" s="5">
        <v>412376</v>
      </c>
      <c r="AB9" s="5"/>
      <c r="AC9" s="5"/>
      <c r="AD9" s="5"/>
      <c r="AL9" s="4">
        <f>SUM(G9:J9)</f>
        <v>302301</v>
      </c>
      <c r="AM9" s="4">
        <f>SUM(K9:N9)</f>
        <v>454932</v>
      </c>
      <c r="AN9" s="4">
        <f>SUM(O9:R9)</f>
        <v>906032</v>
      </c>
      <c r="AO9" s="4">
        <f>SUM(S9:V9)</f>
        <v>1298434</v>
      </c>
    </row>
    <row r="10" spans="1:49" s="6" customFormat="1" x14ac:dyDescent="0.15">
      <c r="B10" s="6" t="s">
        <v>8</v>
      </c>
      <c r="C10" s="7"/>
      <c r="D10" s="7"/>
      <c r="E10" s="7"/>
      <c r="F10" s="7"/>
      <c r="G10" s="7">
        <f t="shared" ref="G10:R10" si="6">G9+G8</f>
        <v>77138</v>
      </c>
      <c r="H10" s="7">
        <f t="shared" si="6"/>
        <v>87048</v>
      </c>
      <c r="I10" s="7">
        <f t="shared" si="6"/>
        <v>96155</v>
      </c>
      <c r="J10" s="7">
        <f t="shared" si="6"/>
        <v>104891</v>
      </c>
      <c r="K10" s="7">
        <f t="shared" si="6"/>
        <v>102672</v>
      </c>
      <c r="L10" s="7">
        <f t="shared" si="6"/>
        <v>82272</v>
      </c>
      <c r="M10" s="7">
        <f t="shared" si="6"/>
        <v>145036</v>
      </c>
      <c r="N10" s="7">
        <f t="shared" si="6"/>
        <v>179757</v>
      </c>
      <c r="O10" s="7">
        <f t="shared" si="6"/>
        <v>180338</v>
      </c>
      <c r="P10" s="7">
        <f t="shared" si="6"/>
        <v>206421</v>
      </c>
      <c r="Q10" s="7">
        <f t="shared" si="6"/>
        <v>237823</v>
      </c>
      <c r="R10" s="7">
        <f t="shared" si="6"/>
        <v>305840</v>
      </c>
      <c r="S10" s="7">
        <f>S9+S8</f>
        <v>305407</v>
      </c>
      <c r="T10" s="7">
        <f>T9+T8</f>
        <v>258580</v>
      </c>
      <c r="U10" s="7">
        <f t="shared" ref="U10:AD10" si="7">+U8+U9</f>
        <v>365923</v>
      </c>
      <c r="V10" s="7">
        <f t="shared" si="7"/>
        <v>439701</v>
      </c>
      <c r="W10" s="7">
        <f t="shared" si="7"/>
        <v>440808</v>
      </c>
      <c r="X10" s="7">
        <f t="shared" si="7"/>
        <v>479700</v>
      </c>
      <c r="Y10" s="7">
        <f t="shared" si="7"/>
        <v>430488</v>
      </c>
      <c r="Z10" s="7">
        <f t="shared" si="7"/>
        <v>494989</v>
      </c>
      <c r="AA10" s="7">
        <f t="shared" si="7"/>
        <v>433371</v>
      </c>
      <c r="AB10" s="7">
        <f t="shared" si="7"/>
        <v>0</v>
      </c>
      <c r="AC10" s="7">
        <f t="shared" si="7"/>
        <v>0</v>
      </c>
      <c r="AD10" s="7">
        <f t="shared" si="7"/>
        <v>0</v>
      </c>
      <c r="AL10" s="6">
        <f>+AL8+AL9</f>
        <v>365232</v>
      </c>
      <c r="AM10" s="6">
        <f>+AM8+AM9</f>
        <v>509737</v>
      </c>
      <c r="AN10" s="6">
        <f>+AN8+AN9</f>
        <v>930422</v>
      </c>
      <c r="AO10" s="6">
        <f>+AO8+AO9</f>
        <v>1369611</v>
      </c>
      <c r="AP10" s="6">
        <f>+AO10*1.35</f>
        <v>1848974.85</v>
      </c>
      <c r="AQ10" s="6">
        <f>AP10*1.3</f>
        <v>2403667.3050000002</v>
      </c>
      <c r="AR10" s="6">
        <f>AQ10*1.3</f>
        <v>3124767.4965000004</v>
      </c>
      <c r="AS10" s="6">
        <f>AR10*1.25</f>
        <v>3905959.3706250004</v>
      </c>
      <c r="AT10" s="6">
        <f>AS10*1.2</f>
        <v>4687151.2447500005</v>
      </c>
      <c r="AU10" s="6">
        <f>AT10*1.2</f>
        <v>5624581.4937000005</v>
      </c>
      <c r="AV10" s="6">
        <f>AU10*1.15</f>
        <v>6468268.7177550001</v>
      </c>
      <c r="AW10" s="6">
        <f>AV10*1.1</f>
        <v>7115095.5895305006</v>
      </c>
    </row>
    <row r="11" spans="1:49" s="4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P11" s="8"/>
    </row>
    <row r="12" spans="1:49" x14ac:dyDescent="0.15"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  <c r="O12" s="3" t="s">
        <v>21</v>
      </c>
      <c r="P12" s="3" t="s">
        <v>22</v>
      </c>
      <c r="Q12" s="3" t="s">
        <v>23</v>
      </c>
      <c r="R12" s="3" t="s">
        <v>24</v>
      </c>
      <c r="S12" s="3" t="s">
        <v>25</v>
      </c>
      <c r="T12" s="3" t="s">
        <v>26</v>
      </c>
      <c r="U12" s="3" t="s">
        <v>27</v>
      </c>
      <c r="V12" s="3" t="s">
        <v>28</v>
      </c>
      <c r="W12" s="3" t="s">
        <v>29</v>
      </c>
      <c r="X12" s="3" t="s">
        <v>30</v>
      </c>
      <c r="Y12" s="3" t="s">
        <v>31</v>
      </c>
      <c r="Z12" s="3" t="s">
        <v>32</v>
      </c>
      <c r="AA12" s="3" t="s">
        <v>33</v>
      </c>
      <c r="AB12" s="3" t="s">
        <v>34</v>
      </c>
      <c r="AC12" s="3" t="s">
        <v>35</v>
      </c>
      <c r="AD12" s="3" t="s">
        <v>36</v>
      </c>
      <c r="AF12" s="2">
        <v>2013</v>
      </c>
      <c r="AG12" s="2">
        <v>2014</v>
      </c>
      <c r="AH12" s="2">
        <v>2015</v>
      </c>
      <c r="AI12" s="2">
        <v>2016</v>
      </c>
      <c r="AJ12" s="2">
        <v>2017</v>
      </c>
      <c r="AK12" s="2">
        <v>2018</v>
      </c>
      <c r="AL12" s="2">
        <v>2019</v>
      </c>
      <c r="AM12" s="2">
        <v>2020</v>
      </c>
      <c r="AN12" s="2">
        <f>+AM12+1</f>
        <v>2021</v>
      </c>
      <c r="AO12" s="2">
        <f t="shared" ref="AO12:AW12" si="8">+AN12+1</f>
        <v>2022</v>
      </c>
      <c r="AP12" s="2">
        <f t="shared" si="8"/>
        <v>2023</v>
      </c>
      <c r="AQ12" s="2">
        <f t="shared" si="8"/>
        <v>2024</v>
      </c>
      <c r="AR12" s="2">
        <f t="shared" si="8"/>
        <v>2025</v>
      </c>
      <c r="AS12" s="2">
        <f t="shared" si="8"/>
        <v>2026</v>
      </c>
      <c r="AT12" s="2">
        <f t="shared" si="8"/>
        <v>2027</v>
      </c>
      <c r="AU12" s="2">
        <f t="shared" si="8"/>
        <v>2028</v>
      </c>
      <c r="AV12" s="2">
        <f t="shared" si="8"/>
        <v>2029</v>
      </c>
      <c r="AW12" s="2">
        <f t="shared" si="8"/>
        <v>2030</v>
      </c>
    </row>
    <row r="13" spans="1:49" x14ac:dyDescent="0.15">
      <c r="B13" s="2" t="s">
        <v>37</v>
      </c>
      <c r="AQ13" s="4"/>
      <c r="AR13" s="4"/>
      <c r="AS13" s="4"/>
      <c r="AT13" s="4"/>
      <c r="AU13" s="4"/>
      <c r="AV13" s="4"/>
      <c r="AW13" s="4"/>
    </row>
    <row r="14" spans="1:49" s="4" customFormat="1" x14ac:dyDescent="0.15">
      <c r="B14" s="4" t="s">
        <v>38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5">
        <f>15339-314</f>
        <v>15025</v>
      </c>
      <c r="S14" s="5">
        <v>15514</v>
      </c>
      <c r="T14" s="5">
        <v>13670</v>
      </c>
      <c r="U14" s="5">
        <v>17785</v>
      </c>
      <c r="V14" s="5">
        <f>+R14*1.4</f>
        <v>21035</v>
      </c>
      <c r="W14" s="5">
        <v>18878</v>
      </c>
      <c r="X14" s="5">
        <v>20419</v>
      </c>
      <c r="Y14" s="5">
        <v>18582</v>
      </c>
      <c r="Z14" s="5">
        <v>20630</v>
      </c>
      <c r="AA14" s="5">
        <v>16460</v>
      </c>
      <c r="AB14" s="5">
        <f>+AB6*AB5/1000000</f>
        <v>23760.794460998844</v>
      </c>
      <c r="AC14" s="5">
        <f>+AC6*AC5/1000000</f>
        <v>21605.585925334268</v>
      </c>
      <c r="AD14" s="5">
        <f>+AD6*AD5/1000000</f>
        <v>24033.031137321035</v>
      </c>
      <c r="AL14" s="4">
        <f t="shared" ref="AL14:AL19" si="9">SUM(G14:J14)</f>
        <v>19952</v>
      </c>
      <c r="AM14" s="4">
        <f>SUM(K14:N14)</f>
        <v>25783</v>
      </c>
      <c r="AN14" s="4">
        <f>SUM(O14:R14)</f>
        <v>44125</v>
      </c>
      <c r="AO14" s="4">
        <f>SUM(S14:V14)</f>
        <v>68004</v>
      </c>
      <c r="AP14" s="4">
        <f>SUM(W14:Z14)</f>
        <v>78509</v>
      </c>
      <c r="AQ14" s="4">
        <f>AQ6*AQ10/1000000</f>
        <v>114775.32280449121</v>
      </c>
      <c r="AR14" s="4">
        <f t="shared" ref="AR14:AW14" si="10">AR6*AR10/1000000</f>
        <v>153684.15723521376</v>
      </c>
      <c r="AS14" s="4">
        <f t="shared" si="10"/>
        <v>197868.35244033771</v>
      </c>
      <c r="AT14" s="4">
        <f t="shared" si="10"/>
        <v>244565.28361625742</v>
      </c>
      <c r="AU14" s="4">
        <f t="shared" si="10"/>
        <v>302282.69054969423</v>
      </c>
      <c r="AV14" s="4">
        <f t="shared" si="10"/>
        <v>358053.84695611271</v>
      </c>
      <c r="AW14" s="4">
        <f t="shared" si="10"/>
        <v>405675.0086012758</v>
      </c>
    </row>
    <row r="15" spans="1:49" s="4" customFormat="1" x14ac:dyDescent="0.15">
      <c r="B15" s="4" t="s">
        <v>39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11">+R15*1.4</f>
        <v>439.59999999999997</v>
      </c>
      <c r="W15" s="5">
        <v>521</v>
      </c>
      <c r="X15" s="5">
        <v>282</v>
      </c>
      <c r="Y15" s="5">
        <v>554</v>
      </c>
      <c r="Z15" s="5">
        <v>433</v>
      </c>
      <c r="AA15" s="5">
        <v>442</v>
      </c>
      <c r="AB15" s="5">
        <f t="shared" ref="AB15:AD16" si="12">+X15</f>
        <v>282</v>
      </c>
      <c r="AC15" s="5">
        <f t="shared" si="12"/>
        <v>554</v>
      </c>
      <c r="AD15" s="5">
        <f t="shared" si="12"/>
        <v>433</v>
      </c>
      <c r="AL15" s="4">
        <f t="shared" si="9"/>
        <v>0</v>
      </c>
      <c r="AM15" s="4">
        <f>SUM(K15:N15)</f>
        <v>401</v>
      </c>
      <c r="AN15" s="4">
        <f t="shared" ref="AN15:AN19" si="13">SUM(O15:R15)</f>
        <v>1465</v>
      </c>
      <c r="AO15" s="4">
        <f t="shared" ref="AO15:AO30" si="14">SUM(S15:V15)</f>
        <v>1748.6</v>
      </c>
      <c r="AP15" s="4">
        <f>SUM(W15:Z15)</f>
        <v>1790</v>
      </c>
    </row>
    <row r="16" spans="1:49" s="4" customFormat="1" x14ac:dyDescent="0.15">
      <c r="B16" s="4" t="s">
        <v>40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11"/>
        <v>879.19999999999993</v>
      </c>
      <c r="W16" s="5">
        <v>564</v>
      </c>
      <c r="X16" s="5">
        <v>567</v>
      </c>
      <c r="Y16" s="5">
        <v>489</v>
      </c>
      <c r="Z16" s="5">
        <v>500</v>
      </c>
      <c r="AA16" s="5">
        <v>476</v>
      </c>
      <c r="AB16" s="5">
        <f t="shared" si="12"/>
        <v>567</v>
      </c>
      <c r="AC16" s="5">
        <f t="shared" si="12"/>
        <v>489</v>
      </c>
      <c r="AD16" s="5">
        <f t="shared" si="12"/>
        <v>500</v>
      </c>
      <c r="AL16" s="4">
        <f t="shared" si="9"/>
        <v>869</v>
      </c>
      <c r="AM16" s="4">
        <f>SUM(K16:N16)</f>
        <v>1052</v>
      </c>
      <c r="AN16" s="4">
        <f t="shared" si="13"/>
        <v>1642</v>
      </c>
      <c r="AO16" s="4">
        <f t="shared" si="14"/>
        <v>2756.2</v>
      </c>
      <c r="AP16" s="4">
        <f>SUM(W16:Z16)</f>
        <v>2120</v>
      </c>
    </row>
    <row r="17" spans="2:49" s="6" customFormat="1" x14ac:dyDescent="0.15">
      <c r="B17" s="6" t="s">
        <v>41</v>
      </c>
      <c r="C17" s="7"/>
      <c r="D17" s="7"/>
      <c r="E17" s="7"/>
      <c r="F17" s="7"/>
      <c r="G17" s="7">
        <f t="shared" ref="G17:R17" si="15">SUM(G14:G16)</f>
        <v>3724</v>
      </c>
      <c r="H17" s="7">
        <f t="shared" si="15"/>
        <v>5376</v>
      </c>
      <c r="I17" s="7">
        <f t="shared" si="15"/>
        <v>5353</v>
      </c>
      <c r="J17" s="7">
        <f t="shared" si="15"/>
        <v>6368</v>
      </c>
      <c r="K17" s="7">
        <f t="shared" si="15"/>
        <v>5132</v>
      </c>
      <c r="L17" s="7">
        <f t="shared" si="15"/>
        <v>5179</v>
      </c>
      <c r="M17" s="7">
        <f t="shared" si="15"/>
        <v>7611</v>
      </c>
      <c r="N17" s="7">
        <f t="shared" si="15"/>
        <v>9314</v>
      </c>
      <c r="O17" s="7">
        <f t="shared" si="15"/>
        <v>9002</v>
      </c>
      <c r="P17" s="7">
        <f t="shared" si="15"/>
        <v>10206</v>
      </c>
      <c r="Q17" s="7">
        <f t="shared" si="15"/>
        <v>12057</v>
      </c>
      <c r="R17" s="7">
        <f t="shared" si="15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AD17" si="16">SUM(V14:V16)</f>
        <v>22353.8</v>
      </c>
      <c r="W17" s="7">
        <f t="shared" si="16"/>
        <v>19963</v>
      </c>
      <c r="X17" s="7">
        <f t="shared" si="16"/>
        <v>21268</v>
      </c>
      <c r="Y17" s="7">
        <f t="shared" si="16"/>
        <v>19625</v>
      </c>
      <c r="Z17" s="7">
        <f t="shared" si="16"/>
        <v>21563</v>
      </c>
      <c r="AA17" s="7">
        <f t="shared" si="16"/>
        <v>17378</v>
      </c>
      <c r="AB17" s="7">
        <f t="shared" si="16"/>
        <v>24609.794460998844</v>
      </c>
      <c r="AC17" s="7">
        <f t="shared" si="16"/>
        <v>22648.585925334268</v>
      </c>
      <c r="AD17" s="7">
        <f t="shared" si="16"/>
        <v>24966.031137321035</v>
      </c>
      <c r="AL17" s="6">
        <f>SUM(AL14:AL16)</f>
        <v>20821</v>
      </c>
      <c r="AM17" s="6">
        <f>SUM(AM14:AM16)</f>
        <v>27236</v>
      </c>
      <c r="AN17" s="6">
        <f>SUM(AN14:AN16)</f>
        <v>47232</v>
      </c>
      <c r="AO17" s="6">
        <f>SUM(AO14:AO16)</f>
        <v>72508.800000000003</v>
      </c>
      <c r="AP17" s="6">
        <f>SUM(AP14:AP16)</f>
        <v>82419</v>
      </c>
      <c r="AQ17" s="6">
        <f>AQ14+AQ15+AQ16</f>
        <v>114775.32280449121</v>
      </c>
      <c r="AR17" s="6">
        <f>AR14+AR15+AR16</f>
        <v>153684.15723521376</v>
      </c>
      <c r="AS17" s="6">
        <f>AS14+AS15+AS16</f>
        <v>197868.35244033771</v>
      </c>
      <c r="AT17" s="6">
        <f>AT14+AT15+AT16</f>
        <v>244565.28361625742</v>
      </c>
      <c r="AU17" s="6">
        <f>AU14+AU15+AU16</f>
        <v>302282.69054969423</v>
      </c>
      <c r="AV17" s="6">
        <f t="shared" ref="AV17:AW17" si="17">AV14+AV15+AV16</f>
        <v>358053.84695611271</v>
      </c>
      <c r="AW17" s="6">
        <f t="shared" si="17"/>
        <v>405675.0086012758</v>
      </c>
    </row>
    <row r="18" spans="2:49" s="4" customFormat="1" x14ac:dyDescent="0.15">
      <c r="B18" s="4" t="s">
        <v>42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18">+R18*1.4</f>
        <v>963.19999999999993</v>
      </c>
      <c r="W18" s="5">
        <v>1529</v>
      </c>
      <c r="X18" s="5">
        <v>1509</v>
      </c>
      <c r="Y18" s="5">
        <v>1559</v>
      </c>
      <c r="Z18" s="5">
        <v>1438</v>
      </c>
      <c r="AA18" s="5">
        <v>1635</v>
      </c>
      <c r="AB18" s="5">
        <f t="shared" ref="AB18:AD19" si="19">+X18</f>
        <v>1509</v>
      </c>
      <c r="AC18" s="5">
        <f t="shared" si="19"/>
        <v>1559</v>
      </c>
      <c r="AD18" s="5">
        <f t="shared" si="19"/>
        <v>1438</v>
      </c>
      <c r="AF18" s="4">
        <v>1921.877</v>
      </c>
      <c r="AG18" s="4">
        <v>3007.0120000000002</v>
      </c>
      <c r="AH18" s="4">
        <v>3740.973</v>
      </c>
      <c r="AL18" s="4">
        <f t="shared" si="9"/>
        <v>1531</v>
      </c>
      <c r="AM18" s="4">
        <f>SUM(K18:N18)</f>
        <v>1994</v>
      </c>
      <c r="AN18" s="4">
        <f>SUM(O18:R18)</f>
        <v>2789</v>
      </c>
      <c r="AO18" s="4">
        <f t="shared" si="14"/>
        <v>3562.2</v>
      </c>
      <c r="AP18" s="4">
        <f>SUM(W18:Z18)</f>
        <v>6035</v>
      </c>
    </row>
    <row r="19" spans="2:49" s="4" customFormat="1" x14ac:dyDescent="0.15">
      <c r="B19" s="4" t="s">
        <v>43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18"/>
        <v>1489.6</v>
      </c>
      <c r="W19" s="5">
        <v>1837</v>
      </c>
      <c r="X19" s="5">
        <v>2150</v>
      </c>
      <c r="Y19" s="5">
        <v>2166</v>
      </c>
      <c r="Z19" s="5">
        <v>2166</v>
      </c>
      <c r="AA19" s="5">
        <v>2288</v>
      </c>
      <c r="AB19" s="5">
        <f t="shared" si="19"/>
        <v>2150</v>
      </c>
      <c r="AC19" s="5">
        <f t="shared" si="19"/>
        <v>2166</v>
      </c>
      <c r="AD19" s="5">
        <f t="shared" si="19"/>
        <v>2166</v>
      </c>
      <c r="AF19" s="4">
        <v>91.619</v>
      </c>
      <c r="AG19" s="4">
        <v>191.34399999999999</v>
      </c>
      <c r="AH19" s="4">
        <v>305.05200000000002</v>
      </c>
      <c r="AL19" s="4">
        <f t="shared" si="9"/>
        <v>2226</v>
      </c>
      <c r="AM19" s="4">
        <f>SUM(K19:N19)</f>
        <v>2306</v>
      </c>
      <c r="AN19" s="4">
        <f t="shared" si="13"/>
        <v>3802</v>
      </c>
      <c r="AO19" s="4">
        <f t="shared" si="14"/>
        <v>5879.6</v>
      </c>
      <c r="AP19" s="4">
        <f>SUM(W19:Z19)</f>
        <v>8319</v>
      </c>
    </row>
    <row r="20" spans="2:49" s="6" customFormat="1" x14ac:dyDescent="0.15">
      <c r="B20" s="6" t="s">
        <v>44</v>
      </c>
      <c r="C20" s="7"/>
      <c r="D20" s="7"/>
      <c r="E20" s="7"/>
      <c r="F20" s="7"/>
      <c r="G20" s="7">
        <f t="shared" ref="G20:R20" si="20">SUM(G17:G19)</f>
        <v>4541</v>
      </c>
      <c r="H20" s="7">
        <f t="shared" si="20"/>
        <v>6350</v>
      </c>
      <c r="I20" s="7">
        <f t="shared" si="20"/>
        <v>6303</v>
      </c>
      <c r="J20" s="7">
        <f t="shared" si="20"/>
        <v>7384</v>
      </c>
      <c r="K20" s="7">
        <f t="shared" si="20"/>
        <v>5985</v>
      </c>
      <c r="L20" s="7">
        <f t="shared" si="20"/>
        <v>6036</v>
      </c>
      <c r="M20" s="7">
        <f t="shared" si="20"/>
        <v>8771</v>
      </c>
      <c r="N20" s="7">
        <f t="shared" si="20"/>
        <v>10744</v>
      </c>
      <c r="O20" s="7">
        <f t="shared" si="20"/>
        <v>10389</v>
      </c>
      <c r="P20" s="7">
        <f t="shared" si="20"/>
        <v>11958</v>
      </c>
      <c r="Q20" s="7">
        <f t="shared" si="20"/>
        <v>13757</v>
      </c>
      <c r="R20" s="7">
        <f t="shared" si="20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AD20" si="21">SUM(V17:V19)</f>
        <v>24806.6</v>
      </c>
      <c r="W20" s="7">
        <f t="shared" si="21"/>
        <v>23329</v>
      </c>
      <c r="X20" s="7">
        <f t="shared" si="21"/>
        <v>24927</v>
      </c>
      <c r="Y20" s="7">
        <f t="shared" si="21"/>
        <v>23350</v>
      </c>
      <c r="Z20" s="7">
        <f t="shared" si="21"/>
        <v>25167</v>
      </c>
      <c r="AA20" s="7">
        <f t="shared" si="21"/>
        <v>21301</v>
      </c>
      <c r="AB20" s="7">
        <f t="shared" si="21"/>
        <v>28268.794460998844</v>
      </c>
      <c r="AC20" s="7">
        <f t="shared" si="21"/>
        <v>26373.585925334268</v>
      </c>
      <c r="AD20" s="7">
        <f t="shared" si="21"/>
        <v>28570.031137321035</v>
      </c>
      <c r="AF20" s="6">
        <f>AF18+AF19</f>
        <v>2013.4959999999999</v>
      </c>
      <c r="AG20" s="6">
        <f>AG18+AG19</f>
        <v>3198.3560000000002</v>
      </c>
      <c r="AH20" s="6">
        <f>AH18+AH19</f>
        <v>4046.0250000000001</v>
      </c>
      <c r="AI20" s="6">
        <v>7000.1319999999996</v>
      </c>
      <c r="AJ20" s="6">
        <v>11758.751</v>
      </c>
      <c r="AK20" s="6">
        <v>21461.268</v>
      </c>
      <c r="AL20" s="6">
        <f t="shared" ref="AL20:AW20" si="22">SUM(AL17:AL19)</f>
        <v>24578</v>
      </c>
      <c r="AM20" s="6">
        <f t="shared" si="22"/>
        <v>31536</v>
      </c>
      <c r="AN20" s="6">
        <f t="shared" si="22"/>
        <v>53823</v>
      </c>
      <c r="AO20" s="6">
        <f t="shared" si="22"/>
        <v>81950.600000000006</v>
      </c>
      <c r="AP20" s="6">
        <f>SUM(AP17:AP19)</f>
        <v>96773</v>
      </c>
      <c r="AQ20" s="6">
        <f t="shared" si="22"/>
        <v>114775.32280449121</v>
      </c>
      <c r="AR20" s="6">
        <f t="shared" si="22"/>
        <v>153684.15723521376</v>
      </c>
      <c r="AS20" s="6">
        <f t="shared" si="22"/>
        <v>197868.35244033771</v>
      </c>
      <c r="AT20" s="6">
        <f t="shared" si="22"/>
        <v>244565.28361625742</v>
      </c>
      <c r="AU20" s="6">
        <f t="shared" si="22"/>
        <v>302282.69054969423</v>
      </c>
      <c r="AV20" s="6">
        <f t="shared" si="22"/>
        <v>358053.84695611271</v>
      </c>
      <c r="AW20" s="6">
        <f t="shared" si="22"/>
        <v>405675.0086012758</v>
      </c>
    </row>
    <row r="21" spans="2:49" s="4" customFormat="1" x14ac:dyDescent="0.15">
      <c r="B21" s="4" t="s">
        <v>45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v>16841</v>
      </c>
      <c r="Y21" s="5">
        <v>15656</v>
      </c>
      <c r="Z21" s="5">
        <v>17202</v>
      </c>
      <c r="AA21" s="5">
        <v>13897</v>
      </c>
      <c r="AB21" s="5">
        <f>+AB14*0.85</f>
        <v>20196.675291849017</v>
      </c>
      <c r="AC21" s="5">
        <f>+AC14*0.85</f>
        <v>18364.748036534129</v>
      </c>
      <c r="AD21" s="5">
        <f>+AD14*0.85</f>
        <v>20428.07646672288</v>
      </c>
      <c r="AF21" s="4">
        <v>1483.3209999999999</v>
      </c>
      <c r="AO21" s="4">
        <f t="shared" si="14"/>
        <v>49599</v>
      </c>
      <c r="AP21" s="4">
        <f t="shared" ref="AP21:AP35" si="23">SUM(W21:Z21)</f>
        <v>65121</v>
      </c>
      <c r="AQ21" s="4">
        <f>AQ20*0.81</f>
        <v>92968.011471637888</v>
      </c>
      <c r="AR21" s="4">
        <f>AR20*0.8</f>
        <v>122947.32578817102</v>
      </c>
      <c r="AS21" s="4">
        <f>AS20*0.8</f>
        <v>158294.68195227018</v>
      </c>
      <c r="AT21" s="4">
        <f>AT20*0.8</f>
        <v>195652.22689300595</v>
      </c>
      <c r="AU21" s="4">
        <f>AU20*0.8</f>
        <v>241826.15243975539</v>
      </c>
      <c r="AV21" s="4">
        <f t="shared" ref="AV21:AW21" si="24">AV20*0.8</f>
        <v>286443.07756489021</v>
      </c>
      <c r="AW21" s="4">
        <f t="shared" si="24"/>
        <v>324540.00688102067</v>
      </c>
    </row>
    <row r="22" spans="2:49" s="4" customFormat="1" x14ac:dyDescent="0.15">
      <c r="B22" s="4" t="s">
        <v>46</v>
      </c>
      <c r="C22" s="5"/>
      <c r="D22" s="5"/>
      <c r="E22" s="5"/>
      <c r="F22" s="5"/>
      <c r="G22" s="5">
        <f t="shared" ref="G22:R22" si="25">G14-G21</f>
        <v>653</v>
      </c>
      <c r="H22" s="5">
        <f t="shared" si="25"/>
        <v>914</v>
      </c>
      <c r="I22" s="5">
        <f t="shared" si="25"/>
        <v>1118</v>
      </c>
      <c r="J22" s="5">
        <f t="shared" si="25"/>
        <v>1328</v>
      </c>
      <c r="K22" s="5">
        <f t="shared" si="25"/>
        <v>1194</v>
      </c>
      <c r="L22" s="5">
        <f t="shared" si="25"/>
        <v>1197</v>
      </c>
      <c r="M22" s="5">
        <f t="shared" si="25"/>
        <v>1985</v>
      </c>
      <c r="N22" s="5">
        <f t="shared" si="25"/>
        <v>1711</v>
      </c>
      <c r="O22" s="5">
        <f t="shared" si="25"/>
        <v>1730</v>
      </c>
      <c r="P22" s="5">
        <f t="shared" si="25"/>
        <v>2401</v>
      </c>
      <c r="Q22" s="5">
        <f t="shared" si="25"/>
        <v>3243</v>
      </c>
      <c r="R22" s="5">
        <f t="shared" si="25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26">V14-V21</f>
        <v>5602</v>
      </c>
      <c r="W22" s="5">
        <f>W14-W21</f>
        <v>3456</v>
      </c>
      <c r="X22" s="5">
        <f t="shared" si="26"/>
        <v>3578</v>
      </c>
      <c r="Y22" s="5">
        <f t="shared" si="26"/>
        <v>2926</v>
      </c>
      <c r="Z22" s="5">
        <f t="shared" si="26"/>
        <v>3428</v>
      </c>
      <c r="AA22" s="5">
        <f>AA14-AA21</f>
        <v>2563</v>
      </c>
      <c r="AB22" s="5">
        <f>AB14-AB21</f>
        <v>3564.1191691498279</v>
      </c>
      <c r="AC22" s="5">
        <f>AC14-AC21</f>
        <v>3240.8378888001389</v>
      </c>
      <c r="AD22" s="5">
        <f>AD14-AD21</f>
        <v>3604.9546705981556</v>
      </c>
      <c r="AO22" s="4">
        <f t="shared" si="14"/>
        <v>18405</v>
      </c>
      <c r="AP22" s="4">
        <f t="shared" si="23"/>
        <v>13388</v>
      </c>
    </row>
    <row r="23" spans="2:49" s="4" customFormat="1" x14ac:dyDescent="0.15">
      <c r="B23" s="4" t="s">
        <v>47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Q23" s="4">
        <f>AQ13*0.2</f>
        <v>0</v>
      </c>
      <c r="AR23" s="4">
        <f t="shared" ref="AR23:AW23" si="27">AR13*0.2</f>
        <v>0</v>
      </c>
      <c r="AS23" s="4">
        <f t="shared" si="27"/>
        <v>0</v>
      </c>
      <c r="AT23" s="4">
        <f t="shared" si="27"/>
        <v>0</v>
      </c>
      <c r="AU23" s="4">
        <f t="shared" si="27"/>
        <v>0</v>
      </c>
      <c r="AV23" s="4">
        <f t="shared" si="27"/>
        <v>0</v>
      </c>
      <c r="AW23" s="4">
        <f t="shared" si="27"/>
        <v>0</v>
      </c>
    </row>
    <row r="24" spans="2:49" s="4" customFormat="1" x14ac:dyDescent="0.15">
      <c r="B24" s="4" t="s">
        <v>48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v>338</v>
      </c>
      <c r="Y24" s="5">
        <v>301</v>
      </c>
      <c r="Z24" s="5">
        <v>296</v>
      </c>
      <c r="AA24" s="5">
        <v>269</v>
      </c>
      <c r="AB24" s="5">
        <f>+AB16*0.5</f>
        <v>283.5</v>
      </c>
      <c r="AC24" s="5">
        <f>+AC16*0.5</f>
        <v>244.5</v>
      </c>
      <c r="AD24" s="5">
        <f>+AD16*0.5</f>
        <v>250</v>
      </c>
      <c r="AO24" s="4">
        <f t="shared" si="14"/>
        <v>1510</v>
      </c>
      <c r="AP24" s="4">
        <f t="shared" si="23"/>
        <v>1268</v>
      </c>
    </row>
    <row r="25" spans="2:49" s="4" customFormat="1" x14ac:dyDescent="0.15">
      <c r="B25" s="4" t="s">
        <v>49</v>
      </c>
      <c r="C25" s="5"/>
      <c r="D25" s="5"/>
      <c r="E25" s="5"/>
      <c r="F25" s="5"/>
      <c r="G25" s="5">
        <f t="shared" ref="G25:N25" si="28">G17-G24-G21</f>
        <v>751</v>
      </c>
      <c r="H25" s="5">
        <f t="shared" si="28"/>
        <v>1016</v>
      </c>
      <c r="I25" s="5">
        <f t="shared" si="28"/>
        <v>1222</v>
      </c>
      <c r="J25" s="5">
        <f t="shared" si="28"/>
        <v>1434</v>
      </c>
      <c r="K25" s="5">
        <f t="shared" si="28"/>
        <v>1311</v>
      </c>
      <c r="L25" s="5">
        <f t="shared" si="28"/>
        <v>1317</v>
      </c>
      <c r="M25" s="5">
        <f t="shared" si="28"/>
        <v>2105</v>
      </c>
      <c r="N25" s="5">
        <f t="shared" si="28"/>
        <v>2244</v>
      </c>
      <c r="O25" s="5">
        <f>O17-O24-O21</f>
        <v>2385</v>
      </c>
      <c r="P25" s="5">
        <f t="shared" ref="P25:S25" si="29">P17-P24-P21</f>
        <v>2899</v>
      </c>
      <c r="Q25" s="5">
        <f t="shared" si="29"/>
        <v>3673</v>
      </c>
      <c r="R25" s="5">
        <f t="shared" si="29"/>
        <v>4882</v>
      </c>
      <c r="S25" s="5">
        <f t="shared" si="29"/>
        <v>5539</v>
      </c>
      <c r="T25" s="5">
        <f>T17-T24-T21</f>
        <v>4080</v>
      </c>
      <c r="U25" s="5">
        <f>U17-U24-U21</f>
        <v>5212</v>
      </c>
      <c r="V25" s="5">
        <f t="shared" ref="V25:AD25" si="30">V17-V24-V21</f>
        <v>6568.7999999999993</v>
      </c>
      <c r="W25" s="5">
        <f>W17-W24-W21</f>
        <v>4208</v>
      </c>
      <c r="X25" s="5">
        <f t="shared" si="30"/>
        <v>4089</v>
      </c>
      <c r="Y25" s="5">
        <f t="shared" si="30"/>
        <v>3668</v>
      </c>
      <c r="Z25" s="5">
        <f t="shared" si="30"/>
        <v>4065</v>
      </c>
      <c r="AA25" s="5">
        <f t="shared" si="30"/>
        <v>3212</v>
      </c>
      <c r="AB25" s="5">
        <f t="shared" si="30"/>
        <v>4129.6191691498279</v>
      </c>
      <c r="AC25" s="5">
        <f t="shared" si="30"/>
        <v>4039.3378888001389</v>
      </c>
      <c r="AD25" s="5">
        <f t="shared" si="30"/>
        <v>4287.9546705981556</v>
      </c>
      <c r="AO25" s="4">
        <f t="shared" si="14"/>
        <v>21399.8</v>
      </c>
      <c r="AP25" s="4">
        <f>SUM(W25:Z25)</f>
        <v>16030</v>
      </c>
      <c r="AQ25" s="4">
        <f t="shared" ref="AQ25:AW25" si="31">AQ20-AQ21</f>
        <v>21807.311332853322</v>
      </c>
      <c r="AR25" s="4">
        <f t="shared" si="31"/>
        <v>30736.831447042743</v>
      </c>
      <c r="AS25" s="4">
        <f t="shared" si="31"/>
        <v>39573.670488067524</v>
      </c>
      <c r="AT25" s="4">
        <f t="shared" si="31"/>
        <v>48913.056723251473</v>
      </c>
      <c r="AU25" s="4">
        <f t="shared" si="31"/>
        <v>60456.538109938847</v>
      </c>
      <c r="AV25" s="4">
        <f t="shared" si="31"/>
        <v>71610.769391222508</v>
      </c>
      <c r="AW25" s="4">
        <f t="shared" si="31"/>
        <v>81135.001720255124</v>
      </c>
    </row>
    <row r="26" spans="2:49" s="4" customFormat="1" x14ac:dyDescent="0.15">
      <c r="B26" s="4" t="s">
        <v>50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v>1231</v>
      </c>
      <c r="Y26" s="5">
        <v>1178</v>
      </c>
      <c r="Z26" s="5">
        <v>1124</v>
      </c>
      <c r="AA26" s="5">
        <v>1232</v>
      </c>
      <c r="AB26" s="5">
        <f>+AB18*0.9</f>
        <v>1358.1000000000001</v>
      </c>
      <c r="AC26" s="5">
        <f>+AC18*0.9</f>
        <v>1403.1000000000001</v>
      </c>
      <c r="AD26" s="5">
        <f>+AD18*0.9</f>
        <v>1294.2</v>
      </c>
      <c r="AO26" s="4">
        <f t="shared" si="14"/>
        <v>3621</v>
      </c>
      <c r="AP26" s="4">
        <f t="shared" si="23"/>
        <v>4894</v>
      </c>
    </row>
    <row r="27" spans="2:49" s="4" customFormat="1" x14ac:dyDescent="0.15">
      <c r="B27" s="4" t="s">
        <v>51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v>1984</v>
      </c>
      <c r="Y27" s="5">
        <v>2037</v>
      </c>
      <c r="Z27" s="5">
        <v>2107</v>
      </c>
      <c r="AA27" s="5">
        <v>2207</v>
      </c>
      <c r="AB27" s="5">
        <f>+AB19</f>
        <v>2150</v>
      </c>
      <c r="AC27" s="5">
        <f>+AC19</f>
        <v>2166</v>
      </c>
      <c r="AD27" s="5">
        <f>+AD19</f>
        <v>2166</v>
      </c>
      <c r="AO27" s="4">
        <f t="shared" si="14"/>
        <v>5880</v>
      </c>
      <c r="AP27" s="4">
        <f t="shared" si="23"/>
        <v>7830</v>
      </c>
    </row>
    <row r="28" spans="2:49" s="4" customFormat="1" x14ac:dyDescent="0.15">
      <c r="B28" s="4" t="s">
        <v>52</v>
      </c>
      <c r="C28" s="5"/>
      <c r="D28" s="5"/>
      <c r="E28" s="5"/>
      <c r="F28" s="5"/>
      <c r="G28" s="5">
        <f t="shared" ref="G28:AD28" si="32">G25+G18+G19-G26-G27</f>
        <v>566</v>
      </c>
      <c r="H28" s="5">
        <f t="shared" si="32"/>
        <v>921</v>
      </c>
      <c r="I28" s="5">
        <f t="shared" si="32"/>
        <v>1191</v>
      </c>
      <c r="J28" s="5">
        <f t="shared" si="32"/>
        <v>1391</v>
      </c>
      <c r="K28" s="5">
        <f t="shared" si="32"/>
        <v>1234</v>
      </c>
      <c r="L28" s="5">
        <f t="shared" si="32"/>
        <v>1267</v>
      </c>
      <c r="M28" s="5">
        <f t="shared" si="32"/>
        <v>2063</v>
      </c>
      <c r="N28" s="5">
        <f t="shared" si="32"/>
        <v>2066</v>
      </c>
      <c r="O28" s="5">
        <f t="shared" si="32"/>
        <v>2215</v>
      </c>
      <c r="P28" s="5">
        <f t="shared" si="32"/>
        <v>2884</v>
      </c>
      <c r="Q28" s="5">
        <f t="shared" si="32"/>
        <v>3660</v>
      </c>
      <c r="R28" s="5">
        <f t="shared" si="32"/>
        <v>4847</v>
      </c>
      <c r="S28" s="5">
        <f t="shared" si="32"/>
        <v>5460</v>
      </c>
      <c r="T28" s="5">
        <f t="shared" si="32"/>
        <v>4233</v>
      </c>
      <c r="U28" s="5">
        <f t="shared" si="32"/>
        <v>5382</v>
      </c>
      <c r="V28" s="5">
        <f t="shared" si="32"/>
        <v>6265.5999999999985</v>
      </c>
      <c r="W28" s="5">
        <f t="shared" si="32"/>
        <v>4511</v>
      </c>
      <c r="X28" s="5">
        <f t="shared" si="32"/>
        <v>4533</v>
      </c>
      <c r="Y28" s="5">
        <f t="shared" si="32"/>
        <v>4178</v>
      </c>
      <c r="Z28" s="5">
        <f t="shared" si="32"/>
        <v>4438</v>
      </c>
      <c r="AA28" s="5">
        <f t="shared" si="32"/>
        <v>3696</v>
      </c>
      <c r="AB28" s="5">
        <f t="shared" si="32"/>
        <v>4280.5191691498276</v>
      </c>
      <c r="AC28" s="5">
        <f t="shared" si="32"/>
        <v>4195.2378888001385</v>
      </c>
      <c r="AD28" s="5">
        <f t="shared" si="32"/>
        <v>4431.7546705981558</v>
      </c>
      <c r="AO28" s="5">
        <f t="shared" ref="AO28" si="33">+AO20*0.25</f>
        <v>20487.650000000001</v>
      </c>
      <c r="AP28" s="4">
        <f t="shared" si="23"/>
        <v>17660</v>
      </c>
      <c r="AQ28" s="4">
        <f>AQ25+AQ13-AQ23</f>
        <v>21807.311332853322</v>
      </c>
      <c r="AR28" s="4">
        <f t="shared" ref="AR28:AW28" si="34">AR25+AR13-AR23</f>
        <v>30736.831447042743</v>
      </c>
      <c r="AS28" s="4">
        <f t="shared" si="34"/>
        <v>39573.670488067524</v>
      </c>
      <c r="AT28" s="4">
        <f t="shared" si="34"/>
        <v>48913.056723251473</v>
      </c>
      <c r="AU28" s="4">
        <f t="shared" si="34"/>
        <v>60456.538109938847</v>
      </c>
      <c r="AV28" s="4">
        <f t="shared" si="34"/>
        <v>71610.769391222508</v>
      </c>
      <c r="AW28" s="4">
        <f t="shared" si="34"/>
        <v>81135.001720255124</v>
      </c>
    </row>
    <row r="29" spans="2:49" s="4" customFormat="1" x14ac:dyDescent="0.15">
      <c r="B29" s="4" t="s">
        <v>53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v>943</v>
      </c>
      <c r="Y29" s="5">
        <v>1161</v>
      </c>
      <c r="Z29" s="5">
        <v>1094</v>
      </c>
      <c r="AA29" s="5">
        <v>1151</v>
      </c>
      <c r="AB29" s="5">
        <f t="shared" ref="AB29:AD30" si="35">+X29*1.1</f>
        <v>1037.3000000000002</v>
      </c>
      <c r="AC29" s="5">
        <f t="shared" si="35"/>
        <v>1277.1000000000001</v>
      </c>
      <c r="AD29" s="5">
        <f t="shared" si="35"/>
        <v>1203.4000000000001</v>
      </c>
      <c r="AO29" s="4">
        <f t="shared" si="14"/>
        <v>3075</v>
      </c>
      <c r="AP29" s="4">
        <f>SUM(W29:Z29)</f>
        <v>3969</v>
      </c>
      <c r="AQ29" s="4">
        <f t="shared" ref="AQ29:AW30" si="36">AP29*1.02</f>
        <v>4048.38</v>
      </c>
      <c r="AR29" s="4">
        <f t="shared" si="36"/>
        <v>4129.3476000000001</v>
      </c>
      <c r="AS29" s="4">
        <f t="shared" si="36"/>
        <v>4211.9345519999997</v>
      </c>
      <c r="AT29" s="4">
        <f t="shared" si="36"/>
        <v>4296.1732430399998</v>
      </c>
      <c r="AU29" s="4">
        <f t="shared" si="36"/>
        <v>4382.0967079007996</v>
      </c>
      <c r="AV29" s="4">
        <f t="shared" si="36"/>
        <v>4469.7386420588155</v>
      </c>
      <c r="AW29" s="4">
        <f t="shared" si="36"/>
        <v>4559.1334148999922</v>
      </c>
    </row>
    <row r="30" spans="2:49" s="4" customFormat="1" x14ac:dyDescent="0.15">
      <c r="B30" s="4" t="s">
        <v>54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v>1191</v>
      </c>
      <c r="Y30" s="5">
        <v>1253</v>
      </c>
      <c r="Z30" s="5">
        <v>1280</v>
      </c>
      <c r="AA30" s="5">
        <v>1374</v>
      </c>
      <c r="AB30" s="5">
        <f t="shared" si="35"/>
        <v>1310.1000000000001</v>
      </c>
      <c r="AC30" s="5">
        <f t="shared" si="35"/>
        <v>1378.3000000000002</v>
      </c>
      <c r="AD30" s="5">
        <f t="shared" si="35"/>
        <v>1408</v>
      </c>
      <c r="AO30" s="4">
        <f t="shared" si="14"/>
        <v>4706.8</v>
      </c>
      <c r="AP30" s="4">
        <f t="shared" si="23"/>
        <v>4800</v>
      </c>
      <c r="AQ30" s="4">
        <f>AP30*1.02</f>
        <v>4896</v>
      </c>
      <c r="AR30" s="4">
        <f t="shared" si="36"/>
        <v>4993.92</v>
      </c>
      <c r="AS30" s="4">
        <f t="shared" si="36"/>
        <v>5093.7984000000006</v>
      </c>
      <c r="AT30" s="4">
        <f t="shared" si="36"/>
        <v>5195.6743680000009</v>
      </c>
      <c r="AU30" s="4">
        <f t="shared" si="36"/>
        <v>5299.5878553600014</v>
      </c>
      <c r="AV30" s="4">
        <f t="shared" si="36"/>
        <v>5405.5796124672015</v>
      </c>
      <c r="AW30" s="4">
        <f t="shared" si="36"/>
        <v>5513.6912047165461</v>
      </c>
    </row>
    <row r="31" spans="2:49" s="4" customFormat="1" x14ac:dyDescent="0.15">
      <c r="B31" s="4" t="s">
        <v>55</v>
      </c>
      <c r="C31" s="5"/>
      <c r="D31" s="5"/>
      <c r="E31" s="5"/>
      <c r="F31" s="5"/>
      <c r="G31" s="5">
        <f t="shared" ref="G31:R31" si="37">G29+G30</f>
        <v>1044</v>
      </c>
      <c r="H31" s="5">
        <f t="shared" si="37"/>
        <v>971</v>
      </c>
      <c r="I31" s="5">
        <f t="shared" si="37"/>
        <v>930</v>
      </c>
      <c r="J31" s="5">
        <f t="shared" si="37"/>
        <v>1044</v>
      </c>
      <c r="K31" s="5">
        <f t="shared" si="37"/>
        <v>951</v>
      </c>
      <c r="L31" s="5">
        <f t="shared" si="37"/>
        <v>940</v>
      </c>
      <c r="M31" s="5">
        <f t="shared" si="37"/>
        <v>1254</v>
      </c>
      <c r="N31" s="5">
        <f t="shared" si="37"/>
        <v>1491</v>
      </c>
      <c r="O31" s="5">
        <f t="shared" si="37"/>
        <v>1722</v>
      </c>
      <c r="P31" s="5">
        <f t="shared" si="37"/>
        <v>1549</v>
      </c>
      <c r="Q31" s="5">
        <f t="shared" si="37"/>
        <v>1605</v>
      </c>
      <c r="R31" s="5">
        <f t="shared" si="37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AD31" si="38">V29+V30</f>
        <v>2602.8000000000002</v>
      </c>
      <c r="W31" s="5">
        <f>W29+W30</f>
        <v>1847</v>
      </c>
      <c r="X31" s="5">
        <f t="shared" si="38"/>
        <v>2134</v>
      </c>
      <c r="Y31" s="5">
        <f t="shared" si="38"/>
        <v>2414</v>
      </c>
      <c r="Z31" s="5">
        <f t="shared" si="38"/>
        <v>2374</v>
      </c>
      <c r="AA31" s="5">
        <f t="shared" si="38"/>
        <v>2525</v>
      </c>
      <c r="AB31" s="5">
        <f t="shared" si="38"/>
        <v>2347.4000000000005</v>
      </c>
      <c r="AC31" s="5">
        <f t="shared" si="38"/>
        <v>2655.4000000000005</v>
      </c>
      <c r="AD31" s="5">
        <f t="shared" si="38"/>
        <v>2611.4</v>
      </c>
      <c r="AO31" s="4">
        <f t="shared" ref="AO31" si="39">+AO29+AO30</f>
        <v>7781.8</v>
      </c>
      <c r="AP31" s="4">
        <f>+AP29+AP30</f>
        <v>8769</v>
      </c>
      <c r="AQ31" s="4">
        <f t="shared" ref="AQ31:AW31" si="40">+AQ29+AQ30</f>
        <v>8944.380000000001</v>
      </c>
      <c r="AR31" s="4">
        <f t="shared" si="40"/>
        <v>9123.2675999999992</v>
      </c>
      <c r="AS31" s="4">
        <f t="shared" si="40"/>
        <v>9305.7329520000003</v>
      </c>
      <c r="AT31" s="4">
        <f t="shared" si="40"/>
        <v>9491.8476110400006</v>
      </c>
      <c r="AU31" s="4">
        <f t="shared" si="40"/>
        <v>9681.684563260802</v>
      </c>
      <c r="AV31" s="4">
        <f t="shared" si="40"/>
        <v>9875.318254526017</v>
      </c>
      <c r="AW31" s="4">
        <f t="shared" si="40"/>
        <v>10072.824619616538</v>
      </c>
    </row>
    <row r="32" spans="2:49" s="4" customFormat="1" x14ac:dyDescent="0.15">
      <c r="B32" s="4" t="s">
        <v>56</v>
      </c>
      <c r="C32" s="5"/>
      <c r="D32" s="5"/>
      <c r="E32" s="5"/>
      <c r="F32" s="5"/>
      <c r="G32" s="5">
        <f t="shared" ref="G32:R32" si="41">G28-G31</f>
        <v>-478</v>
      </c>
      <c r="H32" s="5">
        <f t="shared" si="41"/>
        <v>-50</v>
      </c>
      <c r="I32" s="5">
        <f t="shared" si="41"/>
        <v>261</v>
      </c>
      <c r="J32" s="5">
        <f t="shared" si="41"/>
        <v>347</v>
      </c>
      <c r="K32" s="5">
        <f t="shared" si="41"/>
        <v>283</v>
      </c>
      <c r="L32" s="5">
        <f t="shared" si="41"/>
        <v>327</v>
      </c>
      <c r="M32" s="5">
        <f t="shared" si="41"/>
        <v>809</v>
      </c>
      <c r="N32" s="5">
        <f t="shared" si="41"/>
        <v>575</v>
      </c>
      <c r="O32" s="5">
        <f t="shared" si="41"/>
        <v>493</v>
      </c>
      <c r="P32" s="5">
        <f t="shared" si="41"/>
        <v>1335</v>
      </c>
      <c r="Q32" s="5">
        <f t="shared" si="41"/>
        <v>2055</v>
      </c>
      <c r="R32" s="5">
        <f t="shared" si="41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AD32" si="42">V28-V31</f>
        <v>3662.7999999999984</v>
      </c>
      <c r="W32" s="5">
        <f>W28-W31</f>
        <v>2664</v>
      </c>
      <c r="X32" s="5">
        <f t="shared" si="42"/>
        <v>2399</v>
      </c>
      <c r="Y32" s="5">
        <f t="shared" si="42"/>
        <v>1764</v>
      </c>
      <c r="Z32" s="5">
        <f t="shared" si="42"/>
        <v>2064</v>
      </c>
      <c r="AA32" s="5">
        <f t="shared" si="42"/>
        <v>1171</v>
      </c>
      <c r="AB32" s="5">
        <f t="shared" si="42"/>
        <v>1933.119169149827</v>
      </c>
      <c r="AC32" s="5">
        <f t="shared" si="42"/>
        <v>1539.837888800138</v>
      </c>
      <c r="AD32" s="5">
        <f t="shared" si="42"/>
        <v>1820.3546705981557</v>
      </c>
      <c r="AO32" s="5">
        <f t="shared" ref="AO32:AW32" si="43">AO28-AO31</f>
        <v>12705.850000000002</v>
      </c>
      <c r="AP32" s="5">
        <f t="shared" si="43"/>
        <v>8891</v>
      </c>
      <c r="AQ32" s="5">
        <f t="shared" si="43"/>
        <v>12862.931332853321</v>
      </c>
      <c r="AR32" s="5">
        <f t="shared" si="43"/>
        <v>21613.563847042744</v>
      </c>
      <c r="AS32" s="5">
        <f t="shared" si="43"/>
        <v>30267.937536067526</v>
      </c>
      <c r="AT32" s="5">
        <f t="shared" si="43"/>
        <v>39421.209112211473</v>
      </c>
      <c r="AU32" s="5">
        <f t="shared" si="43"/>
        <v>50774.853546678045</v>
      </c>
      <c r="AV32" s="5">
        <f t="shared" si="43"/>
        <v>61735.451136696487</v>
      </c>
      <c r="AW32" s="5">
        <f t="shared" si="43"/>
        <v>71062.177100638582</v>
      </c>
    </row>
    <row r="33" spans="2:105" s="4" customFormat="1" x14ac:dyDescent="0.15">
      <c r="B33" s="4" t="s">
        <v>57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>
        <f>238-28+328</f>
        <v>538</v>
      </c>
      <c r="Y33" s="5">
        <f>282-38+37</f>
        <v>281</v>
      </c>
      <c r="Z33" s="5">
        <f>333-61-145</f>
        <v>127</v>
      </c>
      <c r="AA33" s="5">
        <f>350-76+108</f>
        <v>382</v>
      </c>
      <c r="AB33" s="5"/>
      <c r="AC33" s="5"/>
      <c r="AD33" s="5"/>
      <c r="AP33" s="4">
        <f t="shared" si="23"/>
        <v>1082</v>
      </c>
      <c r="AQ33" s="4">
        <f>AP63*$AZ$46</f>
        <v>874.02</v>
      </c>
      <c r="AR33" s="4">
        <f t="shared" ref="AR33:AW33" si="44">AQ63*$AZ$46</f>
        <v>1224.3122589877596</v>
      </c>
      <c r="AS33" s="4">
        <f t="shared" si="44"/>
        <v>1806.6780996915375</v>
      </c>
      <c r="AT33" s="4">
        <f t="shared" si="44"/>
        <v>2624.5807984033931</v>
      </c>
      <c r="AU33" s="4">
        <f t="shared" si="44"/>
        <v>3696.7484411240725</v>
      </c>
      <c r="AV33" s="4">
        <f t="shared" si="44"/>
        <v>5085.7742918130261</v>
      </c>
      <c r="AW33" s="4">
        <f t="shared" si="44"/>
        <v>6789.7155402400185</v>
      </c>
    </row>
    <row r="34" spans="2:105" s="4" customFormat="1" x14ac:dyDescent="0.15">
      <c r="B34" s="4" t="s">
        <v>58</v>
      </c>
      <c r="C34" s="5"/>
      <c r="D34" s="5"/>
      <c r="E34" s="5"/>
      <c r="F34" s="5"/>
      <c r="G34" s="5">
        <f t="shared" ref="G34:R34" si="45">G32+G33</f>
        <v>-601</v>
      </c>
      <c r="H34" s="5">
        <f t="shared" si="45"/>
        <v>-253</v>
      </c>
      <c r="I34" s="5">
        <f t="shared" si="45"/>
        <v>176</v>
      </c>
      <c r="J34" s="5">
        <f t="shared" si="45"/>
        <v>160</v>
      </c>
      <c r="K34" s="5">
        <f t="shared" si="45"/>
        <v>70</v>
      </c>
      <c r="L34" s="5">
        <f t="shared" si="45"/>
        <v>150</v>
      </c>
      <c r="M34" s="5">
        <f t="shared" si="45"/>
        <v>555</v>
      </c>
      <c r="N34" s="5">
        <f t="shared" si="45"/>
        <v>379</v>
      </c>
      <c r="O34" s="5">
        <f t="shared" si="45"/>
        <v>432</v>
      </c>
      <c r="P34" s="5">
        <f t="shared" si="45"/>
        <v>1316</v>
      </c>
      <c r="Q34" s="5">
        <f t="shared" si="45"/>
        <v>1933</v>
      </c>
      <c r="R34" s="5">
        <f t="shared" si="45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AD34" si="46">V32+V33</f>
        <v>3744.7999999999984</v>
      </c>
      <c r="W34" s="5">
        <f t="shared" si="46"/>
        <v>2800</v>
      </c>
      <c r="X34" s="5">
        <f t="shared" si="46"/>
        <v>2937</v>
      </c>
      <c r="Y34" s="5">
        <f t="shared" si="46"/>
        <v>2045</v>
      </c>
      <c r="Z34" s="5">
        <f t="shared" si="46"/>
        <v>2191</v>
      </c>
      <c r="AA34" s="5">
        <f t="shared" si="46"/>
        <v>1553</v>
      </c>
      <c r="AB34" s="5">
        <f t="shared" si="46"/>
        <v>1933.119169149827</v>
      </c>
      <c r="AC34" s="5">
        <f t="shared" si="46"/>
        <v>1539.837888800138</v>
      </c>
      <c r="AD34" s="5">
        <f t="shared" si="46"/>
        <v>1820.3546705981557</v>
      </c>
      <c r="AP34" s="4">
        <f>+AP32+AP33</f>
        <v>9973</v>
      </c>
      <c r="AQ34" s="4">
        <f t="shared" ref="AQ34:AW34" si="47">+AQ32+AQ33</f>
        <v>13736.951332853321</v>
      </c>
      <c r="AR34" s="4">
        <f t="shared" si="47"/>
        <v>22837.876106030504</v>
      </c>
      <c r="AS34" s="4">
        <f t="shared" si="47"/>
        <v>32074.615635759063</v>
      </c>
      <c r="AT34" s="4">
        <f t="shared" si="47"/>
        <v>42045.789910614869</v>
      </c>
      <c r="AU34" s="4">
        <f t="shared" si="47"/>
        <v>54471.601987802118</v>
      </c>
      <c r="AV34" s="4">
        <f t="shared" si="47"/>
        <v>66821.225428509511</v>
      </c>
      <c r="AW34" s="4">
        <f t="shared" si="47"/>
        <v>77851.892640878606</v>
      </c>
    </row>
    <row r="35" spans="2:105" s="4" customFormat="1" x14ac:dyDescent="0.15">
      <c r="B35" s="4" t="s">
        <v>59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5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f>261+26</f>
        <v>287</v>
      </c>
      <c r="X35" s="5">
        <f>323-89</f>
        <v>234</v>
      </c>
      <c r="Y35" s="5">
        <f>167+25</f>
        <v>192</v>
      </c>
      <c r="Z35" s="5">
        <v>15</v>
      </c>
      <c r="AA35" s="5">
        <f>409+15</f>
        <v>424</v>
      </c>
      <c r="AB35" s="5">
        <f>+AB34*0.2</f>
        <v>386.62383382996541</v>
      </c>
      <c r="AC35" s="5">
        <f>+AC34*0.2</f>
        <v>307.96757776002761</v>
      </c>
      <c r="AD35" s="5">
        <f>+AD34*0.2</f>
        <v>364.07093411963115</v>
      </c>
      <c r="AP35" s="4">
        <f t="shared" si="23"/>
        <v>728</v>
      </c>
      <c r="AQ35" s="4">
        <f>AQ34*0.15</f>
        <v>2060.542699927998</v>
      </c>
      <c r="AR35" s="4">
        <f t="shared" ref="AR35:AW35" si="48">AR34*0.15</f>
        <v>3425.6814159045757</v>
      </c>
      <c r="AS35" s="4">
        <f t="shared" si="48"/>
        <v>4811.1923453638592</v>
      </c>
      <c r="AT35" s="4">
        <f t="shared" si="48"/>
        <v>6306.8684865922305</v>
      </c>
      <c r="AU35" s="4">
        <f t="shared" si="48"/>
        <v>8170.7402981703171</v>
      </c>
      <c r="AV35" s="4">
        <f t="shared" si="48"/>
        <v>10023.183814276426</v>
      </c>
      <c r="AW35" s="4">
        <f t="shared" si="48"/>
        <v>11677.78389613179</v>
      </c>
    </row>
    <row r="36" spans="2:105" s="4" customFormat="1" x14ac:dyDescent="0.15">
      <c r="B36" s="4" t="s">
        <v>60</v>
      </c>
      <c r="C36" s="5"/>
      <c r="D36" s="5"/>
      <c r="E36" s="5"/>
      <c r="F36" s="5"/>
      <c r="G36" s="5">
        <f t="shared" ref="G36:R36" si="49">G34-G35</f>
        <v>-658</v>
      </c>
      <c r="H36" s="5">
        <f t="shared" si="49"/>
        <v>-291</v>
      </c>
      <c r="I36" s="5">
        <f t="shared" si="49"/>
        <v>143</v>
      </c>
      <c r="J36" s="5">
        <f t="shared" si="49"/>
        <v>91</v>
      </c>
      <c r="K36" s="5">
        <f t="shared" si="49"/>
        <v>16</v>
      </c>
      <c r="L36" s="5">
        <f t="shared" si="49"/>
        <v>104</v>
      </c>
      <c r="M36" s="5">
        <f t="shared" si="49"/>
        <v>300</v>
      </c>
      <c r="N36" s="5">
        <f t="shared" si="49"/>
        <v>270</v>
      </c>
      <c r="O36" s="5">
        <f t="shared" si="49"/>
        <v>337</v>
      </c>
      <c r="P36" s="5">
        <f t="shared" si="49"/>
        <v>1165</v>
      </c>
      <c r="Q36" s="5">
        <f t="shared" si="49"/>
        <v>1669</v>
      </c>
      <c r="R36" s="5">
        <f t="shared" si="49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AD36" si="50">V34-V35</f>
        <v>3468.7999999999984</v>
      </c>
      <c r="W36" s="5">
        <f t="shared" si="50"/>
        <v>2513</v>
      </c>
      <c r="X36" s="5">
        <f t="shared" si="50"/>
        <v>2703</v>
      </c>
      <c r="Y36" s="5">
        <f t="shared" si="50"/>
        <v>1853</v>
      </c>
      <c r="Z36" s="5">
        <f t="shared" si="50"/>
        <v>2176</v>
      </c>
      <c r="AA36" s="5">
        <f t="shared" si="50"/>
        <v>1129</v>
      </c>
      <c r="AB36" s="5">
        <f t="shared" si="50"/>
        <v>1546.4953353198616</v>
      </c>
      <c r="AC36" s="5">
        <f t="shared" si="50"/>
        <v>1231.8703110401104</v>
      </c>
      <c r="AD36" s="5">
        <f t="shared" si="50"/>
        <v>1456.2837364785246</v>
      </c>
      <c r="AP36" s="4">
        <f>+AP34-AP35</f>
        <v>9245</v>
      </c>
      <c r="AQ36" s="4">
        <f t="shared" ref="AQ36:AW36" si="51">+AQ34-AQ35</f>
        <v>11676.408632925322</v>
      </c>
      <c r="AR36" s="4">
        <f t="shared" si="51"/>
        <v>19412.194690125929</v>
      </c>
      <c r="AS36" s="4">
        <f t="shared" si="51"/>
        <v>27263.423290395203</v>
      </c>
      <c r="AT36" s="4">
        <f t="shared" si="51"/>
        <v>35738.921424022636</v>
      </c>
      <c r="AU36" s="4">
        <f t="shared" si="51"/>
        <v>46300.861689631798</v>
      </c>
      <c r="AV36" s="4">
        <f t="shared" si="51"/>
        <v>56798.041614233087</v>
      </c>
      <c r="AW36" s="4">
        <f t="shared" si="51"/>
        <v>66174.108744746816</v>
      </c>
      <c r="AX36" s="4">
        <f>AW36*(1+$AZ$43)</f>
        <v>65512.36765729935</v>
      </c>
      <c r="AY36" s="4">
        <f t="shared" ref="AY36:DA36" si="52">AX36*(1+$AZ$43)</f>
        <v>64857.243980726358</v>
      </c>
      <c r="AZ36" s="4">
        <f t="shared" si="52"/>
        <v>64208.671540919095</v>
      </c>
      <c r="BA36" s="4">
        <f t="shared" si="52"/>
        <v>63566.584825509904</v>
      </c>
      <c r="BB36" s="4">
        <f t="shared" si="52"/>
        <v>62930.918977254805</v>
      </c>
      <c r="BC36" s="4">
        <f t="shared" si="52"/>
        <v>62301.609787482259</v>
      </c>
      <c r="BD36" s="4">
        <f t="shared" si="52"/>
        <v>61678.593689607434</v>
      </c>
      <c r="BE36" s="4">
        <f t="shared" si="52"/>
        <v>61061.807752711356</v>
      </c>
      <c r="BF36" s="4">
        <f t="shared" si="52"/>
        <v>60451.189675184243</v>
      </c>
      <c r="BG36" s="4">
        <f t="shared" si="52"/>
        <v>59846.6777784324</v>
      </c>
      <c r="BH36" s="4">
        <f t="shared" si="52"/>
        <v>59248.211000648073</v>
      </c>
      <c r="BI36" s="4">
        <f t="shared" si="52"/>
        <v>58655.728890641592</v>
      </c>
      <c r="BJ36" s="4">
        <f t="shared" si="52"/>
        <v>58069.171601735179</v>
      </c>
      <c r="BK36" s="4">
        <f t="shared" si="52"/>
        <v>57488.479885717825</v>
      </c>
      <c r="BL36" s="4">
        <f t="shared" si="52"/>
        <v>56913.595086860645</v>
      </c>
      <c r="BM36" s="4">
        <f t="shared" si="52"/>
        <v>56344.459135992038</v>
      </c>
      <c r="BN36" s="4">
        <f t="shared" si="52"/>
        <v>55781.014544632118</v>
      </c>
      <c r="BO36" s="4">
        <f t="shared" si="52"/>
        <v>55223.204399185794</v>
      </c>
      <c r="BP36" s="4">
        <f t="shared" si="52"/>
        <v>54670.972355193939</v>
      </c>
      <c r="BQ36" s="4">
        <f t="shared" si="52"/>
        <v>54124.262631641999</v>
      </c>
      <c r="BR36" s="4">
        <f t="shared" si="52"/>
        <v>53583.020005325576</v>
      </c>
      <c r="BS36" s="4">
        <f t="shared" si="52"/>
        <v>53047.189805272319</v>
      </c>
      <c r="BT36" s="4">
        <f t="shared" si="52"/>
        <v>52516.717907219594</v>
      </c>
      <c r="BU36" s="4">
        <f t="shared" si="52"/>
        <v>51991.550728147398</v>
      </c>
      <c r="BV36" s="4">
        <f t="shared" si="52"/>
        <v>51471.635220865923</v>
      </c>
      <c r="BW36" s="4">
        <f t="shared" si="52"/>
        <v>50956.91886865726</v>
      </c>
      <c r="BX36" s="4">
        <f t="shared" si="52"/>
        <v>50447.349679970685</v>
      </c>
      <c r="BY36" s="4">
        <f t="shared" si="52"/>
        <v>49942.876183170978</v>
      </c>
      <c r="BZ36" s="4">
        <f t="shared" si="52"/>
        <v>49443.447421339268</v>
      </c>
      <c r="CA36" s="4">
        <f t="shared" si="52"/>
        <v>48949.012947125877</v>
      </c>
      <c r="CB36" s="4">
        <f t="shared" si="52"/>
        <v>48459.522817654615</v>
      </c>
      <c r="CC36" s="4">
        <f t="shared" si="52"/>
        <v>47974.927589478066</v>
      </c>
      <c r="CD36" s="4">
        <f t="shared" si="52"/>
        <v>47495.178313583281</v>
      </c>
      <c r="CE36" s="4">
        <f t="shared" si="52"/>
        <v>47020.226530447449</v>
      </c>
      <c r="CF36" s="4">
        <f t="shared" si="52"/>
        <v>46550.024265142973</v>
      </c>
      <c r="CG36" s="4">
        <f t="shared" si="52"/>
        <v>46084.52402249154</v>
      </c>
      <c r="CH36" s="4">
        <f t="shared" si="52"/>
        <v>45623.678782266623</v>
      </c>
      <c r="CI36" s="4">
        <f t="shared" si="52"/>
        <v>45167.441994443958</v>
      </c>
      <c r="CJ36" s="4">
        <f t="shared" si="52"/>
        <v>44715.767574499521</v>
      </c>
      <c r="CK36" s="4">
        <f t="shared" si="52"/>
        <v>44268.609898754527</v>
      </c>
      <c r="CL36" s="4">
        <f t="shared" si="52"/>
        <v>43825.923799766984</v>
      </c>
      <c r="CM36" s="4">
        <f t="shared" si="52"/>
        <v>43387.664561769314</v>
      </c>
      <c r="CN36" s="4">
        <f t="shared" si="52"/>
        <v>42953.787916151618</v>
      </c>
      <c r="CO36" s="4">
        <f t="shared" si="52"/>
        <v>42524.250036990103</v>
      </c>
      <c r="CP36" s="4">
        <f t="shared" si="52"/>
        <v>42099.0075366202</v>
      </c>
      <c r="CQ36" s="4">
        <f t="shared" si="52"/>
        <v>41678.017461253999</v>
      </c>
      <c r="CR36" s="4">
        <f t="shared" si="52"/>
        <v>41261.237286641459</v>
      </c>
      <c r="CS36" s="4">
        <f t="shared" si="52"/>
        <v>40848.624913775042</v>
      </c>
      <c r="CT36" s="4">
        <f t="shared" si="52"/>
        <v>40440.138664637292</v>
      </c>
      <c r="CU36" s="4">
        <f t="shared" si="52"/>
        <v>40035.73727799092</v>
      </c>
      <c r="CV36" s="4">
        <f t="shared" si="52"/>
        <v>39635.379905211012</v>
      </c>
      <c r="CW36" s="4">
        <f t="shared" si="52"/>
        <v>39239.026106158904</v>
      </c>
      <c r="CX36" s="4">
        <f t="shared" si="52"/>
        <v>38846.635845097313</v>
      </c>
      <c r="CY36" s="4">
        <f t="shared" si="52"/>
        <v>38458.169486646337</v>
      </c>
      <c r="CZ36" s="4">
        <f t="shared" si="52"/>
        <v>38073.587791779872</v>
      </c>
      <c r="DA36" s="4">
        <f t="shared" si="52"/>
        <v>37692.851913862076</v>
      </c>
    </row>
    <row r="37" spans="2:105" x14ac:dyDescent="0.15">
      <c r="B37" s="2" t="s">
        <v>61</v>
      </c>
      <c r="C37" s="9"/>
      <c r="D37" s="9"/>
      <c r="E37" s="9"/>
      <c r="F37" s="9"/>
      <c r="G37" s="9">
        <f t="shared" ref="G37:AD37" si="53">G36/G38</f>
        <v>-0.76069364161849706</v>
      </c>
      <c r="H37" s="9">
        <f t="shared" si="53"/>
        <v>-0.32881355932203388</v>
      </c>
      <c r="I37" s="9">
        <f t="shared" si="53"/>
        <v>0.15509761388286333</v>
      </c>
      <c r="J37" s="9">
        <f t="shared" si="53"/>
        <v>9.8913043478260868E-2</v>
      </c>
      <c r="K37" s="9">
        <f t="shared" si="53"/>
        <v>1.7112299465240642E-2</v>
      </c>
      <c r="L37" s="9">
        <f t="shared" si="53"/>
        <v>0.10048309178743961</v>
      </c>
      <c r="M37" s="9">
        <f t="shared" si="53"/>
        <v>0.27149321266968324</v>
      </c>
      <c r="N37" s="9">
        <f t="shared" si="53"/>
        <v>0.2402135231316726</v>
      </c>
      <c r="O37" s="9">
        <f t="shared" si="53"/>
        <v>0.29744042365401591</v>
      </c>
      <c r="P37" s="9">
        <f t="shared" si="53"/>
        <v>1.0411081322609472</v>
      </c>
      <c r="Q37" s="9">
        <f t="shared" si="53"/>
        <v>1.4861976847729297</v>
      </c>
      <c r="R37" s="9">
        <f t="shared" si="53"/>
        <v>2.044933920704846</v>
      </c>
      <c r="S37" s="9">
        <f t="shared" si="53"/>
        <v>2.867761452031115</v>
      </c>
      <c r="T37" s="9">
        <f t="shared" si="53"/>
        <v>2.032900432900433</v>
      </c>
      <c r="U37" s="9">
        <f t="shared" si="53"/>
        <v>0.96049596309111884</v>
      </c>
      <c r="V37" s="9">
        <f t="shared" si="53"/>
        <v>0.99936617689426632</v>
      </c>
      <c r="W37" s="9">
        <f t="shared" si="53"/>
        <v>0.7246251441753172</v>
      </c>
      <c r="X37" s="9">
        <f t="shared" si="53"/>
        <v>0.77717078780908566</v>
      </c>
      <c r="Y37" s="9">
        <f t="shared" si="53"/>
        <v>0.53048955052963065</v>
      </c>
      <c r="Z37" s="9">
        <f t="shared" si="53"/>
        <v>0.62313860252004583</v>
      </c>
      <c r="AA37" s="9">
        <f t="shared" si="53"/>
        <v>0.32405281285878301</v>
      </c>
      <c r="AB37" s="9">
        <f t="shared" si="53"/>
        <v>0.44388499865667669</v>
      </c>
      <c r="AC37" s="9">
        <f t="shared" si="53"/>
        <v>0.35357930856489966</v>
      </c>
      <c r="AD37" s="9">
        <f t="shared" si="53"/>
        <v>0.41799188762299788</v>
      </c>
      <c r="AP37" s="10">
        <f>+AP36/AP38</f>
        <v>2.6545115210681214</v>
      </c>
      <c r="AQ37" s="10">
        <f t="shared" ref="AQ37:AW37" si="54">+AQ36/AQ38</f>
        <v>3.3526404803460834</v>
      </c>
      <c r="AR37" s="10">
        <f t="shared" si="54"/>
        <v>5.5738122719477223</v>
      </c>
      <c r="AS37" s="10">
        <f t="shared" si="54"/>
        <v>7.8281310143981635</v>
      </c>
      <c r="AT37" s="10">
        <f t="shared" si="54"/>
        <v>10.261695908125084</v>
      </c>
      <c r="AU37" s="10">
        <f t="shared" si="54"/>
        <v>13.294339728556974</v>
      </c>
      <c r="AV37" s="10">
        <f t="shared" si="54"/>
        <v>16.30838894960393</v>
      </c>
      <c r="AW37" s="10">
        <f t="shared" si="54"/>
        <v>19.000533700307749</v>
      </c>
    </row>
    <row r="38" spans="2:105" s="4" customFormat="1" x14ac:dyDescent="0.15">
      <c r="B38" s="4" t="s">
        <v>62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v>3478</v>
      </c>
      <c r="Y38" s="5">
        <v>3493</v>
      </c>
      <c r="Z38" s="5">
        <v>3492</v>
      </c>
      <c r="AA38" s="5">
        <v>3484</v>
      </c>
      <c r="AB38" s="5">
        <f>+AA38</f>
        <v>3484</v>
      </c>
      <c r="AC38" s="5">
        <f>+AB38</f>
        <v>3484</v>
      </c>
      <c r="AD38" s="5">
        <f>+AC38</f>
        <v>3484</v>
      </c>
      <c r="AP38" s="4">
        <f>AVERAGE(W38:Z38)</f>
        <v>3482.75</v>
      </c>
      <c r="AQ38" s="4">
        <f>AP38</f>
        <v>3482.75</v>
      </c>
      <c r="AR38" s="4">
        <f t="shared" ref="AR38:AW38" si="55">AQ38</f>
        <v>3482.75</v>
      </c>
      <c r="AS38" s="4">
        <f t="shared" si="55"/>
        <v>3482.75</v>
      </c>
      <c r="AT38" s="4">
        <f t="shared" si="55"/>
        <v>3482.75</v>
      </c>
      <c r="AU38" s="4">
        <f t="shared" si="55"/>
        <v>3482.75</v>
      </c>
      <c r="AV38" s="4">
        <f t="shared" si="55"/>
        <v>3482.75</v>
      </c>
      <c r="AW38" s="4">
        <f t="shared" si="55"/>
        <v>3482.75</v>
      </c>
    </row>
    <row r="40" spans="2:105" s="11" customFormat="1" x14ac:dyDescent="0.15">
      <c r="B40" s="11" t="s">
        <v>63</v>
      </c>
      <c r="C40" s="12"/>
      <c r="D40" s="12"/>
      <c r="E40" s="12"/>
      <c r="F40" s="12"/>
      <c r="G40" s="12"/>
      <c r="H40" s="12"/>
      <c r="I40" s="12"/>
      <c r="J40" s="12"/>
      <c r="K40" s="13">
        <f>K20/G20-1</f>
        <v>0.31799163179916312</v>
      </c>
      <c r="L40" s="13">
        <f t="shared" ref="L40:S40" si="56">L20/H20-1</f>
        <v>-4.9448818897637747E-2</v>
      </c>
      <c r="M40" s="13">
        <f t="shared" si="56"/>
        <v>0.39155957480564818</v>
      </c>
      <c r="N40" s="13">
        <f t="shared" si="56"/>
        <v>0.45503791982665232</v>
      </c>
      <c r="O40" s="13">
        <f t="shared" si="56"/>
        <v>0.73583959899749374</v>
      </c>
      <c r="P40" s="13">
        <f t="shared" si="56"/>
        <v>0.98111332007952279</v>
      </c>
      <c r="Q40" s="13">
        <f t="shared" si="56"/>
        <v>0.56846425721126437</v>
      </c>
      <c r="R40" s="13">
        <f t="shared" si="56"/>
        <v>0.64919955323901712</v>
      </c>
      <c r="S40" s="13">
        <f t="shared" si="56"/>
        <v>0.80537106555010096</v>
      </c>
      <c r="T40" s="13">
        <f>T20/P20-1</f>
        <v>0.41612309750794441</v>
      </c>
      <c r="U40" s="13">
        <f>U20/Q20-1</f>
        <v>0.55949698335392894</v>
      </c>
      <c r="V40" s="13">
        <f>V20/R20-1</f>
        <v>0.39999999999999991</v>
      </c>
      <c r="W40" s="13">
        <f t="shared" ref="W40:AD40" si="57">W20/S20-1</f>
        <v>0.24381531243335464</v>
      </c>
      <c r="X40" s="13">
        <f t="shared" si="57"/>
        <v>0.47200897602456604</v>
      </c>
      <c r="Y40" s="13">
        <f t="shared" si="57"/>
        <v>8.8375128181224838E-2</v>
      </c>
      <c r="Z40" s="13">
        <f t="shared" si="57"/>
        <v>1.452839163770947E-2</v>
      </c>
      <c r="AA40" s="13">
        <f t="shared" si="57"/>
        <v>-8.6930429936988296E-2</v>
      </c>
      <c r="AB40" s="13">
        <f t="shared" si="57"/>
        <v>0.13406324310983453</v>
      </c>
      <c r="AC40" s="13">
        <f t="shared" si="57"/>
        <v>0.12948976125628553</v>
      </c>
      <c r="AD40" s="13">
        <f t="shared" si="57"/>
        <v>0.13521798932415607</v>
      </c>
      <c r="AG40" s="14">
        <f t="shared" ref="AG40:AI40" si="58">AG20/AF20-1</f>
        <v>0.58845907814070664</v>
      </c>
      <c r="AH40" s="14">
        <f t="shared" si="58"/>
        <v>0.26503272306147285</v>
      </c>
      <c r="AI40" s="14">
        <f t="shared" si="58"/>
        <v>0.73012574069611524</v>
      </c>
      <c r="AJ40" s="14">
        <f>AJ20/AI20-1</f>
        <v>0.67978989539054413</v>
      </c>
      <c r="AK40" s="14">
        <f>AK20/AJ20-1</f>
        <v>0.82513159773516764</v>
      </c>
      <c r="AL40" s="14">
        <f>AL20/AK20-1</f>
        <v>0.14522590184326489</v>
      </c>
      <c r="AM40" s="14">
        <f>+AM20/AL20-1</f>
        <v>0.28309870615998056</v>
      </c>
      <c r="AN40" s="14">
        <f>+AN20/AM20-1</f>
        <v>0.70671613394216126</v>
      </c>
      <c r="AO40" s="14">
        <f>+AO20/AN20-1</f>
        <v>0.52259442989056737</v>
      </c>
      <c r="AP40" s="14">
        <f>+AP20/AO20-1</f>
        <v>0.18086993871917945</v>
      </c>
      <c r="AQ40" s="14">
        <f t="shared" ref="AQ40:AW40" si="59">+AQ20/AP20-1</f>
        <v>0.18602629663740111</v>
      </c>
      <c r="AR40" s="14">
        <f t="shared" si="59"/>
        <v>0.33900000000000019</v>
      </c>
      <c r="AS40" s="14">
        <f t="shared" si="59"/>
        <v>0.28749999999999987</v>
      </c>
      <c r="AT40" s="14">
        <f t="shared" si="59"/>
        <v>0.23599999999999999</v>
      </c>
      <c r="AU40" s="14">
        <f t="shared" si="59"/>
        <v>0.23600000000000021</v>
      </c>
      <c r="AV40" s="14">
        <f t="shared" si="59"/>
        <v>0.18449999999999966</v>
      </c>
      <c r="AW40" s="14">
        <f t="shared" si="59"/>
        <v>0.13300000000000023</v>
      </c>
    </row>
    <row r="41" spans="2:105" x14ac:dyDescent="0.15">
      <c r="B41" s="2" t="s">
        <v>64</v>
      </c>
      <c r="K41" s="15">
        <f t="shared" ref="K41:U41" si="60">+K5/G5-1</f>
        <v>0.40427490122026688</v>
      </c>
      <c r="L41" s="15">
        <f t="shared" si="60"/>
        <v>-4.9351902344897058E-2</v>
      </c>
      <c r="M41" s="15">
        <f t="shared" si="60"/>
        <v>0.43333401930319182</v>
      </c>
      <c r="N41" s="15">
        <f t="shared" si="60"/>
        <v>0.61086578348722065</v>
      </c>
      <c r="O41" s="15">
        <f t="shared" si="60"/>
        <v>1.088229976496113</v>
      </c>
      <c r="P41" s="15">
        <f t="shared" si="60"/>
        <v>1.2200772200772199</v>
      </c>
      <c r="Q41" s="15">
        <f t="shared" si="60"/>
        <v>0.73223259152907394</v>
      </c>
      <c r="R41" s="15">
        <f t="shared" si="60"/>
        <v>0.70903250816857732</v>
      </c>
      <c r="S41" s="15">
        <f t="shared" si="60"/>
        <v>0.67774891774891777</v>
      </c>
      <c r="T41" s="15">
        <f t="shared" si="60"/>
        <v>0.26556521739130434</v>
      </c>
      <c r="U41" s="15">
        <f t="shared" si="60"/>
        <v>0.42490675507666809</v>
      </c>
      <c r="V41" s="15">
        <f>+V5/R5-1</f>
        <v>0.31327932598833441</v>
      </c>
      <c r="W41" s="15">
        <f>+W5/S5-1</f>
        <v>0.36390171844359576</v>
      </c>
      <c r="X41" s="15">
        <f t="shared" ref="X41:AD41" si="61">+X5/T5-1</f>
        <v>0.83018904964761764</v>
      </c>
      <c r="Y41" s="15">
        <f t="shared" si="61"/>
        <v>0.26533170462146982</v>
      </c>
      <c r="Z41" s="15">
        <f t="shared" si="61"/>
        <v>0.19549297025745282</v>
      </c>
      <c r="AA41" s="15">
        <f t="shared" si="61"/>
        <v>-8.5285249778303318E-2</v>
      </c>
      <c r="AB41" s="15">
        <f t="shared" si="61"/>
        <v>0.10824859484275118</v>
      </c>
      <c r="AC41" s="15">
        <f t="shared" si="61"/>
        <v>0.10734842860393656</v>
      </c>
      <c r="AD41" s="15">
        <f t="shared" si="61"/>
        <v>0.10948139036174909</v>
      </c>
      <c r="AM41" s="8">
        <f>+AM5/AL5-1</f>
        <v>0.35729051069477991</v>
      </c>
      <c r="AN41" s="8">
        <f>+AN5/AM5-1</f>
        <v>0.87559116340959009</v>
      </c>
      <c r="AO41" s="8">
        <f>+AO5/AN5-1</f>
        <v>0.403761953095785</v>
      </c>
      <c r="AP41" s="8">
        <f t="shared" ref="AP41:AW41" si="62">+AP5/AO5-1</f>
        <v>0.37654954785588313</v>
      </c>
      <c r="AQ41" s="8">
        <f t="shared" si="62"/>
        <v>6.3111024609901367E-2</v>
      </c>
      <c r="AR41" s="8">
        <f t="shared" si="62"/>
        <v>0.62517870312427859</v>
      </c>
      <c r="AS41" s="8">
        <f t="shared" si="62"/>
        <v>0.25</v>
      </c>
      <c r="AT41" s="8">
        <f t="shared" si="62"/>
        <v>0.19999999999999996</v>
      </c>
      <c r="AU41" s="8">
        <f t="shared" si="62"/>
        <v>0.19999999999999996</v>
      </c>
      <c r="AV41" s="8">
        <f t="shared" si="62"/>
        <v>0.14999999999999991</v>
      </c>
      <c r="AW41" s="8">
        <f t="shared" si="62"/>
        <v>0.10000000000000009</v>
      </c>
    </row>
    <row r="42" spans="2:105" x14ac:dyDescent="0.15">
      <c r="B42" s="2" t="s">
        <v>65</v>
      </c>
      <c r="K42" s="15">
        <f t="shared" ref="K42:AA42" si="63">+K10/G10-1</f>
        <v>0.33101713811610356</v>
      </c>
      <c r="L42" s="15">
        <f t="shared" si="63"/>
        <v>-5.4866280672732248E-2</v>
      </c>
      <c r="M42" s="15">
        <f t="shared" si="63"/>
        <v>0.50835629972440333</v>
      </c>
      <c r="N42" s="15">
        <f t="shared" si="63"/>
        <v>0.71375046476818782</v>
      </c>
      <c r="O42" s="15">
        <f t="shared" si="63"/>
        <v>0.75644771700171409</v>
      </c>
      <c r="P42" s="15">
        <f t="shared" si="63"/>
        <v>1.5090067094515751</v>
      </c>
      <c r="Q42" s="15">
        <f t="shared" si="63"/>
        <v>0.63975150996993846</v>
      </c>
      <c r="R42" s="15">
        <f t="shared" si="63"/>
        <v>0.7014080119272128</v>
      </c>
      <c r="S42" s="15">
        <f t="shared" si="63"/>
        <v>0.69352549102241356</v>
      </c>
      <c r="T42" s="15">
        <f t="shared" si="63"/>
        <v>0.25268262434539124</v>
      </c>
      <c r="U42" s="15">
        <f t="shared" si="63"/>
        <v>0.53863587626091669</v>
      </c>
      <c r="V42" s="15">
        <f t="shared" si="63"/>
        <v>0.43768310227569973</v>
      </c>
      <c r="W42" s="15">
        <f t="shared" si="63"/>
        <v>0.44334609226376598</v>
      </c>
      <c r="X42" s="15">
        <f t="shared" si="63"/>
        <v>0.85513187408152214</v>
      </c>
      <c r="Y42" s="15">
        <f t="shared" si="63"/>
        <v>0.17644422460462983</v>
      </c>
      <c r="Z42" s="15">
        <f t="shared" si="63"/>
        <v>0.12573999149421988</v>
      </c>
      <c r="AA42" s="15">
        <f t="shared" si="63"/>
        <v>-1.687129090216144E-2</v>
      </c>
      <c r="AB42" s="15"/>
      <c r="AC42" s="15"/>
      <c r="AD42" s="15"/>
      <c r="AM42" s="8">
        <f t="shared" ref="AM42:AN42" si="64">+AM10/AL10-1</f>
        <v>0.39565262627590125</v>
      </c>
      <c r="AN42" s="8">
        <f t="shared" si="64"/>
        <v>0.8252981439448186</v>
      </c>
      <c r="AO42" s="8">
        <f>+AO10/AN10-1</f>
        <v>0.47203204567389845</v>
      </c>
      <c r="AP42" s="8">
        <f>+AP10/AO10-1</f>
        <v>0.35000000000000009</v>
      </c>
      <c r="AQ42" s="8">
        <f t="shared" ref="AQ42:AW42" si="65">+AQ10/AP10-1</f>
        <v>0.30000000000000004</v>
      </c>
      <c r="AR42" s="8">
        <f t="shared" si="65"/>
        <v>0.30000000000000004</v>
      </c>
      <c r="AS42" s="8">
        <f t="shared" si="65"/>
        <v>0.25</v>
      </c>
      <c r="AT42" s="8">
        <f t="shared" si="65"/>
        <v>0.19999999999999996</v>
      </c>
      <c r="AU42" s="8">
        <f t="shared" si="65"/>
        <v>0.19999999999999996</v>
      </c>
      <c r="AV42" s="8">
        <f t="shared" si="65"/>
        <v>0.14999999999999991</v>
      </c>
      <c r="AW42" s="8">
        <f t="shared" si="65"/>
        <v>0.10000000000000009</v>
      </c>
    </row>
    <row r="43" spans="2:105" x14ac:dyDescent="0.15">
      <c r="B43" s="2" t="s">
        <v>66</v>
      </c>
      <c r="K43" s="15">
        <f t="shared" ref="K43:O43" si="66">K14/G14-1</f>
        <v>0.39441436306640076</v>
      </c>
      <c r="L43" s="15">
        <f t="shared" si="66"/>
        <v>-4.9729102167182626E-2</v>
      </c>
      <c r="M43" s="15">
        <f t="shared" si="66"/>
        <v>0.43141075604053003</v>
      </c>
      <c r="N43" s="15">
        <f t="shared" si="66"/>
        <v>0.4053394107113788</v>
      </c>
      <c r="O43" s="15">
        <f t="shared" si="66"/>
        <v>0.67320662170447587</v>
      </c>
      <c r="P43" s="15">
        <f>P14/L14-1</f>
        <v>0.9385053960496843</v>
      </c>
      <c r="Q43" s="15">
        <f t="shared" ref="Q43" si="67">Q14/M14-1</f>
        <v>0.55091206098557044</v>
      </c>
      <c r="R43" s="15">
        <f>R14/N14-1</f>
        <v>0.74041468782578468</v>
      </c>
      <c r="S43" s="15">
        <f t="shared" ref="S43:V43" si="68">S14/O14-1</f>
        <v>0.89495541712470983</v>
      </c>
      <c r="T43" s="15">
        <f t="shared" si="68"/>
        <v>0.43592436974789917</v>
      </c>
      <c r="U43" s="15">
        <f t="shared" si="68"/>
        <v>0.561046256473273</v>
      </c>
      <c r="V43" s="15">
        <f t="shared" si="68"/>
        <v>0.39999999999999991</v>
      </c>
      <c r="W43" s="15">
        <f>W14/S14-1</f>
        <v>0.21683640582699493</v>
      </c>
      <c r="X43" s="15">
        <f t="shared" ref="X43:AD43" si="69">X14/T14-1</f>
        <v>0.49370885149963417</v>
      </c>
      <c r="Y43" s="15">
        <f t="shared" si="69"/>
        <v>4.4813044700590332E-2</v>
      </c>
      <c r="Z43" s="15">
        <f t="shared" si="69"/>
        <v>-1.9253624910862799E-2</v>
      </c>
      <c r="AA43" s="15">
        <f t="shared" si="69"/>
        <v>-0.12808560228837795</v>
      </c>
      <c r="AB43" s="15">
        <f t="shared" si="69"/>
        <v>0.16366102458488885</v>
      </c>
      <c r="AC43" s="15">
        <f t="shared" si="69"/>
        <v>0.16271585003413347</v>
      </c>
      <c r="AD43" s="15">
        <f t="shared" si="69"/>
        <v>0.16495545987983684</v>
      </c>
      <c r="AY43" s="2" t="s">
        <v>67</v>
      </c>
      <c r="AZ43" s="8">
        <v>-0.01</v>
      </c>
    </row>
    <row r="44" spans="2:105" x14ac:dyDescent="0.15">
      <c r="B44" s="2" t="s">
        <v>68</v>
      </c>
      <c r="C44" s="15"/>
      <c r="D44" s="15"/>
      <c r="E44" s="15"/>
      <c r="F44" s="15"/>
      <c r="G44" s="15">
        <f t="shared" ref="G44:AD44" si="70">G22/G14</f>
        <v>0.18609290396124251</v>
      </c>
      <c r="H44" s="15">
        <f t="shared" si="70"/>
        <v>0.17685758513931887</v>
      </c>
      <c r="I44" s="15">
        <f t="shared" si="70"/>
        <v>0.21784879189399844</v>
      </c>
      <c r="J44" s="15">
        <f t="shared" si="70"/>
        <v>0.21618101904606871</v>
      </c>
      <c r="K44" s="15">
        <f t="shared" si="70"/>
        <v>0.2440220723482526</v>
      </c>
      <c r="L44" s="15">
        <f t="shared" si="70"/>
        <v>0.24373854612095297</v>
      </c>
      <c r="M44" s="15">
        <f t="shared" si="70"/>
        <v>0.27021508303838826</v>
      </c>
      <c r="N44" s="15">
        <f t="shared" si="70"/>
        <v>0.19819298042395458</v>
      </c>
      <c r="O44" s="15">
        <f t="shared" si="70"/>
        <v>0.21131061438866497</v>
      </c>
      <c r="P44" s="15">
        <f t="shared" si="70"/>
        <v>0.25220588235294117</v>
      </c>
      <c r="Q44" s="15">
        <f t="shared" si="70"/>
        <v>0.28464846835776353</v>
      </c>
      <c r="R44" s="15">
        <f t="shared" si="70"/>
        <v>0.28858569051580701</v>
      </c>
      <c r="S44" s="15">
        <f t="shared" si="70"/>
        <v>0.29650638133298957</v>
      </c>
      <c r="T44" s="15">
        <f t="shared" si="70"/>
        <v>0.25727871250914414</v>
      </c>
      <c r="U44" s="15">
        <f t="shared" si="70"/>
        <v>0.26348046106269329</v>
      </c>
      <c r="V44" s="15">
        <f t="shared" si="70"/>
        <v>0.26631804135963871</v>
      </c>
      <c r="W44" s="15">
        <f>W22/W14</f>
        <v>0.1830702404915775</v>
      </c>
      <c r="X44" s="15">
        <f t="shared" si="70"/>
        <v>0.17522895342573094</v>
      </c>
      <c r="Y44" s="15">
        <f t="shared" si="70"/>
        <v>0.15746421267893659</v>
      </c>
      <c r="Z44" s="15">
        <f t="shared" si="70"/>
        <v>0.16616577799321378</v>
      </c>
      <c r="AA44" s="15">
        <f t="shared" si="70"/>
        <v>0.15571081409477522</v>
      </c>
      <c r="AB44" s="15">
        <f t="shared" si="70"/>
        <v>0.15000000000000005</v>
      </c>
      <c r="AC44" s="15">
        <f t="shared" si="70"/>
        <v>0.14999999999999994</v>
      </c>
      <c r="AD44" s="15">
        <f t="shared" si="70"/>
        <v>0.15000000000000002</v>
      </c>
      <c r="AM44" s="15">
        <f t="shared" ref="AM44:AQ44" si="71">AM22/AM14</f>
        <v>0</v>
      </c>
      <c r="AN44" s="15">
        <f t="shared" si="71"/>
        <v>0</v>
      </c>
      <c r="AO44" s="15">
        <f t="shared" si="71"/>
        <v>0.27064584436209632</v>
      </c>
      <c r="AP44" s="15">
        <f t="shared" si="71"/>
        <v>0.17052821969455731</v>
      </c>
      <c r="AQ44" s="15">
        <f t="shared" si="71"/>
        <v>0</v>
      </c>
      <c r="AY44" s="2" t="s">
        <v>69</v>
      </c>
      <c r="AZ44" s="16">
        <v>0.08</v>
      </c>
    </row>
    <row r="45" spans="2:105" x14ac:dyDescent="0.15">
      <c r="B45" s="2" t="s">
        <v>52</v>
      </c>
      <c r="C45" s="15"/>
      <c r="D45" s="15"/>
      <c r="E45" s="15"/>
      <c r="F45" s="15"/>
      <c r="G45" s="15">
        <f t="shared" ref="G45:M45" si="72">+G28/G20</f>
        <v>0.1246421493063202</v>
      </c>
      <c r="H45" s="15">
        <f t="shared" si="72"/>
        <v>0.14503937007874015</v>
      </c>
      <c r="I45" s="15">
        <f t="shared" si="72"/>
        <v>0.18895763921941933</v>
      </c>
      <c r="J45" s="15">
        <f t="shared" si="72"/>
        <v>0.18838028169014084</v>
      </c>
      <c r="K45" s="15">
        <f t="shared" si="72"/>
        <v>0.20618212197159566</v>
      </c>
      <c r="L45" s="15">
        <f t="shared" si="72"/>
        <v>0.20990722332670642</v>
      </c>
      <c r="M45" s="15">
        <f t="shared" si="72"/>
        <v>0.23520693193478509</v>
      </c>
      <c r="N45" s="15">
        <f>+N28/N20</f>
        <v>0.19229337304542071</v>
      </c>
      <c r="O45" s="15">
        <f t="shared" ref="O45:AD45" si="73">+O28/O20</f>
        <v>0.21320627586870727</v>
      </c>
      <c r="P45" s="15">
        <f t="shared" si="73"/>
        <v>0.24117745442381669</v>
      </c>
      <c r="Q45" s="15">
        <f t="shared" si="73"/>
        <v>0.26604637639020134</v>
      </c>
      <c r="R45" s="15">
        <f t="shared" si="73"/>
        <v>0.27354816863254133</v>
      </c>
      <c r="S45" s="15">
        <f t="shared" si="73"/>
        <v>0.29110684580934099</v>
      </c>
      <c r="T45" s="15">
        <f t="shared" si="73"/>
        <v>0.24997047360340144</v>
      </c>
      <c r="U45" s="15">
        <f t="shared" si="73"/>
        <v>0.25086231005873033</v>
      </c>
      <c r="V45" s="15">
        <f t="shared" si="73"/>
        <v>0.25257794296679104</v>
      </c>
      <c r="W45" s="15">
        <f t="shared" si="73"/>
        <v>0.19336448197522396</v>
      </c>
      <c r="X45" s="15">
        <f t="shared" si="73"/>
        <v>0.18185100493440848</v>
      </c>
      <c r="Y45" s="15">
        <f t="shared" si="73"/>
        <v>0.17892933618843684</v>
      </c>
      <c r="Z45" s="15">
        <f t="shared" si="73"/>
        <v>0.17634203520483172</v>
      </c>
      <c r="AA45" s="15">
        <f t="shared" si="73"/>
        <v>0.1735129806112389</v>
      </c>
      <c r="AB45" s="15">
        <f t="shared" si="73"/>
        <v>0.15142206276448977</v>
      </c>
      <c r="AC45" s="15">
        <f t="shared" si="73"/>
        <v>0.15906968057651291</v>
      </c>
      <c r="AD45" s="15">
        <f t="shared" si="73"/>
        <v>0.15511900037130005</v>
      </c>
      <c r="AM45" s="15">
        <f t="shared" ref="AM45:AQ45" si="74">+AM28/AM20</f>
        <v>0</v>
      </c>
      <c r="AN45" s="15">
        <f t="shared" si="74"/>
        <v>0</v>
      </c>
      <c r="AO45" s="15">
        <f t="shared" si="74"/>
        <v>0.25</v>
      </c>
      <c r="AP45" s="15">
        <f t="shared" si="74"/>
        <v>0.18248891736331416</v>
      </c>
      <c r="AQ45" s="15">
        <f t="shared" si="74"/>
        <v>0.18999999999999992</v>
      </c>
      <c r="AY45" s="2" t="s">
        <v>70</v>
      </c>
      <c r="AZ45" s="4">
        <f>NPV(AZ44,AQ36:DA36)+[1]Main!K5-[1]Main!K6</f>
        <v>620317.01090449432</v>
      </c>
    </row>
    <row r="46" spans="2:105" x14ac:dyDescent="0.15"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Y46" s="2" t="s">
        <v>71</v>
      </c>
      <c r="AZ46" s="8">
        <v>0.03</v>
      </c>
    </row>
    <row r="47" spans="2:105" x14ac:dyDescent="0.15">
      <c r="AY47" s="2" t="s">
        <v>72</v>
      </c>
      <c r="AZ47" s="10">
        <f>AZ45/[1]Main!K3</f>
        <v>196.4425713931239</v>
      </c>
    </row>
    <row r="48" spans="2:105" s="4" customFormat="1" x14ac:dyDescent="0.15">
      <c r="B48" s="4" t="s">
        <v>73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75">M36</f>
        <v>300</v>
      </c>
      <c r="N48" s="5">
        <f t="shared" si="75"/>
        <v>270</v>
      </c>
      <c r="O48" s="5">
        <f t="shared" si="75"/>
        <v>337</v>
      </c>
      <c r="P48" s="5">
        <f t="shared" si="75"/>
        <v>1165</v>
      </c>
      <c r="Q48" s="5">
        <f t="shared" si="75"/>
        <v>1669</v>
      </c>
      <c r="R48" s="5">
        <f t="shared" si="75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AD48" si="76">V36</f>
        <v>3468.7999999999984</v>
      </c>
      <c r="W48" s="5">
        <f t="shared" si="76"/>
        <v>2513</v>
      </c>
      <c r="X48" s="5">
        <f t="shared" si="76"/>
        <v>2703</v>
      </c>
      <c r="Y48" s="5">
        <f t="shared" si="76"/>
        <v>1853</v>
      </c>
      <c r="Z48" s="5">
        <f t="shared" si="76"/>
        <v>2176</v>
      </c>
      <c r="AA48" s="5">
        <f t="shared" si="76"/>
        <v>1129</v>
      </c>
      <c r="AB48" s="5">
        <f t="shared" si="76"/>
        <v>1546.4953353198616</v>
      </c>
      <c r="AC48" s="5">
        <f t="shared" si="76"/>
        <v>1231.8703110401104</v>
      </c>
      <c r="AD48" s="5">
        <f t="shared" si="76"/>
        <v>1456.2837364785246</v>
      </c>
      <c r="AZ48" s="8">
        <f>AZ47/[1]Main!K2-1</f>
        <v>0.11615097382456763</v>
      </c>
    </row>
    <row r="49" spans="2:49" s="4" customFormat="1" x14ac:dyDescent="0.15">
      <c r="B49" s="4" t="s">
        <v>74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>
        <v>2614</v>
      </c>
      <c r="Y49" s="5">
        <v>1878</v>
      </c>
      <c r="Z49" s="5">
        <v>7943</v>
      </c>
      <c r="AA49" s="5">
        <v>1144</v>
      </c>
      <c r="AB49" s="5"/>
      <c r="AC49" s="5"/>
      <c r="AD49" s="5"/>
    </row>
    <row r="50" spans="2:49" s="4" customFormat="1" x14ac:dyDescent="0.15">
      <c r="B50" s="4" t="s">
        <v>75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>
        <v>1154</v>
      </c>
      <c r="Y50" s="5">
        <v>1235</v>
      </c>
      <c r="Z50" s="5">
        <v>1232</v>
      </c>
      <c r="AA50" s="5">
        <v>1246</v>
      </c>
      <c r="AB50" s="5"/>
      <c r="AC50" s="5"/>
      <c r="AD50" s="5"/>
    </row>
    <row r="51" spans="2:49" s="4" customFormat="1" x14ac:dyDescent="0.15">
      <c r="B51" s="4" t="s">
        <v>76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>
        <v>445</v>
      </c>
      <c r="Y51" s="5">
        <v>465</v>
      </c>
      <c r="Z51" s="5">
        <v>484</v>
      </c>
      <c r="AA51" s="5">
        <v>524</v>
      </c>
      <c r="AB51" s="5"/>
      <c r="AC51" s="5"/>
      <c r="AD51" s="5"/>
    </row>
    <row r="52" spans="2:49" s="4" customFormat="1" x14ac:dyDescent="0.15">
      <c r="B52" s="4" t="s">
        <v>77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  <c r="AA52" s="5">
        <v>0</v>
      </c>
      <c r="AB52" s="5"/>
      <c r="AC52" s="5"/>
      <c r="AD52" s="5"/>
    </row>
    <row r="53" spans="2:49" s="4" customFormat="1" x14ac:dyDescent="0.15">
      <c r="B53" s="4" t="s">
        <v>78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f>-148-47</f>
        <v>-195</v>
      </c>
      <c r="Y53" s="5">
        <f>-113+145</f>
        <v>32</v>
      </c>
      <c r="Z53" s="5">
        <f>-6033+262</f>
        <v>-5771</v>
      </c>
      <c r="AA53" s="5">
        <v>-11</v>
      </c>
      <c r="AB53" s="5"/>
      <c r="AC53" s="5"/>
      <c r="AD53" s="5"/>
    </row>
    <row r="54" spans="2:49" s="4" customFormat="1" x14ac:dyDescent="0.15">
      <c r="B54" s="4" t="s">
        <v>79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  <c r="AA54" s="5">
        <v>0</v>
      </c>
      <c r="AB54" s="5"/>
      <c r="AC54" s="5"/>
      <c r="AD54" s="5"/>
    </row>
    <row r="55" spans="2:49" s="4" customFormat="1" x14ac:dyDescent="0.15">
      <c r="B55" s="4" t="s">
        <v>80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  <c r="AA55" s="5">
        <v>0</v>
      </c>
      <c r="AB55" s="5"/>
      <c r="AC55" s="5"/>
      <c r="AD55" s="5"/>
    </row>
    <row r="56" spans="2:49" s="4" customFormat="1" x14ac:dyDescent="0.15">
      <c r="B56" s="4" t="s">
        <v>81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>
        <v>-953</v>
      </c>
      <c r="Y56" s="5">
        <v>-302</v>
      </c>
      <c r="Z56" s="5">
        <v>482</v>
      </c>
      <c r="AA56" s="5">
        <v>-2661</v>
      </c>
      <c r="AB56" s="5"/>
      <c r="AC56" s="5"/>
      <c r="AD56" s="5"/>
    </row>
    <row r="57" spans="2:49" s="4" customFormat="1" x14ac:dyDescent="0.15">
      <c r="B57" s="4" t="s">
        <v>82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77">SUM(N49:N56)</f>
        <v>3019</v>
      </c>
      <c r="O57" s="5">
        <f t="shared" si="77"/>
        <v>1641</v>
      </c>
      <c r="P57" s="5">
        <f t="shared" si="77"/>
        <v>2124</v>
      </c>
      <c r="Q57" s="5">
        <f t="shared" si="77"/>
        <v>3147</v>
      </c>
      <c r="R57" s="5">
        <f t="shared" si="77"/>
        <v>4585</v>
      </c>
      <c r="S57" s="5">
        <f t="shared" ref="S57:AA57" si="78">SUM(S49:S56)</f>
        <v>3995</v>
      </c>
      <c r="T57" s="5">
        <f t="shared" si="78"/>
        <v>2351</v>
      </c>
      <c r="U57" s="5">
        <f t="shared" si="78"/>
        <v>5100</v>
      </c>
      <c r="V57" s="5">
        <f t="shared" si="78"/>
        <v>3278</v>
      </c>
      <c r="W57" s="5">
        <f t="shared" si="78"/>
        <v>2513</v>
      </c>
      <c r="X57" s="5">
        <f t="shared" si="78"/>
        <v>3065</v>
      </c>
      <c r="Y57" s="5">
        <f t="shared" si="78"/>
        <v>3308</v>
      </c>
      <c r="Z57" s="5">
        <f t="shared" si="78"/>
        <v>4370</v>
      </c>
      <c r="AA57" s="5">
        <f t="shared" si="78"/>
        <v>242</v>
      </c>
      <c r="AB57" s="5"/>
      <c r="AC57" s="5"/>
      <c r="AD57" s="5"/>
    </row>
    <row r="58" spans="2:49" s="4" customFormat="1" x14ac:dyDescent="0.1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2:49" s="4" customFormat="1" x14ac:dyDescent="0.15">
      <c r="B59" s="4" t="s">
        <v>83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>
        <v>2060</v>
      </c>
      <c r="Y59" s="5">
        <v>2460</v>
      </c>
      <c r="Z59" s="5">
        <v>2306</v>
      </c>
      <c r="AA59" s="5">
        <v>2773</v>
      </c>
      <c r="AB59" s="5"/>
      <c r="AC59" s="5"/>
      <c r="AD59" s="5"/>
    </row>
    <row r="60" spans="2:49" s="4" customFormat="1" x14ac:dyDescent="0.15">
      <c r="B60" s="4" t="s">
        <v>84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AA60" si="79">O57-O59</f>
        <v>293</v>
      </c>
      <c r="P60" s="5">
        <f t="shared" si="79"/>
        <v>619</v>
      </c>
      <c r="Q60" s="5">
        <f t="shared" si="79"/>
        <v>1328</v>
      </c>
      <c r="R60" s="5">
        <f t="shared" si="79"/>
        <v>2775</v>
      </c>
      <c r="S60" s="5">
        <f t="shared" si="79"/>
        <v>2228</v>
      </c>
      <c r="T60" s="5">
        <f t="shared" si="79"/>
        <v>621</v>
      </c>
      <c r="U60" s="5">
        <f t="shared" si="79"/>
        <v>3297</v>
      </c>
      <c r="V60" s="5">
        <f t="shared" si="79"/>
        <v>1420</v>
      </c>
      <c r="W60" s="5">
        <f t="shared" si="79"/>
        <v>441</v>
      </c>
      <c r="X60" s="5">
        <f t="shared" si="79"/>
        <v>1005</v>
      </c>
      <c r="Y60" s="5">
        <f t="shared" si="79"/>
        <v>848</v>
      </c>
      <c r="Z60" s="5">
        <f t="shared" si="79"/>
        <v>2064</v>
      </c>
      <c r="AA60" s="5">
        <f t="shared" si="79"/>
        <v>-2531</v>
      </c>
      <c r="AB60" s="5"/>
      <c r="AC60" s="5"/>
      <c r="AD60" s="5"/>
    </row>
    <row r="61" spans="2:49" s="4" customFormat="1" x14ac:dyDescent="0.15">
      <c r="B61" s="4" t="s">
        <v>85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V61" si="80">SUM(N60:Q60)</f>
        <v>4108</v>
      </c>
      <c r="R61" s="5">
        <f t="shared" si="80"/>
        <v>5015</v>
      </c>
      <c r="S61" s="5">
        <f t="shared" si="80"/>
        <v>6950</v>
      </c>
      <c r="T61" s="5">
        <f t="shared" si="80"/>
        <v>6952</v>
      </c>
      <c r="U61" s="5">
        <f t="shared" si="80"/>
        <v>8921</v>
      </c>
      <c r="V61" s="5">
        <f t="shared" si="80"/>
        <v>7566</v>
      </c>
      <c r="W61" s="5">
        <f>SUM(T60:W60)</f>
        <v>5779</v>
      </c>
      <c r="X61" s="5">
        <f>SUM(U60:X60)</f>
        <v>6163</v>
      </c>
      <c r="Y61" s="5">
        <f>SUM(V60:Y60)</f>
        <v>3714</v>
      </c>
      <c r="Z61" s="5">
        <f>SUM(W60:Z60)</f>
        <v>4358</v>
      </c>
      <c r="AA61" s="5">
        <f>SUM(X60:AA60)</f>
        <v>1386</v>
      </c>
      <c r="AB61" s="5"/>
      <c r="AC61" s="5"/>
      <c r="AD61" s="5"/>
    </row>
    <row r="62" spans="2:49" s="4" customFormat="1" x14ac:dyDescent="0.1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2:49" s="4" customFormat="1" x14ac:dyDescent="0.15">
      <c r="B63" s="4" t="s">
        <v>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AA63" si="81">X64-X81</f>
        <v>25105</v>
      </c>
      <c r="Y63" s="5">
        <f t="shared" si="81"/>
        <v>26958</v>
      </c>
      <c r="Z63" s="5">
        <f t="shared" si="81"/>
        <v>29134</v>
      </c>
      <c r="AA63" s="5">
        <f t="shared" si="81"/>
        <v>21503</v>
      </c>
      <c r="AB63" s="5"/>
      <c r="AC63" s="5"/>
      <c r="AD63" s="5"/>
      <c r="AP63" s="4">
        <f>Z63</f>
        <v>29134</v>
      </c>
      <c r="AQ63" s="4">
        <f>AP63+AQ36</f>
        <v>40810.408632925319</v>
      </c>
      <c r="AR63" s="4">
        <f t="shared" ref="AR63:AW63" si="82">AQ63+AR36</f>
        <v>60222.603323051248</v>
      </c>
      <c r="AS63" s="4">
        <f t="shared" si="82"/>
        <v>87486.026613446447</v>
      </c>
      <c r="AT63" s="4">
        <f t="shared" si="82"/>
        <v>123224.94803746909</v>
      </c>
      <c r="AU63" s="4">
        <f t="shared" si="82"/>
        <v>169525.80972710089</v>
      </c>
      <c r="AV63" s="4">
        <f t="shared" si="82"/>
        <v>226323.85134133397</v>
      </c>
      <c r="AW63" s="4">
        <f t="shared" si="82"/>
        <v>292497.96008608077</v>
      </c>
    </row>
    <row r="64" spans="2:49" s="4" customFormat="1" x14ac:dyDescent="0.15">
      <c r="B64" s="4" t="s">
        <v>87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>17576+131</f>
        <v>17707</v>
      </c>
      <c r="T64" s="5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25105</v>
      </c>
      <c r="Y64" s="5">
        <f t="shared" ref="Y64:Z64" si="83">X64+Y36</f>
        <v>26958</v>
      </c>
      <c r="Z64" s="5">
        <f t="shared" si="83"/>
        <v>29134</v>
      </c>
      <c r="AA64" s="5">
        <v>26863</v>
      </c>
      <c r="AB64" s="5"/>
      <c r="AC64" s="5"/>
      <c r="AD64" s="5"/>
    </row>
    <row r="65" spans="2:30" s="4" customFormat="1" x14ac:dyDescent="0.15">
      <c r="B65" s="4" t="s">
        <v>88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  <c r="AA65" s="5">
        <v>3887</v>
      </c>
      <c r="AB65" s="5"/>
      <c r="AC65" s="5"/>
      <c r="AD65" s="5"/>
    </row>
    <row r="66" spans="2:30" s="4" customFormat="1" x14ac:dyDescent="0.15">
      <c r="B66" s="4" t="s">
        <v>77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  <c r="AA66" s="5">
        <v>16033</v>
      </c>
      <c r="AB66" s="5"/>
      <c r="AC66" s="5"/>
      <c r="AD66" s="5"/>
    </row>
    <row r="67" spans="2:30" s="4" customFormat="1" x14ac:dyDescent="0.15">
      <c r="B67" s="4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  <c r="AA67" s="5">
        <v>3752</v>
      </c>
      <c r="AB67" s="5"/>
      <c r="AC67" s="5"/>
      <c r="AD67" s="5"/>
    </row>
    <row r="68" spans="2:30" s="4" customFormat="1" x14ac:dyDescent="0.15">
      <c r="B68" s="4" t="s">
        <v>90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  <c r="AA68" s="5">
        <v>5736</v>
      </c>
      <c r="AB68" s="5"/>
      <c r="AC68" s="5"/>
      <c r="AD68" s="5"/>
    </row>
    <row r="69" spans="2:30" s="4" customFormat="1" x14ac:dyDescent="0.15">
      <c r="B69" s="4" t="s">
        <v>91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  <c r="AA69" s="5">
        <v>5162</v>
      </c>
      <c r="AB69" s="5"/>
      <c r="AC69" s="5"/>
      <c r="AD69" s="5"/>
    </row>
    <row r="70" spans="2:30" s="4" customFormat="1" x14ac:dyDescent="0.15">
      <c r="B70" s="4" t="s">
        <v>92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  <c r="AA70" s="5">
        <v>31436</v>
      </c>
      <c r="AB70" s="5"/>
      <c r="AC70" s="5"/>
      <c r="AD70" s="5"/>
    </row>
    <row r="71" spans="2:30" s="4" customFormat="1" x14ac:dyDescent="0.15">
      <c r="B71" s="4" t="s">
        <v>93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  <c r="AA71" s="5">
        <v>4367</v>
      </c>
      <c r="AB71" s="5"/>
      <c r="AC71" s="5"/>
      <c r="AD71" s="5"/>
    </row>
    <row r="72" spans="2:30" s="4" customFormat="1" x14ac:dyDescent="0.15">
      <c r="B72" s="4" t="s">
        <v>80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  <c r="AA72" s="5">
        <v>184</v>
      </c>
      <c r="AB72" s="5"/>
      <c r="AC72" s="5"/>
      <c r="AD72" s="5"/>
    </row>
    <row r="73" spans="2:30" s="4" customFormat="1" x14ac:dyDescent="0.15">
      <c r="B73" s="4" t="s">
        <v>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  <c r="AA73" s="5">
        <v>421</v>
      </c>
      <c r="AB73" s="5"/>
      <c r="AC73" s="5"/>
      <c r="AD73" s="5"/>
    </row>
    <row r="74" spans="2:30" s="4" customFormat="1" x14ac:dyDescent="0.15">
      <c r="B74" s="4" t="s">
        <v>95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  <c r="AA74" s="5">
        <f>4616+6769</f>
        <v>11385</v>
      </c>
      <c r="AB74" s="5"/>
      <c r="AC74" s="5"/>
      <c r="AD74" s="5"/>
    </row>
    <row r="75" spans="2:30" s="4" customFormat="1" x14ac:dyDescent="0.15">
      <c r="B75" s="4" t="s">
        <v>96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AA75" si="84">SUM(T64:T74)</f>
        <v>68513</v>
      </c>
      <c r="U75" s="5">
        <f t="shared" si="84"/>
        <v>74426</v>
      </c>
      <c r="V75" s="5">
        <f t="shared" si="84"/>
        <v>0</v>
      </c>
      <c r="W75" s="5">
        <f t="shared" si="84"/>
        <v>86833</v>
      </c>
      <c r="X75" s="5">
        <f t="shared" si="84"/>
        <v>25105</v>
      </c>
      <c r="Y75" s="5">
        <f t="shared" si="84"/>
        <v>26958</v>
      </c>
      <c r="Z75" s="5">
        <f t="shared" si="84"/>
        <v>29134</v>
      </c>
      <c r="AA75" s="5">
        <f t="shared" si="84"/>
        <v>109226</v>
      </c>
      <c r="AB75" s="5"/>
      <c r="AC75" s="5"/>
      <c r="AD75" s="5"/>
    </row>
    <row r="76" spans="2:30" x14ac:dyDescent="0.15">
      <c r="S76" s="5"/>
      <c r="T76" s="5"/>
      <c r="U76" s="5"/>
    </row>
    <row r="77" spans="2:30" x14ac:dyDescent="0.15">
      <c r="B77" s="2" t="s">
        <v>97</v>
      </c>
      <c r="S77" s="5">
        <v>10025</v>
      </c>
      <c r="T77" s="5">
        <v>11212</v>
      </c>
      <c r="U77" s="5">
        <v>13897</v>
      </c>
      <c r="W77" s="5">
        <v>15904</v>
      </c>
      <c r="AA77" s="5">
        <v>14725</v>
      </c>
    </row>
    <row r="78" spans="2:30" x14ac:dyDescent="0.15">
      <c r="B78" s="2" t="s">
        <v>98</v>
      </c>
      <c r="S78" s="5">
        <v>5719</v>
      </c>
      <c r="T78" s="5">
        <v>6037</v>
      </c>
      <c r="U78" s="5">
        <v>6246</v>
      </c>
      <c r="W78" s="5">
        <v>7321</v>
      </c>
      <c r="AA78" s="5">
        <v>9243</v>
      </c>
    </row>
    <row r="79" spans="2:30" x14ac:dyDescent="0.15">
      <c r="B79" s="2" t="s">
        <v>99</v>
      </c>
      <c r="S79" s="5">
        <v>1447</v>
      </c>
      <c r="T79" s="5">
        <v>1858</v>
      </c>
      <c r="U79" s="5">
        <v>1928</v>
      </c>
      <c r="W79" s="5">
        <v>1750</v>
      </c>
      <c r="AA79" s="5">
        <v>3024</v>
      </c>
    </row>
    <row r="80" spans="2:30" x14ac:dyDescent="0.15">
      <c r="B80" s="2" t="s">
        <v>100</v>
      </c>
      <c r="S80" s="5">
        <v>925</v>
      </c>
      <c r="T80" s="5">
        <v>1182</v>
      </c>
      <c r="U80" s="5">
        <v>1083</v>
      </c>
      <c r="W80" s="5">
        <v>1057</v>
      </c>
      <c r="AA80" s="5">
        <v>0</v>
      </c>
    </row>
    <row r="81" spans="2:30" x14ac:dyDescent="0.15">
      <c r="B81" s="2" t="s">
        <v>101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/>
      <c r="Y81" s="5"/>
      <c r="Z81" s="5"/>
      <c r="AA81" s="5">
        <f>2461+2899</f>
        <v>5360</v>
      </c>
      <c r="AB81" s="5"/>
      <c r="AC81" s="5"/>
      <c r="AD81" s="5"/>
    </row>
    <row r="82" spans="2:30" x14ac:dyDescent="0.15">
      <c r="B82" s="2" t="s">
        <v>99</v>
      </c>
      <c r="S82" s="5">
        <v>2052</v>
      </c>
      <c r="T82" s="5">
        <v>2210</v>
      </c>
      <c r="U82" s="5">
        <v>2265</v>
      </c>
      <c r="W82" s="5">
        <v>2911</v>
      </c>
      <c r="AA82" s="5">
        <v>3214</v>
      </c>
    </row>
    <row r="83" spans="2:30" x14ac:dyDescent="0.15">
      <c r="B83" s="2" t="s">
        <v>102</v>
      </c>
      <c r="S83" s="5">
        <v>3546</v>
      </c>
      <c r="T83" s="5">
        <v>3926</v>
      </c>
      <c r="U83" s="5">
        <v>4330</v>
      </c>
      <c r="W83" s="5">
        <v>5979</v>
      </c>
      <c r="AA83" s="5">
        <v>8480</v>
      </c>
    </row>
    <row r="84" spans="2:30" x14ac:dyDescent="0.15">
      <c r="B84" s="2" t="s">
        <v>103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  <c r="AA84" s="5">
        <f>73+64378+729</f>
        <v>65180</v>
      </c>
    </row>
    <row r="85" spans="2:30" x14ac:dyDescent="0.15">
      <c r="B85" s="2" t="s">
        <v>104</v>
      </c>
      <c r="S85" s="5">
        <f>SUM(S77:S84)</f>
        <v>62131</v>
      </c>
      <c r="T85" s="5">
        <f t="shared" ref="T85:W85" si="85">SUM(T77:T84)</f>
        <v>68513</v>
      </c>
      <c r="U85" s="5">
        <f t="shared" si="85"/>
        <v>74426</v>
      </c>
      <c r="V85" s="5">
        <f t="shared" si="85"/>
        <v>0</v>
      </c>
      <c r="W85" s="5">
        <f t="shared" si="85"/>
        <v>86833</v>
      </c>
      <c r="AA85" s="5">
        <f t="shared" ref="AA85" si="86">SUM(AA77:AA84)</f>
        <v>109226</v>
      </c>
    </row>
    <row r="86" spans="2:30" x14ac:dyDescent="0.15">
      <c r="S86" s="5"/>
    </row>
    <row r="87" spans="2:30" x14ac:dyDescent="0.15">
      <c r="S87" s="5"/>
    </row>
    <row r="88" spans="2:30" x14ac:dyDescent="0.15">
      <c r="S88" s="5"/>
    </row>
    <row r="89" spans="2:30" x14ac:dyDescent="0.15">
      <c r="S89" s="5"/>
    </row>
  </sheetData>
  <hyperlinks>
    <hyperlink ref="A1" location="Main!A1" display="Main" xr:uid="{7C07DF6F-9B61-684E-9E62-13931794D02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brown</dc:creator>
  <cp:lastModifiedBy>harrison brown</cp:lastModifiedBy>
  <dcterms:created xsi:type="dcterms:W3CDTF">2025-01-22T15:34:43Z</dcterms:created>
  <dcterms:modified xsi:type="dcterms:W3CDTF">2025-01-22T15:39:21Z</dcterms:modified>
</cp:coreProperties>
</file>