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71adf1bf5f8282/Documents/from 2021/Uni/University/Year 3/Final Year Project/Submittables/"/>
    </mc:Choice>
  </mc:AlternateContent>
  <xr:revisionPtr revIDLastSave="0" documentId="8_{D8D6DD0C-C9F9-4273-AD44-8C544EA43C3F}" xr6:coauthVersionLast="47" xr6:coauthVersionMax="47" xr10:uidLastSave="{00000000-0000-0000-0000-000000000000}"/>
  <bookViews>
    <workbookView xWindow="-96" yWindow="-96" windowWidth="19392" windowHeight="10392" activeTab="1" xr2:uid="{9BFE91FD-9861-454E-8663-990E9A8B7CF4}"/>
  </bookViews>
  <sheets>
    <sheet name="DA" sheetId="1" r:id="rId1"/>
    <sheet name="Sheet1" sheetId="6" r:id="rId2"/>
    <sheet name="SA" sheetId="2" r:id="rId3"/>
    <sheet name="Graphs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2" i="6"/>
  <c r="N43" i="2"/>
  <c r="M43" i="2"/>
  <c r="L43" i="2"/>
  <c r="K43" i="2"/>
  <c r="J43" i="2"/>
  <c r="G43" i="2"/>
  <c r="F43" i="2"/>
  <c r="E43" i="2"/>
  <c r="D43" i="2"/>
  <c r="C43" i="2"/>
  <c r="O42" i="2"/>
  <c r="N42" i="2"/>
  <c r="M42" i="2"/>
  <c r="L42" i="2"/>
  <c r="K42" i="2"/>
  <c r="J42" i="2"/>
  <c r="G42" i="2"/>
  <c r="F42" i="2"/>
  <c r="E42" i="2"/>
  <c r="D42" i="2"/>
  <c r="C42" i="2"/>
  <c r="N41" i="2"/>
  <c r="M41" i="2"/>
  <c r="L41" i="2"/>
  <c r="K41" i="2"/>
  <c r="J41" i="2"/>
  <c r="G41" i="2"/>
  <c r="F41" i="2"/>
  <c r="E41" i="2"/>
  <c r="D41" i="2"/>
  <c r="C41" i="2"/>
  <c r="N40" i="2"/>
  <c r="M40" i="2"/>
  <c r="L40" i="2"/>
  <c r="K40" i="2"/>
  <c r="J40" i="2"/>
  <c r="H40" i="2"/>
  <c r="G40" i="2"/>
  <c r="F40" i="2"/>
  <c r="E40" i="2"/>
  <c r="D40" i="2"/>
  <c r="N39" i="2"/>
  <c r="M39" i="2"/>
  <c r="L39" i="2"/>
  <c r="K39" i="2"/>
  <c r="J39" i="2"/>
  <c r="G39" i="2"/>
  <c r="F39" i="2"/>
  <c r="E39" i="2"/>
  <c r="D39" i="2"/>
  <c r="N38" i="2"/>
  <c r="M38" i="2"/>
  <c r="L38" i="2"/>
  <c r="K38" i="2"/>
  <c r="J38" i="2"/>
  <c r="H38" i="2"/>
  <c r="G38" i="2"/>
  <c r="F38" i="2"/>
  <c r="E38" i="2"/>
  <c r="D38" i="2"/>
  <c r="N37" i="2"/>
  <c r="M37" i="2"/>
  <c r="L37" i="2"/>
  <c r="K37" i="2"/>
  <c r="F37" i="2"/>
  <c r="E37" i="2"/>
  <c r="D37" i="2"/>
  <c r="N36" i="2"/>
  <c r="M36" i="2"/>
  <c r="L36" i="2"/>
  <c r="K36" i="2"/>
  <c r="J36" i="2"/>
  <c r="I36" i="2"/>
  <c r="H36" i="2"/>
  <c r="G36" i="2"/>
  <c r="F36" i="2"/>
  <c r="E36" i="2"/>
  <c r="D36" i="2"/>
  <c r="C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N34" i="2"/>
  <c r="M34" i="2"/>
  <c r="L34" i="2"/>
  <c r="K34" i="2"/>
  <c r="J34" i="2"/>
  <c r="I34" i="2"/>
  <c r="H34" i="2"/>
  <c r="G34" i="2"/>
  <c r="F34" i="2"/>
  <c r="E34" i="2"/>
  <c r="D34" i="2"/>
  <c r="C34" i="2"/>
  <c r="N33" i="2"/>
  <c r="M33" i="2"/>
  <c r="L33" i="2"/>
  <c r="K33" i="2"/>
  <c r="J33" i="2"/>
  <c r="I33" i="2"/>
  <c r="H33" i="2"/>
  <c r="G33" i="2"/>
  <c r="F33" i="2"/>
  <c r="E33" i="2"/>
  <c r="D33" i="2"/>
  <c r="N32" i="2"/>
  <c r="M32" i="2"/>
  <c r="L32" i="2"/>
  <c r="K32" i="2"/>
  <c r="J32" i="2"/>
  <c r="I32" i="2"/>
  <c r="H32" i="2"/>
  <c r="G32" i="2"/>
  <c r="F32" i="2"/>
  <c r="E32" i="2"/>
  <c r="D32" i="2"/>
  <c r="N31" i="2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C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N27" i="2"/>
  <c r="M27" i="2"/>
  <c r="L27" i="2"/>
  <c r="K27" i="2"/>
  <c r="J27" i="2"/>
  <c r="I27" i="2"/>
  <c r="H27" i="2"/>
  <c r="G27" i="2"/>
  <c r="F27" i="2"/>
  <c r="E27" i="2"/>
  <c r="D27" i="2"/>
  <c r="C27" i="2"/>
  <c r="N26" i="2"/>
  <c r="M26" i="2"/>
  <c r="L26" i="2"/>
  <c r="K26" i="2"/>
  <c r="J26" i="2"/>
  <c r="I26" i="2"/>
  <c r="H26" i="2"/>
  <c r="G26" i="2"/>
  <c r="F26" i="2"/>
  <c r="E26" i="2"/>
  <c r="D26" i="2"/>
  <c r="N25" i="2"/>
  <c r="M25" i="2"/>
  <c r="L25" i="2"/>
  <c r="K25" i="2"/>
  <c r="J25" i="2"/>
  <c r="I25" i="2"/>
  <c r="H25" i="2"/>
  <c r="G25" i="2"/>
  <c r="F25" i="2"/>
  <c r="E25" i="2"/>
  <c r="D25" i="2"/>
  <c r="N24" i="2"/>
  <c r="M24" i="2"/>
  <c r="L24" i="2"/>
  <c r="K24" i="2"/>
  <c r="J24" i="2"/>
  <c r="I24" i="2"/>
  <c r="H24" i="2"/>
  <c r="G24" i="2"/>
  <c r="F24" i="2"/>
  <c r="E24" i="2"/>
  <c r="D24" i="2"/>
  <c r="N23" i="2"/>
  <c r="M23" i="2"/>
  <c r="L23" i="2"/>
  <c r="K23" i="2"/>
  <c r="J23" i="2"/>
  <c r="I23" i="2"/>
  <c r="H23" i="2"/>
  <c r="G23" i="2"/>
  <c r="F23" i="2"/>
  <c r="E23" i="2"/>
  <c r="D23" i="2"/>
  <c r="N22" i="2"/>
  <c r="M22" i="2"/>
  <c r="L22" i="2"/>
  <c r="K22" i="2"/>
  <c r="J22" i="2"/>
  <c r="I22" i="2"/>
  <c r="H22" i="2"/>
  <c r="G22" i="2"/>
  <c r="F22" i="2"/>
  <c r="E22" i="2"/>
  <c r="D22" i="2"/>
  <c r="C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N20" i="2"/>
  <c r="M20" i="2"/>
  <c r="L20" i="2"/>
  <c r="K20" i="2"/>
  <c r="J20" i="2"/>
  <c r="I20" i="2"/>
  <c r="H20" i="2"/>
  <c r="G20" i="2"/>
  <c r="F20" i="2"/>
  <c r="E20" i="2"/>
  <c r="D20" i="2"/>
  <c r="C20" i="2"/>
  <c r="N19" i="2"/>
  <c r="M19" i="2"/>
  <c r="L19" i="2"/>
  <c r="K19" i="2"/>
  <c r="J19" i="2"/>
  <c r="I19" i="2"/>
  <c r="H19" i="2"/>
  <c r="G19" i="2"/>
  <c r="F19" i="2"/>
  <c r="E19" i="2"/>
  <c r="D19" i="2"/>
  <c r="N18" i="2"/>
  <c r="M18" i="2"/>
  <c r="L18" i="2"/>
  <c r="K18" i="2"/>
  <c r="J18" i="2"/>
  <c r="I18" i="2"/>
  <c r="H18" i="2"/>
  <c r="G18" i="2"/>
  <c r="F18" i="2"/>
  <c r="E18" i="2"/>
  <c r="D18" i="2"/>
  <c r="N17" i="2"/>
  <c r="M17" i="2"/>
  <c r="L17" i="2"/>
  <c r="K17" i="2"/>
  <c r="J17" i="2"/>
  <c r="I17" i="2"/>
  <c r="H17" i="2"/>
  <c r="G17" i="2"/>
  <c r="F17" i="2"/>
  <c r="E17" i="2"/>
  <c r="D17" i="2"/>
  <c r="N16" i="2"/>
  <c r="M16" i="2"/>
  <c r="L16" i="2"/>
  <c r="K16" i="2"/>
  <c r="J16" i="2"/>
  <c r="I16" i="2"/>
  <c r="H16" i="2"/>
  <c r="G16" i="2"/>
  <c r="F16" i="2"/>
  <c r="E16" i="2"/>
  <c r="D16" i="2"/>
  <c r="N15" i="2"/>
  <c r="M15" i="2"/>
  <c r="L15" i="2"/>
  <c r="K15" i="2"/>
  <c r="J15" i="2"/>
  <c r="I15" i="2"/>
  <c r="H15" i="2"/>
  <c r="G15" i="2"/>
  <c r="F15" i="2"/>
  <c r="E15" i="2"/>
  <c r="D15" i="2"/>
  <c r="C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N13" i="2"/>
  <c r="M13" i="2"/>
  <c r="L13" i="2"/>
  <c r="K13" i="2"/>
  <c r="J13" i="2"/>
  <c r="I13" i="2"/>
  <c r="H13" i="2"/>
  <c r="G13" i="2"/>
  <c r="F13" i="2"/>
  <c r="E13" i="2"/>
  <c r="D13" i="2"/>
  <c r="C13" i="2"/>
  <c r="N12" i="2"/>
  <c r="M12" i="2"/>
  <c r="L12" i="2"/>
  <c r="K12" i="2"/>
  <c r="J12" i="2"/>
  <c r="I12" i="2"/>
  <c r="H12" i="2"/>
  <c r="G12" i="2"/>
  <c r="F12" i="2"/>
  <c r="E12" i="2"/>
  <c r="D12" i="2"/>
  <c r="N11" i="2"/>
  <c r="M11" i="2"/>
  <c r="L11" i="2"/>
  <c r="K11" i="2"/>
  <c r="J11" i="2"/>
  <c r="I11" i="2"/>
  <c r="H11" i="2"/>
  <c r="G11" i="2"/>
  <c r="F11" i="2"/>
  <c r="E11" i="2"/>
  <c r="D11" i="2"/>
  <c r="N10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O7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M4" i="2"/>
  <c r="L4" i="2"/>
  <c r="K4" i="2"/>
  <c r="J4" i="2"/>
  <c r="I4" i="2"/>
  <c r="H4" i="2"/>
  <c r="G4" i="2"/>
  <c r="F4" i="2"/>
  <c r="E4" i="2"/>
  <c r="N3" i="2"/>
  <c r="M3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N43" i="1"/>
  <c r="M43" i="1"/>
  <c r="L43" i="1"/>
  <c r="K43" i="1"/>
  <c r="J43" i="1"/>
  <c r="G43" i="1"/>
  <c r="F43" i="1"/>
  <c r="E43" i="1"/>
  <c r="D43" i="1"/>
  <c r="C43" i="1"/>
  <c r="O42" i="1"/>
  <c r="N42" i="1"/>
  <c r="M42" i="1"/>
  <c r="L42" i="1"/>
  <c r="K42" i="1"/>
  <c r="J42" i="1"/>
  <c r="G42" i="1"/>
  <c r="F42" i="1"/>
  <c r="E42" i="1"/>
  <c r="D42" i="1"/>
  <c r="C42" i="1"/>
  <c r="N41" i="1"/>
  <c r="M41" i="1"/>
  <c r="L41" i="1"/>
  <c r="K41" i="1"/>
  <c r="J41" i="1"/>
  <c r="G41" i="1"/>
  <c r="F41" i="1"/>
  <c r="E41" i="1"/>
  <c r="D41" i="1"/>
  <c r="C41" i="1"/>
  <c r="N40" i="1"/>
  <c r="M40" i="1"/>
  <c r="L40" i="1"/>
  <c r="K40" i="1"/>
  <c r="J40" i="1"/>
  <c r="H40" i="1"/>
  <c r="G40" i="1"/>
  <c r="F40" i="1"/>
  <c r="E40" i="1"/>
  <c r="D40" i="1"/>
  <c r="N39" i="1"/>
  <c r="M39" i="1"/>
  <c r="L39" i="1"/>
  <c r="K39" i="1"/>
  <c r="J39" i="1"/>
  <c r="G39" i="1"/>
  <c r="F39" i="1"/>
  <c r="E39" i="1"/>
  <c r="D39" i="1"/>
  <c r="N38" i="1"/>
  <c r="M38" i="1"/>
  <c r="L38" i="1"/>
  <c r="K38" i="1"/>
  <c r="J38" i="1"/>
  <c r="H38" i="1"/>
  <c r="G38" i="1"/>
  <c r="F38" i="1"/>
  <c r="E38" i="1"/>
  <c r="D38" i="1"/>
  <c r="N37" i="1"/>
  <c r="M37" i="1"/>
  <c r="L37" i="1"/>
  <c r="K37" i="1"/>
  <c r="J37" i="1"/>
  <c r="G37" i="1"/>
  <c r="F37" i="1"/>
  <c r="E37" i="1"/>
  <c r="D37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N32" i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N25" i="1"/>
  <c r="M25" i="1"/>
  <c r="L25" i="1"/>
  <c r="K25" i="1"/>
  <c r="J25" i="1"/>
  <c r="I25" i="1"/>
  <c r="H25" i="1"/>
  <c r="G25" i="1"/>
  <c r="F25" i="1"/>
  <c r="E25" i="1"/>
  <c r="D25" i="1"/>
  <c r="N24" i="1"/>
  <c r="M24" i="1"/>
  <c r="L24" i="1"/>
  <c r="K24" i="1"/>
  <c r="J24" i="1"/>
  <c r="I24" i="1"/>
  <c r="H24" i="1"/>
  <c r="G24" i="1"/>
  <c r="F24" i="1"/>
  <c r="E24" i="1"/>
  <c r="D24" i="1"/>
  <c r="N23" i="1"/>
  <c r="M23" i="1"/>
  <c r="L23" i="1"/>
  <c r="K23" i="1"/>
  <c r="J23" i="1"/>
  <c r="I23" i="1"/>
  <c r="H23" i="1"/>
  <c r="G23" i="1"/>
  <c r="F23" i="1"/>
  <c r="E23" i="1"/>
  <c r="D23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N18" i="1"/>
  <c r="M18" i="1"/>
  <c r="L18" i="1"/>
  <c r="K18" i="1"/>
  <c r="J18" i="1"/>
  <c r="I18" i="1"/>
  <c r="H18" i="1"/>
  <c r="G18" i="1"/>
  <c r="F18" i="1"/>
  <c r="E18" i="1"/>
  <c r="D18" i="1"/>
  <c r="N17" i="1"/>
  <c r="M17" i="1"/>
  <c r="L17" i="1"/>
  <c r="K17" i="1"/>
  <c r="J17" i="1"/>
  <c r="I17" i="1"/>
  <c r="H17" i="1"/>
  <c r="G17" i="1"/>
  <c r="F17" i="1"/>
  <c r="E17" i="1"/>
  <c r="D17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N11" i="1"/>
  <c r="M11" i="1"/>
  <c r="L11" i="1"/>
  <c r="K11" i="1"/>
  <c r="J11" i="1"/>
  <c r="I11" i="1"/>
  <c r="H11" i="1"/>
  <c r="G11" i="1"/>
  <c r="F11" i="1"/>
  <c r="E11" i="1"/>
  <c r="D11" i="1"/>
  <c r="N10" i="1"/>
  <c r="M10" i="1"/>
  <c r="L10" i="1"/>
  <c r="K10" i="1"/>
  <c r="J10" i="1"/>
  <c r="I10" i="1"/>
  <c r="H10" i="1"/>
  <c r="G10" i="1"/>
  <c r="F10" i="1"/>
  <c r="E10" i="1"/>
  <c r="D10" i="1"/>
  <c r="N9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O7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N3" i="1"/>
  <c r="M3" i="1"/>
  <c r="L3" i="1"/>
  <c r="K3" i="1"/>
  <c r="J3" i="1"/>
  <c r="I3" i="1"/>
  <c r="H3" i="1"/>
  <c r="G3" i="1"/>
  <c r="F3" i="1"/>
  <c r="E3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<sst xmlns="http://schemas.openxmlformats.org/spreadsheetml/2006/main" count="115" uniqueCount="23">
  <si>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</si>
  <si>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</si>
  <si>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</si>
  <si>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</si>
  <si>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</si>
  <si>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</si>
  <si>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</si>
  <si>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</si>
  <si>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</si>
  <si>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</si>
  <si>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</si>
  <si>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</si>
  <si>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Scenario</t>
  </si>
  <si>
    <t>Power Yield</t>
  </si>
  <si>
    <t>Irradiance on Array</t>
  </si>
  <si>
    <t>Maximum Irradiance</t>
  </si>
  <si>
    <t>Parameter</t>
  </si>
  <si>
    <t>%Yield Array</t>
  </si>
  <si>
    <t>%Max Irrad</t>
  </si>
  <si>
    <t>Maximum Power</t>
  </si>
  <si>
    <t>%MPPT Efficiency</t>
  </si>
  <si>
    <t>Dual axis</t>
  </si>
  <si>
    <t>Single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</si>
</sst>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4" borderId="0" xfId="0" applyFill="1"/>
    <xf numFmtId="164" fontId="0" fillId="2" borderId="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Yearly</a:t>
            </a:r>
            <a:r>
              <a:rPr lang="en-GB" baseline="0"/>
              <a:t> % MPPT Efficiency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Dual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Sheet1!$B$2:$B$7</c:f>
              <c:numCache>
                <c:formatCode>0.00%</c:formatCode>
                <c:ptCount val="6"/>
                <c:pt idx="0">
                  <c:v>0.87746704632001438</c:v>
                </c:pt>
                <c:pt idx="1">
                  <c:v>0.8991526793035477</c:v>
                </c:pt>
                <c:pt idx="2">
                  <c:v>0.98984774118019914</c:v>
                </c:pt>
                <c:pt idx="3">
                  <c:v>0.98865633166760791</c:v>
                </c:pt>
                <c:pt idx="4">
                  <c:v>0.94634989892230159</c:v>
                </c:pt>
                <c:pt idx="5">
                  <c:v>0.57623242222631033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9-41B2-AFE4-BCAD597C7E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Single Axis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Sheet1!$C$2:$C$7</c:f>
              <c:numCache>
                <c:formatCode>0.00%</c:formatCode>
                <c:ptCount val="6"/>
                <c:pt idx="0">
                  <c:v>0.43648040068130012</c:v>
                </c:pt>
                <c:pt idx="1">
                  <c:v>0.46711808262571308</c:v>
                </c:pt>
                <c:pt idx="2">
                  <c:v>0.84360471406388438</c:v>
                </c:pt>
                <c:pt idx="3">
                  <c:v>0.95018384656700017</c:v>
                </c:pt>
                <c:pt idx="4">
                  <c:v>0.83942929223997576</c:v>
                </c:pt>
                <c:pt idx="5">
                  <c:v>0.39336719769477663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9-41B2-AFE4-BCAD597C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973871"/>
        <c:axId val="275958991"/>
      </c:barChart>
      <c:catAx>
        <c:axId val="27597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58991"/>
        <c:crosses val="autoZero"/>
        <c:auto val="1"/>
        <c:lblAlgn val="ctr"/>
        <c:lblOffset val="100"/>
        <c:noMultiLvlLbl val="0"/>
      </c:catAx>
      <c:valAx>
        <c:axId val="2759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MPPT Tracking Efficiency as % of Maximum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DA!$C$34:$N$34</c:f>
              <c:numCache>
                <c:formatCode>0.00%</c:formatCode>
                <c:ptCount val="12"/>
                <c:pt idx="0">
                  <c:v>0.18907333357193287</c:v>
                </c:pt>
                <c:pt idx="1">
                  <c:v>0.18750949236632944</c:v>
                </c:pt>
                <c:pt idx="2">
                  <c:v>0.18367487574402844</c:v>
                </c:pt>
                <c:pt idx="3">
                  <c:v>0.1781221148177399</c:v>
                </c:pt>
                <c:pt idx="4">
                  <c:v>0.16807588744620156</c:v>
                </c:pt>
                <c:pt idx="5">
                  <c:v>0.16161468206100299</c:v>
                </c:pt>
                <c:pt idx="6">
                  <c:v>0.14486091466289486</c:v>
                </c:pt>
                <c:pt idx="7">
                  <c:v>0.17084598698481554</c:v>
                </c:pt>
                <c:pt idx="8">
                  <c:v>0.16050512795935984</c:v>
                </c:pt>
                <c:pt idx="9">
                  <c:v>0.18421465250284191</c:v>
                </c:pt>
                <c:pt idx="10">
                  <c:v>0.18820171265461469</c:v>
                </c:pt>
                <c:pt idx="11">
                  <c:v>0.18799262279169088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4-4C95-838B-A9AD5C9E8FA6}"/>
            </c:ext>
          </c:extLst>
        </c:ser>
        <c:ser>
          <c:idx val="1"/>
          <c:order val="1"/>
          <c:tx>
            <c:v>5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SA!$C$34:$N$34</c:f>
              <c:numCache>
                <c:formatCode>0.00%</c:formatCode>
                <c:ptCount val="12"/>
                <c:pt idx="0">
                  <c:v>0.18837770742706175</c:v>
                </c:pt>
                <c:pt idx="1">
                  <c:v>0.18720139727632371</c:v>
                </c:pt>
                <c:pt idx="2">
                  <c:v>0.17885968765881938</c:v>
                </c:pt>
                <c:pt idx="3">
                  <c:v>0.15816082492574993</c:v>
                </c:pt>
                <c:pt idx="4">
                  <c:v>0.12770080488884694</c:v>
                </c:pt>
                <c:pt idx="5">
                  <c:v>0.10108564535585049</c:v>
                </c:pt>
                <c:pt idx="6">
                  <c:v>0.10308816595945321</c:v>
                </c:pt>
                <c:pt idx="7">
                  <c:v>0.12573287883483117</c:v>
                </c:pt>
                <c:pt idx="8">
                  <c:v>0.15463912585066603</c:v>
                </c:pt>
                <c:pt idx="9">
                  <c:v>0.1760534671318256</c:v>
                </c:pt>
                <c:pt idx="10">
                  <c:v>0.18659779801549534</c:v>
                </c:pt>
                <c:pt idx="11">
                  <c:v>0.18807998446903523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4-4C95-838B-A9AD5C9E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Difference Between</a:t>
            </a:r>
            <a:r>
              <a:rPr lang="en-GB" baseline="0"/>
              <a:t> Maximum and Incident Irradiance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DA!$C$36:$N$36</c:f>
              <c:numCache>
                <c:formatCode>0.00%</c:formatCode>
                <c:ptCount val="12"/>
                <c:pt idx="0">
                  <c:v>7.8542633943823326E-3</c:v>
                </c:pt>
                <c:pt idx="1">
                  <c:v>1.4771930078325335E-2</c:v>
                </c:pt>
                <c:pt idx="2">
                  <c:v>2.4877036118217899E-2</c:v>
                </c:pt>
                <c:pt idx="3">
                  <c:v>3.4271793902045489E-2</c:v>
                </c:pt>
                <c:pt idx="4">
                  <c:v>5.30762140467258E-2</c:v>
                </c:pt>
                <c:pt idx="5">
                  <c:v>6.0830604859555382E-2</c:v>
                </c:pt>
                <c:pt idx="6">
                  <c:v>0.16548797736916554</c:v>
                </c:pt>
                <c:pt idx="7">
                  <c:v>6.5633715525255654E-2</c:v>
                </c:pt>
                <c:pt idx="8">
                  <c:v>0.13807150388191314</c:v>
                </c:pt>
                <c:pt idx="9">
                  <c:v>3.1790208145505816E-2</c:v>
                </c:pt>
                <c:pt idx="10">
                  <c:v>1.4204159304064157E-2</c:v>
                </c:pt>
                <c:pt idx="11">
                  <c:v>1.3298388662395633E-2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6-4479-887D-ACDE309428E2}"/>
            </c:ext>
          </c:extLst>
        </c:ser>
        <c:ser>
          <c:idx val="1"/>
          <c:order val="1"/>
          <c:tx>
            <c:v>5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SA!$C$36:$N$36</c:f>
              <c:numCache>
                <c:formatCode>0.00%</c:formatCode>
                <c:ptCount val="12"/>
                <c:pt idx="0">
                  <c:v>1.1140429934699658E-2</c:v>
                </c:pt>
                <c:pt idx="1">
                  <c:v>1.6091821015556396E-2</c:v>
                </c:pt>
                <c:pt idx="2">
                  <c:v>4.6782265636440279E-2</c:v>
                </c:pt>
                <c:pt idx="3">
                  <c:v>0.1277433564333309</c:v>
                </c:pt>
                <c:pt idx="4">
                  <c:v>0.23395484203421313</c:v>
                </c:pt>
                <c:pt idx="5">
                  <c:v>0.31871445803894538</c:v>
                </c:pt>
                <c:pt idx="6">
                  <c:v>0.33097595473833097</c:v>
                </c:pt>
                <c:pt idx="7">
                  <c:v>0.26563371552525561</c:v>
                </c:pt>
                <c:pt idx="8">
                  <c:v>0.15839164190549215</c:v>
                </c:pt>
                <c:pt idx="9">
                  <c:v>6.8362667084786999E-2</c:v>
                </c:pt>
                <c:pt idx="10">
                  <c:v>2.1680032621992695E-2</c:v>
                </c:pt>
                <c:pt idx="11">
                  <c:v>1.1939429237041388E-2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6-4479-887D-ACDE3094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61955060266089"/>
          <c:y val="0.17210137792068203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MPPT Tracking Efficiency as % of Maximum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DA!$C$41:$N$41</c:f>
              <c:numCache>
                <c:formatCode>0.00%</c:formatCode>
                <c:ptCount val="12"/>
                <c:pt idx="0">
                  <c:v>0.16558616511112256</c:v>
                </c:pt>
                <c:pt idx="1">
                  <c:v>0.15853743525846459</c:v>
                </c:pt>
                <c:pt idx="2">
                  <c:v>0.10428790952117523</c:v>
                </c:pt>
                <c:pt idx="3">
                  <c:v>2.2774646389450155E-2</c:v>
                </c:pt>
                <c:pt idx="4">
                  <c:v>1.0245901639381689E-3</c:v>
                </c:pt>
                <c:pt idx="5">
                  <c:v>0</c:v>
                </c:pt>
                <c:pt idx="6">
                  <c:v>0</c:v>
                </c:pt>
                <c:pt idx="7">
                  <c:v>8.2878581173270287E-3</c:v>
                </c:pt>
                <c:pt idx="8">
                  <c:v>5.8396919219057569E-2</c:v>
                </c:pt>
                <c:pt idx="9">
                  <c:v>0.14002268627852063</c:v>
                </c:pt>
                <c:pt idx="10">
                  <c:v>0.16920736583580059</c:v>
                </c:pt>
                <c:pt idx="11">
                  <c:v>0.14519772420009014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D-4459-9A94-D8E7B4CCC0C3}"/>
            </c:ext>
          </c:extLst>
        </c:ser>
        <c:ser>
          <c:idx val="1"/>
          <c:order val="1"/>
          <c:tx>
            <c:v>6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SA!$C$41:$N$41</c:f>
              <c:numCache>
                <c:formatCode>0.00%</c:formatCode>
                <c:ptCount val="12"/>
                <c:pt idx="0">
                  <c:v>0.14133385757747641</c:v>
                </c:pt>
                <c:pt idx="1">
                  <c:v>0.12466487511021239</c:v>
                </c:pt>
                <c:pt idx="2">
                  <c:v>5.3384965271375033E-2</c:v>
                </c:pt>
                <c:pt idx="3">
                  <c:v>8.2792725725830702E-3</c:v>
                </c:pt>
                <c:pt idx="4">
                  <c:v>1.0245901639344415E-3</c:v>
                </c:pt>
                <c:pt idx="5">
                  <c:v>0</c:v>
                </c:pt>
                <c:pt idx="6">
                  <c:v>0</c:v>
                </c:pt>
                <c:pt idx="7">
                  <c:v>1.7053206002728472E-4</c:v>
                </c:pt>
                <c:pt idx="8">
                  <c:v>2.2255060003582273E-2</c:v>
                </c:pt>
                <c:pt idx="9">
                  <c:v>9.1023423892494348E-2</c:v>
                </c:pt>
                <c:pt idx="10">
                  <c:v>0.13602342964176672</c:v>
                </c:pt>
                <c:pt idx="11">
                  <c:v>0.1420853988283011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D-4459-9A94-D8E7B4CC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Difference Between</a:t>
            </a:r>
            <a:r>
              <a:rPr lang="en-GB" baseline="0"/>
              <a:t> Maximum and Incident Irradiance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DA!$C$43:$N$43</c:f>
              <c:numCache>
                <c:formatCode>0.00%</c:formatCode>
                <c:ptCount val="12"/>
                <c:pt idx="0">
                  <c:v>5.0962331769195068E-2</c:v>
                </c:pt>
                <c:pt idx="1">
                  <c:v>4.7421689800271394E-2</c:v>
                </c:pt>
                <c:pt idx="2">
                  <c:v>0.14190177638453538</c:v>
                </c:pt>
                <c:pt idx="3">
                  <c:v>0.36695735403594554</c:v>
                </c:pt>
                <c:pt idx="4">
                  <c:v>0.65163934426228987</c:v>
                </c:pt>
                <c:pt idx="5">
                  <c:v>0</c:v>
                </c:pt>
                <c:pt idx="6">
                  <c:v>0</c:v>
                </c:pt>
                <c:pt idx="7">
                  <c:v>0.56650750341063483</c:v>
                </c:pt>
                <c:pt idx="8">
                  <c:v>0.36138276912054512</c:v>
                </c:pt>
                <c:pt idx="9">
                  <c:v>0.15794856537181312</c:v>
                </c:pt>
                <c:pt idx="10">
                  <c:v>5.7973435506285864E-2</c:v>
                </c:pt>
                <c:pt idx="11">
                  <c:v>0.17097791798107242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F-42F4-910A-9B4EC04D775C}"/>
            </c:ext>
          </c:extLst>
        </c:ser>
        <c:ser>
          <c:idx val="1"/>
          <c:order val="1"/>
          <c:tx>
            <c:v>5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SA!$C$43:$N$43</c:f>
              <c:numCache>
                <c:formatCode>0.00%</c:formatCode>
                <c:ptCount val="12"/>
                <c:pt idx="0">
                  <c:v>0.18517312947970921</c:v>
                </c:pt>
                <c:pt idx="1">
                  <c:v>0.20422159687867936</c:v>
                </c:pt>
                <c:pt idx="2">
                  <c:v>0.32040076218575153</c:v>
                </c:pt>
                <c:pt idx="3">
                  <c:v>0.53695629054557248</c:v>
                </c:pt>
                <c:pt idx="4">
                  <c:v>0.75922131147540628</c:v>
                </c:pt>
                <c:pt idx="5">
                  <c:v>0</c:v>
                </c:pt>
                <c:pt idx="6">
                  <c:v>0</c:v>
                </c:pt>
                <c:pt idx="7">
                  <c:v>0.81087994542973885</c:v>
                </c:pt>
                <c:pt idx="8">
                  <c:v>0.53985312555973552</c:v>
                </c:pt>
                <c:pt idx="9">
                  <c:v>0.33328374583929865</c:v>
                </c:pt>
                <c:pt idx="10">
                  <c:v>0.21455253720415279</c:v>
                </c:pt>
                <c:pt idx="11">
                  <c:v>0.19837483100495734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F-42F4-910A-9B4EC04D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61955060266089"/>
          <c:y val="0.17210137792068203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of Double Axis MPPT Tracker in 6 Latitutes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DA!$C$6:$N$6</c:f>
              <c:numCache>
                <c:formatCode>0.00%</c:formatCode>
                <c:ptCount val="12"/>
                <c:pt idx="0">
                  <c:v>0</c:v>
                </c:pt>
                <c:pt idx="1">
                  <c:v>1.7245363461948413E-2</c:v>
                </c:pt>
                <c:pt idx="2">
                  <c:v>9.3192504198077827E-2</c:v>
                </c:pt>
                <c:pt idx="3">
                  <c:v>0.15768221961565715</c:v>
                </c:pt>
                <c:pt idx="4">
                  <c:v>0.16800080709557214</c:v>
                </c:pt>
                <c:pt idx="5">
                  <c:v>0.15993640567877407</c:v>
                </c:pt>
                <c:pt idx="6">
                  <c:v>0.15607143568200382</c:v>
                </c:pt>
                <c:pt idx="7">
                  <c:v>0.14218109241732024</c:v>
                </c:pt>
                <c:pt idx="8">
                  <c:v>9.3334404111789324E-2</c:v>
                </c:pt>
                <c:pt idx="9">
                  <c:v>3.0107526881719509E-2</c:v>
                </c:pt>
                <c:pt idx="10">
                  <c:v>2.8571428571428571E-3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C-416E-8835-48C0DE3B8A14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DA!$C$13:$N$13</c:f>
              <c:numCache>
                <c:formatCode>0.00%</c:formatCode>
                <c:ptCount val="12"/>
                <c:pt idx="0">
                  <c:v>2.6889500041047537E-2</c:v>
                </c:pt>
                <c:pt idx="1">
                  <c:v>7.3358295210126268E-2</c:v>
                </c:pt>
                <c:pt idx="2">
                  <c:v>0.143147081864265</c:v>
                </c:pt>
                <c:pt idx="3">
                  <c:v>0.16904547950676449</c:v>
                </c:pt>
                <c:pt idx="4">
                  <c:v>0.17300593805167708</c:v>
                </c:pt>
                <c:pt idx="5">
                  <c:v>0.17344244862103239</c:v>
                </c:pt>
                <c:pt idx="6">
                  <c:v>0.17296658544564958</c:v>
                </c:pt>
                <c:pt idx="7">
                  <c:v>0.16498559546338379</c:v>
                </c:pt>
                <c:pt idx="8">
                  <c:v>0.1482281059063135</c:v>
                </c:pt>
                <c:pt idx="9">
                  <c:v>9.119523606975817E-2</c:v>
                </c:pt>
                <c:pt idx="10">
                  <c:v>3.7342152736018368E-2</c:v>
                </c:pt>
                <c:pt idx="11">
                  <c:v>1.6317365269463258E-2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C-416E-8835-48C0DE3B8A14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DA!$C$20:$N$20</c:f>
              <c:numCache>
                <c:formatCode>0.00%</c:formatCode>
                <c:ptCount val="12"/>
                <c:pt idx="0">
                  <c:v>0.17726681396741487</c:v>
                </c:pt>
                <c:pt idx="1">
                  <c:v>0.18163983317411872</c:v>
                </c:pt>
                <c:pt idx="2">
                  <c:v>0.18551558206745347</c:v>
                </c:pt>
                <c:pt idx="3">
                  <c:v>0.18649486279649913</c:v>
                </c:pt>
                <c:pt idx="4">
                  <c:v>0.18804314448027015</c:v>
                </c:pt>
                <c:pt idx="5">
                  <c:v>0.18841017262200754</c:v>
                </c:pt>
                <c:pt idx="6">
                  <c:v>0.18809506344898416</c:v>
                </c:pt>
                <c:pt idx="7">
                  <c:v>0.18850107394906421</c:v>
                </c:pt>
                <c:pt idx="8">
                  <c:v>0.18638593080288093</c:v>
                </c:pt>
                <c:pt idx="9">
                  <c:v>0.18477396021699796</c:v>
                </c:pt>
                <c:pt idx="10">
                  <c:v>0.18003874717468527</c:v>
                </c:pt>
                <c:pt idx="11">
                  <c:v>0.17562247521116406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C-416E-8835-48C0DE3B8A14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DA!$C$27:$N$27</c:f>
              <c:numCache>
                <c:formatCode>0.00%</c:formatCode>
                <c:ptCount val="12"/>
                <c:pt idx="0">
                  <c:v>0.18400100578325371</c:v>
                </c:pt>
                <c:pt idx="1">
                  <c:v>0.18446205200105775</c:v>
                </c:pt>
                <c:pt idx="2">
                  <c:v>0.18515968015507636</c:v>
                </c:pt>
                <c:pt idx="3">
                  <c:v>0.18345541990381067</c:v>
                </c:pt>
                <c:pt idx="4">
                  <c:v>0.18190682335644193</c:v>
                </c:pt>
                <c:pt idx="5">
                  <c:v>0.17945603096108356</c:v>
                </c:pt>
                <c:pt idx="6">
                  <c:v>0.1797138092420249</c:v>
                </c:pt>
                <c:pt idx="7">
                  <c:v>0.18233217329903678</c:v>
                </c:pt>
                <c:pt idx="8">
                  <c:v>0.18367979842031296</c:v>
                </c:pt>
                <c:pt idx="9">
                  <c:v>0.18467341575002447</c:v>
                </c:pt>
                <c:pt idx="10">
                  <c:v>0.18401155551128129</c:v>
                </c:pt>
                <c:pt idx="11">
                  <c:v>0.18360797038990026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C-416E-8835-48C0DE3B8A14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DA!$C$34:$N$34</c:f>
              <c:numCache>
                <c:formatCode>0.00%</c:formatCode>
                <c:ptCount val="12"/>
                <c:pt idx="0">
                  <c:v>0.18907333357193287</c:v>
                </c:pt>
                <c:pt idx="1">
                  <c:v>0.18750949236632944</c:v>
                </c:pt>
                <c:pt idx="2">
                  <c:v>0.18367487574402844</c:v>
                </c:pt>
                <c:pt idx="3">
                  <c:v>0.1781221148177399</c:v>
                </c:pt>
                <c:pt idx="4">
                  <c:v>0.16807588744620156</c:v>
                </c:pt>
                <c:pt idx="5">
                  <c:v>0.16161468206100299</c:v>
                </c:pt>
                <c:pt idx="6">
                  <c:v>0.14486091466289486</c:v>
                </c:pt>
                <c:pt idx="7">
                  <c:v>0.17084598698481554</c:v>
                </c:pt>
                <c:pt idx="8">
                  <c:v>0.16050512795935984</c:v>
                </c:pt>
                <c:pt idx="9">
                  <c:v>0.18421465250284191</c:v>
                </c:pt>
                <c:pt idx="10">
                  <c:v>0.18820171265461469</c:v>
                </c:pt>
                <c:pt idx="11">
                  <c:v>0.18799262279169088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0C-416E-8835-48C0DE3B8A14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DA!$C$41:$N$41</c:f>
              <c:numCache>
                <c:formatCode>0.00%</c:formatCode>
                <c:ptCount val="12"/>
                <c:pt idx="0">
                  <c:v>0.16558616511112256</c:v>
                </c:pt>
                <c:pt idx="1">
                  <c:v>0.15853743525846459</c:v>
                </c:pt>
                <c:pt idx="2">
                  <c:v>0.10428790952117523</c:v>
                </c:pt>
                <c:pt idx="3">
                  <c:v>2.2774646389450155E-2</c:v>
                </c:pt>
                <c:pt idx="4">
                  <c:v>1.0245901639381689E-3</c:v>
                </c:pt>
                <c:pt idx="5">
                  <c:v>0</c:v>
                </c:pt>
                <c:pt idx="6">
                  <c:v>0</c:v>
                </c:pt>
                <c:pt idx="7">
                  <c:v>8.2878581173270287E-3</c:v>
                </c:pt>
                <c:pt idx="8">
                  <c:v>5.8396919219057569E-2</c:v>
                </c:pt>
                <c:pt idx="9">
                  <c:v>0.14002268627852063</c:v>
                </c:pt>
                <c:pt idx="10">
                  <c:v>0.16920736583580059</c:v>
                </c:pt>
                <c:pt idx="11">
                  <c:v>0.14519772420009014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0C-416E-8835-48C0DE3B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44367"/>
        <c:axId val="291037647"/>
      </c:lineChart>
      <c:catAx>
        <c:axId val="291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37647"/>
        <c:crosses val="autoZero"/>
        <c:auto val="1"/>
        <c:lblAlgn val="ctr"/>
        <c:lblOffset val="100"/>
        <c:noMultiLvlLbl val="0"/>
      </c:catAx>
      <c:valAx>
        <c:axId val="2910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of Single Axis MPPT Tracker in 6 Latitutes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SA!$C$6:$N$6</c:f>
              <c:numCache>
                <c:formatCode>0.00%</c:formatCode>
                <c:ptCount val="12"/>
                <c:pt idx="0">
                  <c:v>0</c:v>
                </c:pt>
                <c:pt idx="1">
                  <c:v>1.456420095217793E-3</c:v>
                </c:pt>
                <c:pt idx="2">
                  <c:v>2.4712499066191586E-2</c:v>
                </c:pt>
                <c:pt idx="3">
                  <c:v>8.9891329791966249E-2</c:v>
                </c:pt>
                <c:pt idx="4">
                  <c:v>0.12970455150385946</c:v>
                </c:pt>
                <c:pt idx="5">
                  <c:v>0.13071945216142022</c:v>
                </c:pt>
                <c:pt idx="6">
                  <c:v>0.12679883329683245</c:v>
                </c:pt>
                <c:pt idx="7">
                  <c:v>9.1232282912073359E-2</c:v>
                </c:pt>
                <c:pt idx="8">
                  <c:v>3.9945390298747011E-2</c:v>
                </c:pt>
                <c:pt idx="9">
                  <c:v>6.8311195445927208E-3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9-4699-9AA8-34B670EC289F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SA!$C$13:$N$13</c:f>
              <c:numCache>
                <c:formatCode>0.00%</c:formatCode>
                <c:ptCount val="12"/>
                <c:pt idx="0">
                  <c:v>2.8745915770462195E-3</c:v>
                </c:pt>
                <c:pt idx="1">
                  <c:v>1.4186935965769485E-2</c:v>
                </c:pt>
                <c:pt idx="2">
                  <c:v>5.0877880162289314E-2</c:v>
                </c:pt>
                <c:pt idx="3">
                  <c:v>0.11500499226199391</c:v>
                </c:pt>
                <c:pt idx="4">
                  <c:v>0.14183267132081526</c:v>
                </c:pt>
                <c:pt idx="5">
                  <c:v>0.15168088401877153</c:v>
                </c:pt>
                <c:pt idx="6">
                  <c:v>0.15199642562417301</c:v>
                </c:pt>
                <c:pt idx="7">
                  <c:v>0.13659922872323124</c:v>
                </c:pt>
                <c:pt idx="8">
                  <c:v>8.4704684317718867E-2</c:v>
                </c:pt>
                <c:pt idx="9">
                  <c:v>3.0582730752871351E-2</c:v>
                </c:pt>
                <c:pt idx="10">
                  <c:v>6.6145520144317502E-3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9-4699-9AA8-34B670EC289F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DA!$C$20:$N$20</c:f>
              <c:numCache>
                <c:formatCode>0.00%</c:formatCode>
                <c:ptCount val="12"/>
                <c:pt idx="0">
                  <c:v>0.17726681396741487</c:v>
                </c:pt>
                <c:pt idx="1">
                  <c:v>0.18163983317411872</c:v>
                </c:pt>
                <c:pt idx="2">
                  <c:v>0.18551558206745347</c:v>
                </c:pt>
                <c:pt idx="3">
                  <c:v>0.18649486279649913</c:v>
                </c:pt>
                <c:pt idx="4">
                  <c:v>0.18804314448027015</c:v>
                </c:pt>
                <c:pt idx="5">
                  <c:v>0.18841017262200754</c:v>
                </c:pt>
                <c:pt idx="6">
                  <c:v>0.18809506344898416</c:v>
                </c:pt>
                <c:pt idx="7">
                  <c:v>0.18850107394906421</c:v>
                </c:pt>
                <c:pt idx="8">
                  <c:v>0.18638593080288093</c:v>
                </c:pt>
                <c:pt idx="9">
                  <c:v>0.18477396021699796</c:v>
                </c:pt>
                <c:pt idx="10">
                  <c:v>0.18003874717468527</c:v>
                </c:pt>
                <c:pt idx="11">
                  <c:v>0.17562247521116406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9-4699-9AA8-34B670EC289F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SA!$C$27:$N$27</c:f>
              <c:numCache>
                <c:formatCode>0.00%</c:formatCode>
                <c:ptCount val="12"/>
                <c:pt idx="0">
                  <c:v>0.16804174000502892</c:v>
                </c:pt>
                <c:pt idx="1">
                  <c:v>0.1752418682859409</c:v>
                </c:pt>
                <c:pt idx="2">
                  <c:v>0.1834703174218561</c:v>
                </c:pt>
                <c:pt idx="3">
                  <c:v>0.18451103711925029</c:v>
                </c:pt>
                <c:pt idx="4">
                  <c:v>0.17717447903372366</c:v>
                </c:pt>
                <c:pt idx="5">
                  <c:v>0.16774887121049234</c:v>
                </c:pt>
                <c:pt idx="6">
                  <c:v>0.16623809779977411</c:v>
                </c:pt>
                <c:pt idx="7">
                  <c:v>0.17439350380793869</c:v>
                </c:pt>
                <c:pt idx="8">
                  <c:v>0.18338421282163106</c:v>
                </c:pt>
                <c:pt idx="9">
                  <c:v>0.18464421298549583</c:v>
                </c:pt>
                <c:pt idx="10">
                  <c:v>0.17730238581461397</c:v>
                </c:pt>
                <c:pt idx="11">
                  <c:v>0.16903615068701486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9-4699-9AA8-34B670EC289F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SA!$C$34:$N$34</c:f>
              <c:numCache>
                <c:formatCode>0.00%</c:formatCode>
                <c:ptCount val="12"/>
                <c:pt idx="0">
                  <c:v>0.18837770742706175</c:v>
                </c:pt>
                <c:pt idx="1">
                  <c:v>0.18720139727632371</c:v>
                </c:pt>
                <c:pt idx="2">
                  <c:v>0.17885968765881938</c:v>
                </c:pt>
                <c:pt idx="3">
                  <c:v>0.15816082492574993</c:v>
                </c:pt>
                <c:pt idx="4">
                  <c:v>0.12770080488884694</c:v>
                </c:pt>
                <c:pt idx="5">
                  <c:v>0.10108564535585049</c:v>
                </c:pt>
                <c:pt idx="6">
                  <c:v>0.10308816595945321</c:v>
                </c:pt>
                <c:pt idx="7">
                  <c:v>0.12573287883483117</c:v>
                </c:pt>
                <c:pt idx="8">
                  <c:v>0.15463912585066603</c:v>
                </c:pt>
                <c:pt idx="9">
                  <c:v>0.1760534671318256</c:v>
                </c:pt>
                <c:pt idx="10">
                  <c:v>0.18659779801549534</c:v>
                </c:pt>
                <c:pt idx="11">
                  <c:v>0.18807998446903523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9-4699-9AA8-34B670EC289F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DA!$C$41:$N$41</c:f>
              <c:numCache>
                <c:formatCode>0.00%</c:formatCode>
                <c:ptCount val="12"/>
                <c:pt idx="0">
                  <c:v>0.16558616511112256</c:v>
                </c:pt>
                <c:pt idx="1">
                  <c:v>0.15853743525846459</c:v>
                </c:pt>
                <c:pt idx="2">
                  <c:v>0.10428790952117523</c:v>
                </c:pt>
                <c:pt idx="3">
                  <c:v>2.2774646389450155E-2</c:v>
                </c:pt>
                <c:pt idx="4">
                  <c:v>1.0245901639381689E-3</c:v>
                </c:pt>
                <c:pt idx="5">
                  <c:v>0</c:v>
                </c:pt>
                <c:pt idx="6">
                  <c:v>0</c:v>
                </c:pt>
                <c:pt idx="7">
                  <c:v>8.2878581173270287E-3</c:v>
                </c:pt>
                <c:pt idx="8">
                  <c:v>5.8396919219057569E-2</c:v>
                </c:pt>
                <c:pt idx="9">
                  <c:v>0.14002268627852063</c:v>
                </c:pt>
                <c:pt idx="10">
                  <c:v>0.16920736583580059</c:v>
                </c:pt>
                <c:pt idx="11">
                  <c:v>0.14519772420009014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89-4699-9AA8-34B670EC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44367"/>
        <c:axId val="291037647"/>
      </c:lineChart>
      <c:catAx>
        <c:axId val="291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37647"/>
        <c:crosses val="autoZero"/>
        <c:auto val="1"/>
        <c:lblAlgn val="ctr"/>
        <c:lblOffset val="100"/>
        <c:noMultiLvlLbl val="0"/>
      </c:catAx>
      <c:valAx>
        <c:axId val="2910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MPPT</a:t>
            </a:r>
            <a:r>
              <a:rPr lang="en-GB" baseline="0"/>
              <a:t> Tracking Efficiency</a:t>
            </a:r>
            <a:r>
              <a:rPr lang="en-GB"/>
              <a:t> as % of Maximum Power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DA!$C$7:$N$7</c:f>
              <c:numCache>
                <c:formatCode>0.00%</c:formatCode>
                <c:ptCount val="12"/>
                <c:pt idx="0">
                  <c:v>0</c:v>
                </c:pt>
                <c:pt idx="1">
                  <c:v>0.59906694312796205</c:v>
                </c:pt>
                <c:pt idx="2">
                  <c:v>0.76664141657047591</c:v>
                </c:pt>
                <c:pt idx="3">
                  <c:v>0.92719692562493694</c:v>
                </c:pt>
                <c:pt idx="4">
                  <c:v>0.9629349842763425</c:v>
                </c:pt>
                <c:pt idx="5">
                  <c:v>0.97653560106982695</c:v>
                </c:pt>
                <c:pt idx="6">
                  <c:v>0.98427347207835003</c:v>
                </c:pt>
                <c:pt idx="7">
                  <c:v>0.98679725123099515</c:v>
                </c:pt>
                <c:pt idx="8">
                  <c:v>0.96817727424191879</c:v>
                </c:pt>
                <c:pt idx="9">
                  <c:v>0.85304659498206392</c:v>
                </c:pt>
                <c:pt idx="10">
                  <c:v>0.74999999999727152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B-4C24-BC14-CCBF49BE3C5B}"/>
            </c:ext>
          </c:extLst>
        </c:ser>
        <c:ser>
          <c:idx val="1"/>
          <c:order val="1"/>
          <c:tx>
            <c:v>1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SA!$C$7:$N$7</c:f>
              <c:numCache>
                <c:formatCode>0.00%</c:formatCode>
                <c:ptCount val="12"/>
                <c:pt idx="0">
                  <c:v>0</c:v>
                </c:pt>
                <c:pt idx="1">
                  <c:v>5.0592910742496049E-2</c:v>
                </c:pt>
                <c:pt idx="2">
                  <c:v>0.20329559178743958</c:v>
                </c:pt>
                <c:pt idx="3">
                  <c:v>0.52857554153285402</c:v>
                </c:pt>
                <c:pt idx="4">
                  <c:v>0.74343125144564137</c:v>
                </c:pt>
                <c:pt idx="5">
                  <c:v>0.79814347612860181</c:v>
                </c:pt>
                <c:pt idx="6">
                  <c:v>0.79966412405436771</c:v>
                </c:pt>
                <c:pt idx="7">
                  <c:v>0.63319084465126441</c:v>
                </c:pt>
                <c:pt idx="8">
                  <c:v>0.41436187937353985</c:v>
                </c:pt>
                <c:pt idx="9">
                  <c:v>0.19354838709679628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B-4C24-BC14-CCBF49BE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MPPT</a:t>
            </a:r>
            <a:r>
              <a:rPr lang="en-GB" baseline="0"/>
              <a:t> Tracking Efficiency</a:t>
            </a:r>
            <a:r>
              <a:rPr lang="en-GB"/>
              <a:t> as % of Maximum Power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DA!$C$14:$N$14</c:f>
              <c:numCache>
                <c:formatCode>0.00%</c:formatCode>
                <c:ptCount val="12"/>
                <c:pt idx="0">
                  <c:v>0.68596554056742676</c:v>
                </c:pt>
                <c:pt idx="1">
                  <c:v>0.77789063034773942</c:v>
                </c:pt>
                <c:pt idx="2">
                  <c:v>0.90979054804478188</c:v>
                </c:pt>
                <c:pt idx="3">
                  <c:v>0.97250762879195807</c:v>
                </c:pt>
                <c:pt idx="4">
                  <c:v>0.98321780372126988</c:v>
                </c:pt>
                <c:pt idx="5">
                  <c:v>0.98897477538279788</c:v>
                </c:pt>
                <c:pt idx="6">
                  <c:v>0.991823934591477</c:v>
                </c:pt>
                <c:pt idx="7">
                  <c:v>0.99221713794047495</c:v>
                </c:pt>
                <c:pt idx="8">
                  <c:v>0.98852292020373411</c:v>
                </c:pt>
                <c:pt idx="9">
                  <c:v>0.95628902765388391</c:v>
                </c:pt>
                <c:pt idx="10">
                  <c:v>0.83021390374330417</c:v>
                </c:pt>
                <c:pt idx="11">
                  <c:v>0.7124183006537238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4-48B6-ADCA-A7F4AFC72F9F}"/>
            </c:ext>
          </c:extLst>
        </c:ser>
        <c:ser>
          <c:idx val="1"/>
          <c:order val="1"/>
          <c:tx>
            <c:v>2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SA!$C$14:$N$14</c:f>
              <c:numCache>
                <c:formatCode>0.00%</c:formatCode>
                <c:ptCount val="12"/>
                <c:pt idx="0">
                  <c:v>7.3332369960355109E-2</c:v>
                </c:pt>
                <c:pt idx="1">
                  <c:v>0.15043812740610232</c:v>
                </c:pt>
                <c:pt idx="2">
                  <c:v>0.32336121612382823</c:v>
                </c:pt>
                <c:pt idx="3">
                  <c:v>0.66161622688924782</c:v>
                </c:pt>
                <c:pt idx="4">
                  <c:v>0.80605561382707058</c:v>
                </c:pt>
                <c:pt idx="5">
                  <c:v>0.8648895895726999</c:v>
                </c:pt>
                <c:pt idx="6">
                  <c:v>0.87157697261578104</c:v>
                </c:pt>
                <c:pt idx="7">
                  <c:v>0.82150260080566317</c:v>
                </c:pt>
                <c:pt idx="8">
                  <c:v>0.5648896434634969</c:v>
                </c:pt>
                <c:pt idx="9">
                  <c:v>0.32069580731489883</c:v>
                </c:pt>
                <c:pt idx="10">
                  <c:v>0.14705882352941319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4-48B6-ADCA-A7F4AFC72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MPPT</a:t>
            </a:r>
            <a:r>
              <a:rPr lang="en-GB" baseline="0"/>
              <a:t> Tracking Efficiency</a:t>
            </a:r>
            <a:r>
              <a:rPr lang="en-GB"/>
              <a:t> as % of Maximum Power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DA!$C$21:$N$21</c:f>
              <c:numCache>
                <c:formatCode>0.00%</c:formatCode>
                <c:ptCount val="12"/>
                <c:pt idx="0">
                  <c:v>0.9801485056193886</c:v>
                </c:pt>
                <c:pt idx="1">
                  <c:v>0.98380578297288357</c:v>
                </c:pt>
                <c:pt idx="2">
                  <c:v>0.9878703338690602</c:v>
                </c:pt>
                <c:pt idx="3">
                  <c:v>0.99065447848351473</c:v>
                </c:pt>
                <c:pt idx="4">
                  <c:v>0.993047109381334</c:v>
                </c:pt>
                <c:pt idx="5">
                  <c:v>0.99443215477484892</c:v>
                </c:pt>
                <c:pt idx="6">
                  <c:v>0.99445435507639834</c:v>
                </c:pt>
                <c:pt idx="7">
                  <c:v>0.99483816117082724</c:v>
                </c:pt>
                <c:pt idx="8">
                  <c:v>0.9939909510792706</c:v>
                </c:pt>
                <c:pt idx="9">
                  <c:v>0.99366508293740019</c:v>
                </c:pt>
                <c:pt idx="10">
                  <c:v>0.98840672197404911</c:v>
                </c:pt>
                <c:pt idx="11">
                  <c:v>0.98285925682341158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8-4881-91E4-5F65F3158ABB}"/>
            </c:ext>
          </c:extLst>
        </c:ser>
        <c:ser>
          <c:idx val="1"/>
          <c:order val="1"/>
          <c:tx>
            <c:v>3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SA!$C$21:$N$21</c:f>
              <c:numCache>
                <c:formatCode>0.00%</c:formatCode>
                <c:ptCount val="12"/>
                <c:pt idx="0">
                  <c:v>0.6066465969682322</c:v>
                </c:pt>
                <c:pt idx="1">
                  <c:v>0.69710535863581158</c:v>
                </c:pt>
                <c:pt idx="2">
                  <c:v>0.81897736806461063</c:v>
                </c:pt>
                <c:pt idx="3">
                  <c:v>0.92338064863893665</c:v>
                </c:pt>
                <c:pt idx="4">
                  <c:v>0.97678991324089803</c:v>
                </c:pt>
                <c:pt idx="5">
                  <c:v>0.9894267181582993</c:v>
                </c:pt>
                <c:pt idx="6">
                  <c:v>0.99038237803459195</c:v>
                </c:pt>
                <c:pt idx="7">
                  <c:v>0.98512175866885354</c:v>
                </c:pt>
                <c:pt idx="8">
                  <c:v>0.94582430012253549</c:v>
                </c:pt>
                <c:pt idx="9">
                  <c:v>0.85671417854463694</c:v>
                </c:pt>
                <c:pt idx="10">
                  <c:v>0.7182868893143306</c:v>
                </c:pt>
                <c:pt idx="11">
                  <c:v>0.6146004603748747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8-4881-91E4-5F65F315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MPPT</a:t>
            </a:r>
            <a:r>
              <a:rPr lang="en-GB" baseline="0"/>
              <a:t> Tracking Efficiency</a:t>
            </a:r>
            <a:r>
              <a:rPr lang="en-GB"/>
              <a:t> as % of Maximum Power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DA!$C$28:$N$28</c:f>
              <c:numCache>
                <c:formatCode>0.00%</c:formatCode>
                <c:ptCount val="12"/>
                <c:pt idx="0">
                  <c:v>0.99294410099705277</c:v>
                </c:pt>
                <c:pt idx="1">
                  <c:v>0.99305100407215996</c:v>
                </c:pt>
                <c:pt idx="2">
                  <c:v>0.99375000000000002</c:v>
                </c:pt>
                <c:pt idx="3">
                  <c:v>0.98851766206841585</c:v>
                </c:pt>
                <c:pt idx="4">
                  <c:v>0.98496282168228388</c:v>
                </c:pt>
                <c:pt idx="5">
                  <c:v>0.97822965806205786</c:v>
                </c:pt>
                <c:pt idx="6">
                  <c:v>0.97910316529894514</c:v>
                </c:pt>
                <c:pt idx="7">
                  <c:v>0.98463843115892746</c:v>
                </c:pt>
                <c:pt idx="8">
                  <c:v>0.98801021737997186</c:v>
                </c:pt>
                <c:pt idx="9">
                  <c:v>0.9939747989416603</c:v>
                </c:pt>
                <c:pt idx="10">
                  <c:v>0.99330519183717325</c:v>
                </c:pt>
                <c:pt idx="11">
                  <c:v>0.99338892851264649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A-47A8-A18A-37193428A1F3}"/>
            </c:ext>
          </c:extLst>
        </c:ser>
        <c:ser>
          <c:idx val="1"/>
          <c:order val="1"/>
          <c:tx>
            <c:v>4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SA!$C$21:$N$21</c:f>
              <c:numCache>
                <c:formatCode>0.00%</c:formatCode>
                <c:ptCount val="12"/>
                <c:pt idx="0">
                  <c:v>0.6066465969682322</c:v>
                </c:pt>
                <c:pt idx="1">
                  <c:v>0.69710535863581158</c:v>
                </c:pt>
                <c:pt idx="2">
                  <c:v>0.81897736806461063</c:v>
                </c:pt>
                <c:pt idx="3">
                  <c:v>0.92338064863893665</c:v>
                </c:pt>
                <c:pt idx="4">
                  <c:v>0.97678991324089803</c:v>
                </c:pt>
                <c:pt idx="5">
                  <c:v>0.9894267181582993</c:v>
                </c:pt>
                <c:pt idx="6">
                  <c:v>0.99038237803459195</c:v>
                </c:pt>
                <c:pt idx="7">
                  <c:v>0.98512175866885354</c:v>
                </c:pt>
                <c:pt idx="8">
                  <c:v>0.94582430012253549</c:v>
                </c:pt>
                <c:pt idx="9">
                  <c:v>0.85671417854463694</c:v>
                </c:pt>
                <c:pt idx="10">
                  <c:v>0.7182868893143306</c:v>
                </c:pt>
                <c:pt idx="11">
                  <c:v>0.6146004603748747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A-47A8-A18A-37193428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MPPT</a:t>
            </a:r>
            <a:r>
              <a:rPr lang="en-GB" baseline="0"/>
              <a:t> Tracking Efficiency</a:t>
            </a:r>
            <a:r>
              <a:rPr lang="en-GB"/>
              <a:t> as % of Maximum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DA!$C$6:$N$6</c:f>
              <c:numCache>
                <c:formatCode>0.00%</c:formatCode>
                <c:ptCount val="12"/>
                <c:pt idx="0">
                  <c:v>0</c:v>
                </c:pt>
                <c:pt idx="1">
                  <c:v>1.7245363461948413E-2</c:v>
                </c:pt>
                <c:pt idx="2">
                  <c:v>9.3192504198077827E-2</c:v>
                </c:pt>
                <c:pt idx="3">
                  <c:v>0.15768221961565715</c:v>
                </c:pt>
                <c:pt idx="4">
                  <c:v>0.16800080709557214</c:v>
                </c:pt>
                <c:pt idx="5">
                  <c:v>0.15993640567877407</c:v>
                </c:pt>
                <c:pt idx="6">
                  <c:v>0.15607143568200382</c:v>
                </c:pt>
                <c:pt idx="7">
                  <c:v>0.14218109241732024</c:v>
                </c:pt>
                <c:pt idx="8">
                  <c:v>9.3334404111789324E-2</c:v>
                </c:pt>
                <c:pt idx="9">
                  <c:v>3.0107526881719509E-2</c:v>
                </c:pt>
                <c:pt idx="10">
                  <c:v>2.8571428571428571E-3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2-454D-9D6C-F9AA2D86B74A}"/>
            </c:ext>
          </c:extLst>
        </c:ser>
        <c:ser>
          <c:idx val="1"/>
          <c:order val="1"/>
          <c:tx>
            <c:v>1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SA!$C$6:$N$6</c:f>
              <c:numCache>
                <c:formatCode>0.00%</c:formatCode>
                <c:ptCount val="12"/>
                <c:pt idx="0">
                  <c:v>0</c:v>
                </c:pt>
                <c:pt idx="1">
                  <c:v>1.456420095217793E-3</c:v>
                </c:pt>
                <c:pt idx="2">
                  <c:v>2.4712499066191586E-2</c:v>
                </c:pt>
                <c:pt idx="3">
                  <c:v>8.9891329791966249E-2</c:v>
                </c:pt>
                <c:pt idx="4">
                  <c:v>0.12970455150385946</c:v>
                </c:pt>
                <c:pt idx="5">
                  <c:v>0.13071945216142022</c:v>
                </c:pt>
                <c:pt idx="6">
                  <c:v>0.12679883329683245</c:v>
                </c:pt>
                <c:pt idx="7">
                  <c:v>9.1232282912073359E-2</c:v>
                </c:pt>
                <c:pt idx="8">
                  <c:v>3.9945390298747011E-2</c:v>
                </c:pt>
                <c:pt idx="9">
                  <c:v>6.8311195445927208E-3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2-454D-9D6C-F9AA2D86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MPPT</a:t>
            </a:r>
            <a:r>
              <a:rPr lang="en-GB" baseline="0"/>
              <a:t> Tracking Efficiency</a:t>
            </a:r>
            <a:r>
              <a:rPr lang="en-GB"/>
              <a:t> as % of Maximum Power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DA!$C$35:$N$35</c:f>
              <c:numCache>
                <c:formatCode>0.00%</c:formatCode>
                <c:ptCount val="12"/>
                <c:pt idx="0">
                  <c:v>0.99237338643159512</c:v>
                </c:pt>
                <c:pt idx="1">
                  <c:v>0.98551008345386115</c:v>
                </c:pt>
                <c:pt idx="2">
                  <c:v>0.97481027704123602</c:v>
                </c:pt>
                <c:pt idx="3">
                  <c:v>0.96548189683759966</c:v>
                </c:pt>
                <c:pt idx="4">
                  <c:v>0.94230143229166552</c:v>
                </c:pt>
                <c:pt idx="5">
                  <c:v>0.93860088070456504</c:v>
                </c:pt>
                <c:pt idx="6">
                  <c:v>0.82413161071125163</c:v>
                </c:pt>
                <c:pt idx="7">
                  <c:v>0.9325755269122773</c:v>
                </c:pt>
                <c:pt idx="8">
                  <c:v>0.85678835478011739</c:v>
                </c:pt>
                <c:pt idx="9">
                  <c:v>0.96994902066004862</c:v>
                </c:pt>
                <c:pt idx="10">
                  <c:v>0.98625258209274214</c:v>
                </c:pt>
                <c:pt idx="11">
                  <c:v>0.98742373515065907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F-4723-A35A-918774244C15}"/>
            </c:ext>
          </c:extLst>
        </c:ser>
        <c:ser>
          <c:idx val="1"/>
          <c:order val="1"/>
          <c:tx>
            <c:v>5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SA!$C$35:$N$35</c:f>
              <c:numCache>
                <c:formatCode>0.00%</c:formatCode>
                <c:ptCount val="12"/>
                <c:pt idx="0">
                  <c:v>0.9887223116870254</c:v>
                </c:pt>
                <c:pt idx="1">
                  <c:v>0.98389080106963878</c:v>
                </c:pt>
                <c:pt idx="2">
                  <c:v>0.94925482307762599</c:v>
                </c:pt>
                <c:pt idx="3">
                  <c:v>0.85728497784209101</c:v>
                </c:pt>
                <c:pt idx="4">
                  <c:v>0.71594238281249933</c:v>
                </c:pt>
                <c:pt idx="5">
                  <c:v>0.5870696557245807</c:v>
                </c:pt>
                <c:pt idx="6">
                  <c:v>0.5864812910724666</c:v>
                </c:pt>
                <c:pt idx="7">
                  <c:v>0.68632227071281238</c:v>
                </c:pt>
                <c:pt idx="8">
                  <c:v>0.82547519762592947</c:v>
                </c:pt>
                <c:pt idx="9">
                  <c:v>0.92697777135662918</c:v>
                </c:pt>
                <c:pt idx="10">
                  <c:v>0.97784742503027255</c:v>
                </c:pt>
                <c:pt idx="11">
                  <c:v>0.98788259886813568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F-4723-A35A-91877424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MPPT</a:t>
            </a:r>
            <a:r>
              <a:rPr lang="en-GB" baseline="0"/>
              <a:t> Tracking Efficiency</a:t>
            </a:r>
            <a:r>
              <a:rPr lang="en-GB"/>
              <a:t> as % of Maximum Power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DA!$C$42:$N$42</c:f>
              <c:numCache>
                <c:formatCode>0.00%</c:formatCode>
                <c:ptCount val="12"/>
                <c:pt idx="0">
                  <c:v>0.94449336291726471</c:v>
                </c:pt>
                <c:pt idx="1">
                  <c:v>0.95146975414848689</c:v>
                </c:pt>
                <c:pt idx="2">
                  <c:v>0.81984846434853209</c:v>
                </c:pt>
                <c:pt idx="3">
                  <c:v>0.51683359478702129</c:v>
                </c:pt>
                <c:pt idx="4">
                  <c:v>0.27027027027066886</c:v>
                </c:pt>
                <c:pt idx="5">
                  <c:v>0</c:v>
                </c:pt>
                <c:pt idx="6">
                  <c:v>0</c:v>
                </c:pt>
                <c:pt idx="7">
                  <c:v>0.31661237785019331</c:v>
                </c:pt>
                <c:pt idx="8">
                  <c:v>0.52695123725170001</c:v>
                </c:pt>
                <c:pt idx="9">
                  <c:v>0.81951750408126245</c:v>
                </c:pt>
                <c:pt idx="10">
                  <c:v>0.93400168723391741</c:v>
                </c:pt>
                <c:pt idx="11">
                  <c:v>0.8147908138266764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7-46E9-BF9D-4B5CA3B86C15}"/>
            </c:ext>
          </c:extLst>
        </c:ser>
        <c:ser>
          <c:idx val="1"/>
          <c:order val="1"/>
          <c:tx>
            <c:v>6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SA!$C$42:$N$42</c:f>
              <c:numCache>
                <c:formatCode>0.00%</c:formatCode>
                <c:ptCount val="12"/>
                <c:pt idx="0">
                  <c:v>0.80615968337595056</c:v>
                </c:pt>
                <c:pt idx="1">
                  <c:v>0.7481820169393244</c:v>
                </c:pt>
                <c:pt idx="2">
                  <c:v>0.41968030616386753</c:v>
                </c:pt>
                <c:pt idx="3">
                  <c:v>0.18788463859056234</c:v>
                </c:pt>
                <c:pt idx="4">
                  <c:v>0.27027027026968564</c:v>
                </c:pt>
                <c:pt idx="5">
                  <c:v>0</c:v>
                </c:pt>
                <c:pt idx="6">
                  <c:v>0</c:v>
                </c:pt>
                <c:pt idx="7">
                  <c:v>6.514657980455872E-3</c:v>
                </c:pt>
                <c:pt idx="8">
                  <c:v>0.20082106317984222</c:v>
                </c:pt>
                <c:pt idx="9">
                  <c:v>0.53273716669689819</c:v>
                </c:pt>
                <c:pt idx="10">
                  <c:v>0.7508308646092875</c:v>
                </c:pt>
                <c:pt idx="11">
                  <c:v>0.79732570453144525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7-46E9-BF9D-4B5CA3B8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of Double Axis MPPT Tracker in 6 Latitutes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DA!$C$7:$N$7</c:f>
              <c:numCache>
                <c:formatCode>0.00%</c:formatCode>
                <c:ptCount val="12"/>
                <c:pt idx="0">
                  <c:v>0</c:v>
                </c:pt>
                <c:pt idx="1">
                  <c:v>0.59906694312796205</c:v>
                </c:pt>
                <c:pt idx="2">
                  <c:v>0.76664141657047591</c:v>
                </c:pt>
                <c:pt idx="3">
                  <c:v>0.92719692562493694</c:v>
                </c:pt>
                <c:pt idx="4">
                  <c:v>0.9629349842763425</c:v>
                </c:pt>
                <c:pt idx="5">
                  <c:v>0.97653560106982695</c:v>
                </c:pt>
                <c:pt idx="6">
                  <c:v>0.98427347207835003</c:v>
                </c:pt>
                <c:pt idx="7">
                  <c:v>0.98679725123099515</c:v>
                </c:pt>
                <c:pt idx="8">
                  <c:v>0.96817727424191879</c:v>
                </c:pt>
                <c:pt idx="9">
                  <c:v>0.85304659498206392</c:v>
                </c:pt>
                <c:pt idx="10">
                  <c:v>0.74999999999727152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C-4557-B487-3EDF87929F8D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DA!$C$14:$N$14</c:f>
              <c:numCache>
                <c:formatCode>0.00%</c:formatCode>
                <c:ptCount val="12"/>
                <c:pt idx="0">
                  <c:v>0.68596554056742676</c:v>
                </c:pt>
                <c:pt idx="1">
                  <c:v>0.77789063034773942</c:v>
                </c:pt>
                <c:pt idx="2">
                  <c:v>0.90979054804478188</c:v>
                </c:pt>
                <c:pt idx="3">
                  <c:v>0.97250762879195807</c:v>
                </c:pt>
                <c:pt idx="4">
                  <c:v>0.98321780372126988</c:v>
                </c:pt>
                <c:pt idx="5">
                  <c:v>0.98897477538279788</c:v>
                </c:pt>
                <c:pt idx="6">
                  <c:v>0.991823934591477</c:v>
                </c:pt>
                <c:pt idx="7">
                  <c:v>0.99221713794047495</c:v>
                </c:pt>
                <c:pt idx="8">
                  <c:v>0.98852292020373411</c:v>
                </c:pt>
                <c:pt idx="9">
                  <c:v>0.95628902765388391</c:v>
                </c:pt>
                <c:pt idx="10">
                  <c:v>0.83021390374330417</c:v>
                </c:pt>
                <c:pt idx="11">
                  <c:v>0.7124183006537238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C-4557-B487-3EDF87929F8D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DA!$C$21:$N$21</c:f>
              <c:numCache>
                <c:formatCode>0.00%</c:formatCode>
                <c:ptCount val="12"/>
                <c:pt idx="0">
                  <c:v>0.9801485056193886</c:v>
                </c:pt>
                <c:pt idx="1">
                  <c:v>0.98380578297288357</c:v>
                </c:pt>
                <c:pt idx="2">
                  <c:v>0.9878703338690602</c:v>
                </c:pt>
                <c:pt idx="3">
                  <c:v>0.99065447848351473</c:v>
                </c:pt>
                <c:pt idx="4">
                  <c:v>0.993047109381334</c:v>
                </c:pt>
                <c:pt idx="5">
                  <c:v>0.99443215477484892</c:v>
                </c:pt>
                <c:pt idx="6">
                  <c:v>0.99445435507639834</c:v>
                </c:pt>
                <c:pt idx="7">
                  <c:v>0.99483816117082724</c:v>
                </c:pt>
                <c:pt idx="8">
                  <c:v>0.9939909510792706</c:v>
                </c:pt>
                <c:pt idx="9">
                  <c:v>0.99366508293740019</c:v>
                </c:pt>
                <c:pt idx="10">
                  <c:v>0.98840672197404911</c:v>
                </c:pt>
                <c:pt idx="11">
                  <c:v>0.98285925682341158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C-4557-B487-3EDF87929F8D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DA!$C$28:$N$28</c:f>
              <c:numCache>
                <c:formatCode>0.00%</c:formatCode>
                <c:ptCount val="12"/>
                <c:pt idx="0">
                  <c:v>0.99294410099705277</c:v>
                </c:pt>
                <c:pt idx="1">
                  <c:v>0.99305100407215996</c:v>
                </c:pt>
                <c:pt idx="2">
                  <c:v>0.99375000000000002</c:v>
                </c:pt>
                <c:pt idx="3">
                  <c:v>0.98851766206841585</c:v>
                </c:pt>
                <c:pt idx="4">
                  <c:v>0.98496282168228388</c:v>
                </c:pt>
                <c:pt idx="5">
                  <c:v>0.97822965806205786</c:v>
                </c:pt>
                <c:pt idx="6">
                  <c:v>0.97910316529894514</c:v>
                </c:pt>
                <c:pt idx="7">
                  <c:v>0.98463843115892746</c:v>
                </c:pt>
                <c:pt idx="8">
                  <c:v>0.98801021737997186</c:v>
                </c:pt>
                <c:pt idx="9">
                  <c:v>0.9939747989416603</c:v>
                </c:pt>
                <c:pt idx="10">
                  <c:v>0.99330519183717325</c:v>
                </c:pt>
                <c:pt idx="11">
                  <c:v>0.99338892851264649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C-4557-B487-3EDF87929F8D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DA!$C$35:$N$35</c:f>
              <c:numCache>
                <c:formatCode>0.00%</c:formatCode>
                <c:ptCount val="12"/>
                <c:pt idx="0">
                  <c:v>0.99237338643159512</c:v>
                </c:pt>
                <c:pt idx="1">
                  <c:v>0.98551008345386115</c:v>
                </c:pt>
                <c:pt idx="2">
                  <c:v>0.97481027704123602</c:v>
                </c:pt>
                <c:pt idx="3">
                  <c:v>0.96548189683759966</c:v>
                </c:pt>
                <c:pt idx="4">
                  <c:v>0.94230143229166552</c:v>
                </c:pt>
                <c:pt idx="5">
                  <c:v>0.93860088070456504</c:v>
                </c:pt>
                <c:pt idx="6">
                  <c:v>0.82413161071125163</c:v>
                </c:pt>
                <c:pt idx="7">
                  <c:v>0.9325755269122773</c:v>
                </c:pt>
                <c:pt idx="8">
                  <c:v>0.85678835478011739</c:v>
                </c:pt>
                <c:pt idx="9">
                  <c:v>0.96994902066004862</c:v>
                </c:pt>
                <c:pt idx="10">
                  <c:v>0.98625258209274214</c:v>
                </c:pt>
                <c:pt idx="11">
                  <c:v>0.98742373515065907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C-4557-B487-3EDF87929F8D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DA!$C$42:$N$42</c:f>
              <c:numCache>
                <c:formatCode>0.00%</c:formatCode>
                <c:ptCount val="12"/>
                <c:pt idx="0">
                  <c:v>0.94449336291726471</c:v>
                </c:pt>
                <c:pt idx="1">
                  <c:v>0.95146975414848689</c:v>
                </c:pt>
                <c:pt idx="2">
                  <c:v>0.81984846434853209</c:v>
                </c:pt>
                <c:pt idx="3">
                  <c:v>0.51683359478702129</c:v>
                </c:pt>
                <c:pt idx="4">
                  <c:v>0.27027027027066886</c:v>
                </c:pt>
                <c:pt idx="5">
                  <c:v>0</c:v>
                </c:pt>
                <c:pt idx="6">
                  <c:v>0</c:v>
                </c:pt>
                <c:pt idx="7">
                  <c:v>0.31661237785019331</c:v>
                </c:pt>
                <c:pt idx="8">
                  <c:v>0.52695123725170001</c:v>
                </c:pt>
                <c:pt idx="9">
                  <c:v>0.81951750408126245</c:v>
                </c:pt>
                <c:pt idx="10">
                  <c:v>0.93400168723391741</c:v>
                </c:pt>
                <c:pt idx="11">
                  <c:v>0.8147908138266764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DC-4557-B487-3EDF8792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44367"/>
        <c:axId val="291037647"/>
      </c:lineChart>
      <c:catAx>
        <c:axId val="291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37647"/>
        <c:crosses val="autoZero"/>
        <c:auto val="1"/>
        <c:lblAlgn val="ctr"/>
        <c:lblOffset val="100"/>
        <c:noMultiLvlLbl val="0"/>
      </c:catAx>
      <c:valAx>
        <c:axId val="2910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of Single Axis MPPT Tracker in 6 Latitutes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SA!$C$7:$N$7</c:f>
              <c:numCache>
                <c:formatCode>0.00%</c:formatCode>
                <c:ptCount val="12"/>
                <c:pt idx="0">
                  <c:v>0</c:v>
                </c:pt>
                <c:pt idx="1">
                  <c:v>5.0592910742496049E-2</c:v>
                </c:pt>
                <c:pt idx="2">
                  <c:v>0.20329559178743958</c:v>
                </c:pt>
                <c:pt idx="3">
                  <c:v>0.52857554153285402</c:v>
                </c:pt>
                <c:pt idx="4">
                  <c:v>0.74343125144564137</c:v>
                </c:pt>
                <c:pt idx="5">
                  <c:v>0.79814347612860181</c:v>
                </c:pt>
                <c:pt idx="6">
                  <c:v>0.79966412405436771</c:v>
                </c:pt>
                <c:pt idx="7">
                  <c:v>0.63319084465126441</c:v>
                </c:pt>
                <c:pt idx="8">
                  <c:v>0.41436187937353985</c:v>
                </c:pt>
                <c:pt idx="9">
                  <c:v>0.19354838709679628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7-4F72-8B9C-4F19D6AB5362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SA!$C$14:$N$14</c:f>
              <c:numCache>
                <c:formatCode>0.00%</c:formatCode>
                <c:ptCount val="12"/>
                <c:pt idx="0">
                  <c:v>7.3332369960355109E-2</c:v>
                </c:pt>
                <c:pt idx="1">
                  <c:v>0.15043812740610232</c:v>
                </c:pt>
                <c:pt idx="2">
                  <c:v>0.32336121612382823</c:v>
                </c:pt>
                <c:pt idx="3">
                  <c:v>0.66161622688924782</c:v>
                </c:pt>
                <c:pt idx="4">
                  <c:v>0.80605561382707058</c:v>
                </c:pt>
                <c:pt idx="5">
                  <c:v>0.8648895895726999</c:v>
                </c:pt>
                <c:pt idx="6">
                  <c:v>0.87157697261578104</c:v>
                </c:pt>
                <c:pt idx="7">
                  <c:v>0.82150260080566317</c:v>
                </c:pt>
                <c:pt idx="8">
                  <c:v>0.5648896434634969</c:v>
                </c:pt>
                <c:pt idx="9">
                  <c:v>0.32069580731489883</c:v>
                </c:pt>
                <c:pt idx="10">
                  <c:v>0.14705882352941319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7-4F72-8B9C-4F19D6AB5362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DA!$C$21:$N$21</c:f>
              <c:numCache>
                <c:formatCode>0.00%</c:formatCode>
                <c:ptCount val="12"/>
                <c:pt idx="0">
                  <c:v>0.9801485056193886</c:v>
                </c:pt>
                <c:pt idx="1">
                  <c:v>0.98380578297288357</c:v>
                </c:pt>
                <c:pt idx="2">
                  <c:v>0.9878703338690602</c:v>
                </c:pt>
                <c:pt idx="3">
                  <c:v>0.99065447848351473</c:v>
                </c:pt>
                <c:pt idx="4">
                  <c:v>0.993047109381334</c:v>
                </c:pt>
                <c:pt idx="5">
                  <c:v>0.99443215477484892</c:v>
                </c:pt>
                <c:pt idx="6">
                  <c:v>0.99445435507639834</c:v>
                </c:pt>
                <c:pt idx="7">
                  <c:v>0.99483816117082724</c:v>
                </c:pt>
                <c:pt idx="8">
                  <c:v>0.9939909510792706</c:v>
                </c:pt>
                <c:pt idx="9">
                  <c:v>0.99366508293740019</c:v>
                </c:pt>
                <c:pt idx="10">
                  <c:v>0.98840672197404911</c:v>
                </c:pt>
                <c:pt idx="11">
                  <c:v>0.98285925682341158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7-4F72-8B9C-4F19D6AB5362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SA!$C$28:$N$28</c:f>
              <c:numCache>
                <c:formatCode>0.00%</c:formatCode>
                <c:ptCount val="12"/>
                <c:pt idx="0">
                  <c:v>0.90682142605146465</c:v>
                </c:pt>
                <c:pt idx="1">
                  <c:v>0.943414167678439</c:v>
                </c:pt>
                <c:pt idx="2">
                  <c:v>0.9846832084893884</c:v>
                </c:pt>
                <c:pt idx="3">
                  <c:v>0.99420567206230248</c:v>
                </c:pt>
                <c:pt idx="4">
                  <c:v>0.95933880642397096</c:v>
                </c:pt>
                <c:pt idx="5">
                  <c:v>0.91441296258313987</c:v>
                </c:pt>
                <c:pt idx="6">
                  <c:v>0.90568581477139531</c:v>
                </c:pt>
                <c:pt idx="7">
                  <c:v>0.94176766988969107</c:v>
                </c:pt>
                <c:pt idx="8">
                  <c:v>0.98642026794557713</c:v>
                </c:pt>
                <c:pt idx="9">
                  <c:v>0.99381761978361516</c:v>
                </c:pt>
                <c:pt idx="10">
                  <c:v>0.9570886994864648</c:v>
                </c:pt>
                <c:pt idx="11">
                  <c:v>0.91454984363855618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7-4F72-8B9C-4F19D6AB5362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SA!$C$35:$N$35</c:f>
              <c:numCache>
                <c:formatCode>0.00%</c:formatCode>
                <c:ptCount val="12"/>
                <c:pt idx="0">
                  <c:v>0.9887223116870254</c:v>
                </c:pt>
                <c:pt idx="1">
                  <c:v>0.98389080106963878</c:v>
                </c:pt>
                <c:pt idx="2">
                  <c:v>0.94925482307762599</c:v>
                </c:pt>
                <c:pt idx="3">
                  <c:v>0.85728497784209101</c:v>
                </c:pt>
                <c:pt idx="4">
                  <c:v>0.71594238281249933</c:v>
                </c:pt>
                <c:pt idx="5">
                  <c:v>0.5870696557245807</c:v>
                </c:pt>
                <c:pt idx="6">
                  <c:v>0.5864812910724666</c:v>
                </c:pt>
                <c:pt idx="7">
                  <c:v>0.68632227071281238</c:v>
                </c:pt>
                <c:pt idx="8">
                  <c:v>0.82547519762592947</c:v>
                </c:pt>
                <c:pt idx="9">
                  <c:v>0.92697777135662918</c:v>
                </c:pt>
                <c:pt idx="10">
                  <c:v>0.97784742503027255</c:v>
                </c:pt>
                <c:pt idx="11">
                  <c:v>0.98788259886813568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47-4F72-8B9C-4F19D6AB5362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DA!$C$42:$N$42</c:f>
              <c:numCache>
                <c:formatCode>0.00%</c:formatCode>
                <c:ptCount val="12"/>
                <c:pt idx="0">
                  <c:v>0.94449336291726471</c:v>
                </c:pt>
                <c:pt idx="1">
                  <c:v>0.95146975414848689</c:v>
                </c:pt>
                <c:pt idx="2">
                  <c:v>0.81984846434853209</c:v>
                </c:pt>
                <c:pt idx="3">
                  <c:v>0.51683359478702129</c:v>
                </c:pt>
                <c:pt idx="4">
                  <c:v>0.27027027027066886</c:v>
                </c:pt>
                <c:pt idx="5">
                  <c:v>0</c:v>
                </c:pt>
                <c:pt idx="6">
                  <c:v>0</c:v>
                </c:pt>
                <c:pt idx="7">
                  <c:v>0.31661237785019331</c:v>
                </c:pt>
                <c:pt idx="8">
                  <c:v>0.52695123725170001</c:v>
                </c:pt>
                <c:pt idx="9">
                  <c:v>0.81951750408126245</c:v>
                </c:pt>
                <c:pt idx="10">
                  <c:v>0.93400168723391741</c:v>
                </c:pt>
                <c:pt idx="11">
                  <c:v>0.8147908138266764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47-4F72-8B9C-4F19D6AB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044367"/>
        <c:axId val="291037647"/>
      </c:lineChart>
      <c:catAx>
        <c:axId val="29104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37647"/>
        <c:crosses val="autoZero"/>
        <c:auto val="1"/>
        <c:lblAlgn val="ctr"/>
        <c:lblOffset val="100"/>
        <c:noMultiLvlLbl val="0"/>
      </c:catAx>
      <c:valAx>
        <c:axId val="29103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4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Difference Between</a:t>
            </a:r>
            <a:r>
              <a:rPr lang="en-GB" baseline="0"/>
              <a:t> Maximum and Incident Irradiance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DA!$C$8:$N$8</c:f>
              <c:numCache>
                <c:formatCode>0.00%</c:formatCode>
                <c:ptCount val="12"/>
                <c:pt idx="0">
                  <c:v>0</c:v>
                </c:pt>
                <c:pt idx="1">
                  <c:v>0.2271981809138065</c:v>
                </c:pt>
                <c:pt idx="2">
                  <c:v>0.13068478200851641</c:v>
                </c:pt>
                <c:pt idx="3">
                  <c:v>6.0940622265183486E-2</c:v>
                </c:pt>
                <c:pt idx="4">
                  <c:v>4.0655292915590002E-2</c:v>
                </c:pt>
                <c:pt idx="5">
                  <c:v>3.2592089628246668E-2</c:v>
                </c:pt>
                <c:pt idx="6">
                  <c:v>1.9974316602623499E-2</c:v>
                </c:pt>
                <c:pt idx="7">
                  <c:v>1.8570782592426061E-2</c:v>
                </c:pt>
                <c:pt idx="8">
                  <c:v>2.7770639254737217E-2</c:v>
                </c:pt>
                <c:pt idx="9">
                  <c:v>8.6021505376344121E-2</c:v>
                </c:pt>
                <c:pt idx="10">
                  <c:v>0.19999999999999996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E-4665-9AF0-13B7CFDC5FEF}"/>
            </c:ext>
          </c:extLst>
        </c:ser>
        <c:ser>
          <c:idx val="1"/>
          <c:order val="1"/>
          <c:tx>
            <c:v>1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SA!$C$8:$N$8</c:f>
              <c:numCache>
                <c:formatCode>0.00%</c:formatCode>
                <c:ptCount val="12"/>
                <c:pt idx="0">
                  <c:v>0</c:v>
                </c:pt>
                <c:pt idx="1">
                  <c:v>0.79070560648049448</c:v>
                </c:pt>
                <c:pt idx="2">
                  <c:v>0.54203437064561077</c:v>
                </c:pt>
                <c:pt idx="3">
                  <c:v>0.33228236461022143</c:v>
                </c:pt>
                <c:pt idx="4">
                  <c:v>0.21621575210145372</c:v>
                </c:pt>
                <c:pt idx="5">
                  <c:v>0.19506398764547839</c:v>
                </c:pt>
                <c:pt idx="6">
                  <c:v>0.17610050371314168</c:v>
                </c:pt>
                <c:pt idx="7">
                  <c:v>0.20370947873949508</c:v>
                </c:pt>
                <c:pt idx="8">
                  <c:v>0.32377128172181224</c:v>
                </c:pt>
                <c:pt idx="9">
                  <c:v>0.52827324478178184</c:v>
                </c:pt>
                <c:pt idx="10">
                  <c:v>0.76761904761910305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E-4665-9AF0-13B7CFDC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61955060266089"/>
          <c:y val="0.17210137792068203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MPPT Tracking Efficiency as % of Maximum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DA!$C$13:$N$13</c:f>
              <c:numCache>
                <c:formatCode>0.00%</c:formatCode>
                <c:ptCount val="12"/>
                <c:pt idx="0">
                  <c:v>2.6889500041047537E-2</c:v>
                </c:pt>
                <c:pt idx="1">
                  <c:v>7.3358295210126268E-2</c:v>
                </c:pt>
                <c:pt idx="2">
                  <c:v>0.143147081864265</c:v>
                </c:pt>
                <c:pt idx="3">
                  <c:v>0.16904547950676449</c:v>
                </c:pt>
                <c:pt idx="4">
                  <c:v>0.17300593805167708</c:v>
                </c:pt>
                <c:pt idx="5">
                  <c:v>0.17344244862103239</c:v>
                </c:pt>
                <c:pt idx="6">
                  <c:v>0.17296658544564958</c:v>
                </c:pt>
                <c:pt idx="7">
                  <c:v>0.16498559546338379</c:v>
                </c:pt>
                <c:pt idx="8">
                  <c:v>0.1482281059063135</c:v>
                </c:pt>
                <c:pt idx="9">
                  <c:v>9.119523606975817E-2</c:v>
                </c:pt>
                <c:pt idx="10">
                  <c:v>3.7342152736018368E-2</c:v>
                </c:pt>
                <c:pt idx="11">
                  <c:v>1.6317365269463258E-2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5-49D7-A7B3-ABB377A53EEE}"/>
            </c:ext>
          </c:extLst>
        </c:ser>
        <c:ser>
          <c:idx val="1"/>
          <c:order val="1"/>
          <c:tx>
            <c:v>2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SA!$C$13:$N$13</c:f>
              <c:numCache>
                <c:formatCode>0.00%</c:formatCode>
                <c:ptCount val="12"/>
                <c:pt idx="0">
                  <c:v>2.8745915770462195E-3</c:v>
                </c:pt>
                <c:pt idx="1">
                  <c:v>1.4186935965769485E-2</c:v>
                </c:pt>
                <c:pt idx="2">
                  <c:v>5.0877880162289314E-2</c:v>
                </c:pt>
                <c:pt idx="3">
                  <c:v>0.11500499226199391</c:v>
                </c:pt>
                <c:pt idx="4">
                  <c:v>0.14183267132081526</c:v>
                </c:pt>
                <c:pt idx="5">
                  <c:v>0.15168088401877153</c:v>
                </c:pt>
                <c:pt idx="6">
                  <c:v>0.15199642562417301</c:v>
                </c:pt>
                <c:pt idx="7">
                  <c:v>0.13659922872323124</c:v>
                </c:pt>
                <c:pt idx="8">
                  <c:v>8.4704684317718867E-2</c:v>
                </c:pt>
                <c:pt idx="9">
                  <c:v>3.0582730752871351E-2</c:v>
                </c:pt>
                <c:pt idx="10">
                  <c:v>6.6145520144317502E-3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5-49D7-A7B3-ABB377A5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Difference Between</a:t>
            </a:r>
            <a:r>
              <a:rPr lang="en-GB" baseline="0"/>
              <a:t> Maximum and Incident Irradiance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DA!$C$15:$N$15</c:f>
              <c:numCache>
                <c:formatCode>0.00%</c:formatCode>
                <c:ptCount val="12"/>
                <c:pt idx="0">
                  <c:v>0.1779082177161152</c:v>
                </c:pt>
                <c:pt idx="1">
                  <c:v>0.12831595357346059</c:v>
                </c:pt>
                <c:pt idx="2">
                  <c:v>6.810028603650764E-2</c:v>
                </c:pt>
                <c:pt idx="3">
                  <c:v>2.5373171584044618E-2</c:v>
                </c:pt>
                <c:pt idx="4">
                  <c:v>1.951432354357252E-2</c:v>
                </c:pt>
                <c:pt idx="5">
                  <c:v>1.4499387382389206E-2</c:v>
                </c:pt>
                <c:pt idx="6">
                  <c:v>1.0864735266685854E-2</c:v>
                </c:pt>
                <c:pt idx="7">
                  <c:v>1.0333547938168319E-2</c:v>
                </c:pt>
                <c:pt idx="8">
                  <c:v>1.3951120162932762E-2</c:v>
                </c:pt>
                <c:pt idx="9">
                  <c:v>3.3177371331348349E-2</c:v>
                </c:pt>
                <c:pt idx="10">
                  <c:v>9.8616957306073338E-2</c:v>
                </c:pt>
                <c:pt idx="11">
                  <c:v>0.16467065868263475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4-47E6-BC01-9305CA2ACC20}"/>
            </c:ext>
          </c:extLst>
        </c:ser>
        <c:ser>
          <c:idx val="1"/>
          <c:order val="1"/>
          <c:tx>
            <c:v>2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SA!$C$15:$N$15</c:f>
              <c:numCache>
                <c:formatCode>0.00%</c:formatCode>
                <c:ptCount val="12"/>
                <c:pt idx="0">
                  <c:v>0.72140957228470559</c:v>
                </c:pt>
                <c:pt idx="1">
                  <c:v>0.59932768778177792</c:v>
                </c:pt>
                <c:pt idx="2">
                  <c:v>0.43307372854061854</c:v>
                </c:pt>
                <c:pt idx="3">
                  <c:v>0.26847698567220812</c:v>
                </c:pt>
                <c:pt idx="4">
                  <c:v>0.16208273150377173</c:v>
                </c:pt>
                <c:pt idx="5">
                  <c:v>0.11433987562706616</c:v>
                </c:pt>
                <c:pt idx="6">
                  <c:v>0.10795884584771764</c:v>
                </c:pt>
                <c:pt idx="7">
                  <c:v>0.14169771933589514</c:v>
                </c:pt>
                <c:pt idx="8">
                  <c:v>0.24391038696537792</c:v>
                </c:pt>
                <c:pt idx="9">
                  <c:v>0.4061675882603123</c:v>
                </c:pt>
                <c:pt idx="10">
                  <c:v>0.59458809380637578</c:v>
                </c:pt>
                <c:pt idx="11">
                  <c:v>0.72230538922155696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4-47E6-BC01-9305CA2A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61955060266089"/>
          <c:y val="0.17210137792068203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MPPT Tracking Efficiency as % of Maximum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DA!$C$20:$N$20</c:f>
              <c:numCache>
                <c:formatCode>0.00%</c:formatCode>
                <c:ptCount val="12"/>
                <c:pt idx="0">
                  <c:v>0.17726681396741487</c:v>
                </c:pt>
                <c:pt idx="1">
                  <c:v>0.18163983317411872</c:v>
                </c:pt>
                <c:pt idx="2">
                  <c:v>0.18551558206745347</c:v>
                </c:pt>
                <c:pt idx="3">
                  <c:v>0.18649486279649913</c:v>
                </c:pt>
                <c:pt idx="4">
                  <c:v>0.18804314448027015</c:v>
                </c:pt>
                <c:pt idx="5">
                  <c:v>0.18841017262200754</c:v>
                </c:pt>
                <c:pt idx="6">
                  <c:v>0.18809506344898416</c:v>
                </c:pt>
                <c:pt idx="7">
                  <c:v>0.18850107394906421</c:v>
                </c:pt>
                <c:pt idx="8">
                  <c:v>0.18638593080288093</c:v>
                </c:pt>
                <c:pt idx="9">
                  <c:v>0.18477396021699796</c:v>
                </c:pt>
                <c:pt idx="10">
                  <c:v>0.18003874717468527</c:v>
                </c:pt>
                <c:pt idx="11">
                  <c:v>0.17562247521116406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B-41A2-ACF1-3721A27CE23D}"/>
            </c:ext>
          </c:extLst>
        </c:ser>
        <c:ser>
          <c:idx val="1"/>
          <c:order val="1"/>
          <c:tx>
            <c:v>3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SA!$C$20:$N$20</c:f>
              <c:numCache>
                <c:formatCode>0.00%</c:formatCode>
                <c:ptCount val="12"/>
                <c:pt idx="0">
                  <c:v>0.10971634281151699</c:v>
                </c:pt>
                <c:pt idx="1">
                  <c:v>0.12870640042871456</c:v>
                </c:pt>
                <c:pt idx="2">
                  <c:v>0.15379858866853641</c:v>
                </c:pt>
                <c:pt idx="3">
                  <c:v>0.17383028201767373</c:v>
                </c:pt>
                <c:pt idx="4">
                  <c:v>0.18496468601259017</c:v>
                </c:pt>
                <c:pt idx="5">
                  <c:v>0.18746181714854021</c:v>
                </c:pt>
                <c:pt idx="6">
                  <c:v>0.18732487346878893</c:v>
                </c:pt>
                <c:pt idx="7">
                  <c:v>0.18666001841055546</c:v>
                </c:pt>
                <c:pt idx="8">
                  <c:v>0.17735407184834948</c:v>
                </c:pt>
                <c:pt idx="9">
                  <c:v>0.15930767243606311</c:v>
                </c:pt>
                <c:pt idx="10">
                  <c:v>0.13083629318695511</c:v>
                </c:pt>
                <c:pt idx="11">
                  <c:v>0.10982005141388153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B-41A2-ACF1-3721A27C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Difference Between</a:t>
            </a:r>
            <a:r>
              <a:rPr lang="en-GB" baseline="0"/>
              <a:t> Maximum and Incident Irradiance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DA!$C$22:$N$22</c:f>
              <c:numCache>
                <c:formatCode>0.00%</c:formatCode>
                <c:ptCount val="12"/>
                <c:pt idx="0">
                  <c:v>1.8715454877100246E-2</c:v>
                </c:pt>
                <c:pt idx="1">
                  <c:v>1.5261306181411527E-2</c:v>
                </c:pt>
                <c:pt idx="2">
                  <c:v>1.1996791997076484E-2</c:v>
                </c:pt>
                <c:pt idx="3">
                  <c:v>1.0206756585345644E-2</c:v>
                </c:pt>
                <c:pt idx="4">
                  <c:v>8.4024259173957061E-3</c:v>
                </c:pt>
                <c:pt idx="5">
                  <c:v>7.3524188392413148E-3</c:v>
                </c:pt>
                <c:pt idx="6">
                  <c:v>7.1884398151543794E-3</c:v>
                </c:pt>
                <c:pt idx="7">
                  <c:v>6.2519177661859437E-3</c:v>
                </c:pt>
                <c:pt idx="8">
                  <c:v>6.8490124165967448E-3</c:v>
                </c:pt>
                <c:pt idx="9">
                  <c:v>8.421596486695937E-3</c:v>
                </c:pt>
                <c:pt idx="10">
                  <c:v>1.2334517274782075E-2</c:v>
                </c:pt>
                <c:pt idx="11">
                  <c:v>1.7407271391847279E-2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E-423E-BBDC-0CF5709F7635}"/>
            </c:ext>
          </c:extLst>
        </c:ser>
        <c:ser>
          <c:idx val="1"/>
          <c:order val="1"/>
          <c:tx>
            <c:v>3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SA!$C$22:$N$22</c:f>
              <c:numCache>
                <c:formatCode>0.00%</c:formatCode>
                <c:ptCount val="12"/>
                <c:pt idx="0">
                  <c:v>0.32923369194870633</c:v>
                </c:pt>
                <c:pt idx="1">
                  <c:v>0.2608378573592115</c:v>
                </c:pt>
                <c:pt idx="2">
                  <c:v>0.16380271731135188</c:v>
                </c:pt>
                <c:pt idx="3">
                  <c:v>6.9895564669569921E-2</c:v>
                </c:pt>
                <c:pt idx="4">
                  <c:v>2.2700752341470953E-2</c:v>
                </c:pt>
                <c:pt idx="5">
                  <c:v>1.1319883497904248E-2</c:v>
                </c:pt>
                <c:pt idx="6">
                  <c:v>1.0232524022592226E-2</c:v>
                </c:pt>
                <c:pt idx="7">
                  <c:v>1.5035286897821409E-2</c:v>
                </c:pt>
                <c:pt idx="8">
                  <c:v>4.9754761168308903E-2</c:v>
                </c:pt>
                <c:pt idx="9">
                  <c:v>0.12916559028674757</c:v>
                </c:pt>
                <c:pt idx="10">
                  <c:v>0.238488860187278</c:v>
                </c:pt>
                <c:pt idx="11">
                  <c:v>0.31913330885053248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E-423E-BBDC-0CF5709F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61955060266089"/>
          <c:y val="0.17210137792068203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MPPT Tracking Efficiency as % of Maximum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DA!$C$27:$N$27</c:f>
              <c:numCache>
                <c:formatCode>0.00%</c:formatCode>
                <c:ptCount val="12"/>
                <c:pt idx="0">
                  <c:v>0.18400100578325371</c:v>
                </c:pt>
                <c:pt idx="1">
                  <c:v>0.18446205200105775</c:v>
                </c:pt>
                <c:pt idx="2">
                  <c:v>0.18515968015507636</c:v>
                </c:pt>
                <c:pt idx="3">
                  <c:v>0.18345541990381067</c:v>
                </c:pt>
                <c:pt idx="4">
                  <c:v>0.18190682335644193</c:v>
                </c:pt>
                <c:pt idx="5">
                  <c:v>0.17945603096108356</c:v>
                </c:pt>
                <c:pt idx="6">
                  <c:v>0.1797138092420249</c:v>
                </c:pt>
                <c:pt idx="7">
                  <c:v>0.18233217329903678</c:v>
                </c:pt>
                <c:pt idx="8">
                  <c:v>0.18367979842031296</c:v>
                </c:pt>
                <c:pt idx="9">
                  <c:v>0.18467341575002447</c:v>
                </c:pt>
                <c:pt idx="10">
                  <c:v>0.18401155551128129</c:v>
                </c:pt>
                <c:pt idx="11">
                  <c:v>0.18360797038990026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0-4893-8D39-C1362A9BAB14}"/>
            </c:ext>
          </c:extLst>
        </c:ser>
        <c:ser>
          <c:idx val="1"/>
          <c:order val="1"/>
          <c:tx>
            <c:v>4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SA!$C$27:$N$27</c:f>
              <c:numCache>
                <c:formatCode>0.00%</c:formatCode>
                <c:ptCount val="12"/>
                <c:pt idx="0">
                  <c:v>0.16804174000502892</c:v>
                </c:pt>
                <c:pt idx="1">
                  <c:v>0.1752418682859409</c:v>
                </c:pt>
                <c:pt idx="2">
                  <c:v>0.1834703174218561</c:v>
                </c:pt>
                <c:pt idx="3">
                  <c:v>0.18451103711925029</c:v>
                </c:pt>
                <c:pt idx="4">
                  <c:v>0.17717447903372366</c:v>
                </c:pt>
                <c:pt idx="5">
                  <c:v>0.16774887121049234</c:v>
                </c:pt>
                <c:pt idx="6">
                  <c:v>0.16623809779977411</c:v>
                </c:pt>
                <c:pt idx="7">
                  <c:v>0.17439350380793869</c:v>
                </c:pt>
                <c:pt idx="8">
                  <c:v>0.18338421282163106</c:v>
                </c:pt>
                <c:pt idx="9">
                  <c:v>0.18464421298549583</c:v>
                </c:pt>
                <c:pt idx="10">
                  <c:v>0.17730238581461397</c:v>
                </c:pt>
                <c:pt idx="11">
                  <c:v>0.16903615068701486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0-4893-8D39-C1362A9BA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4354210625632"/>
          <c:y val="0.20449001166520847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Difference Between</a:t>
            </a:r>
            <a:r>
              <a:rPr lang="en-GB" baseline="0"/>
              <a:t> Maximum and Incident Irradiance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DA!$C$29:$N$29</c:f>
              <c:numCache>
                <c:formatCode>0.00%</c:formatCode>
                <c:ptCount val="12"/>
                <c:pt idx="0">
                  <c:v>7.694241890872533E-3</c:v>
                </c:pt>
                <c:pt idx="1">
                  <c:v>7.9683063980962032E-3</c:v>
                </c:pt>
                <c:pt idx="2">
                  <c:v>7.7295856554397968E-3</c:v>
                </c:pt>
                <c:pt idx="3">
                  <c:v>1.3501048218028888E-2</c:v>
                </c:pt>
                <c:pt idx="4">
                  <c:v>1.7413189303983168E-2</c:v>
                </c:pt>
                <c:pt idx="5">
                  <c:v>2.322081272844545E-2</c:v>
                </c:pt>
                <c:pt idx="6">
                  <c:v>2.2809188229598099E-2</c:v>
                </c:pt>
                <c:pt idx="7">
                  <c:v>1.719876935492004E-2</c:v>
                </c:pt>
                <c:pt idx="8">
                  <c:v>1.4246256723360995E-2</c:v>
                </c:pt>
                <c:pt idx="9">
                  <c:v>8.7121580842985935E-3</c:v>
                </c:pt>
                <c:pt idx="10">
                  <c:v>9.7624147033918973E-3</c:v>
                </c:pt>
                <c:pt idx="11">
                  <c:v>8.6700806165390665E-3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A-42FF-B68A-60C655BFC993}"/>
            </c:ext>
          </c:extLst>
        </c:ser>
        <c:ser>
          <c:idx val="1"/>
          <c:order val="1"/>
          <c:tx>
            <c:v>4 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SA!$C$29:$N$29</c:f>
              <c:numCache>
                <c:formatCode>0.00%</c:formatCode>
                <c:ptCount val="12"/>
                <c:pt idx="0">
                  <c:v>8.3288911239627894E-2</c:v>
                </c:pt>
                <c:pt idx="1">
                  <c:v>5.0329559572695248E-2</c:v>
                </c:pt>
                <c:pt idx="2">
                  <c:v>1.4359098618851651E-2</c:v>
                </c:pt>
                <c:pt idx="3">
                  <c:v>6.1758539893940201E-3</c:v>
                </c:pt>
                <c:pt idx="4">
                  <c:v>3.7230838344751715E-2</c:v>
                </c:pt>
                <c:pt idx="5">
                  <c:v>7.6666308320791354E-2</c:v>
                </c:pt>
                <c:pt idx="6">
                  <c:v>8.41357792242724E-2</c:v>
                </c:pt>
                <c:pt idx="7">
                  <c:v>5.2504160992585813E-2</c:v>
                </c:pt>
                <c:pt idx="8">
                  <c:v>1.3083296990841653E-2</c:v>
                </c:pt>
                <c:pt idx="9">
                  <c:v>6.521950744670546E-3</c:v>
                </c:pt>
                <c:pt idx="10">
                  <c:v>3.9248891766698213E-2</c:v>
                </c:pt>
                <c:pt idx="11">
                  <c:v>7.69152765806419E-2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A-42FF-B68A-60C655BF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961503"/>
        <c:axId val="1868973023"/>
      </c:barChart>
      <c:catAx>
        <c:axId val="18689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73023"/>
        <c:crosses val="autoZero"/>
        <c:auto val="1"/>
        <c:lblAlgn val="ctr"/>
        <c:lblOffset val="100"/>
        <c:noMultiLvlLbl val="0"/>
      </c:catAx>
      <c:valAx>
        <c:axId val="18689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PV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61955060266089"/>
          <c:y val="0.17210137792068203"/>
          <c:w val="8.2724642482694843E-2"/>
          <c:h val="0.147572706589632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2</xdr:row>
      <xdr:rowOff>131445</xdr:rowOff>
    </xdr:from>
    <xdr:to>
      <xdr:col>13</xdr:col>
      <xdr:colOff>15240</xdr:colOff>
      <xdr:row>17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04AC9-0287-A1ED-2095-AB64CA82D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85725</xdr:rowOff>
    </xdr:from>
    <xdr:to>
      <xdr:col>11</xdr:col>
      <xdr:colOff>276224</xdr:colOff>
      <xdr:row>19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B53BE-CFC5-460A-9BC5-EF1E1DF60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</xdr:row>
      <xdr:rowOff>104775</xdr:rowOff>
    </xdr:from>
    <xdr:to>
      <xdr:col>22</xdr:col>
      <xdr:colOff>228599</xdr:colOff>
      <xdr:row>20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9D356-8402-48CD-AAF3-9BA05F3C6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266699</xdr:colOff>
      <xdr:row>39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6C5E3-D8C7-4F79-B54C-253A34E6F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22</xdr:col>
      <xdr:colOff>266699</xdr:colOff>
      <xdr:row>39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18FA6B-E493-4FA5-B6D5-3CD8ADEEF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266699</xdr:colOff>
      <xdr:row>59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281E36-1F63-4B1E-B632-9E590BD1D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22</xdr:col>
      <xdr:colOff>266699</xdr:colOff>
      <xdr:row>59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D54AC6-34F4-4BFF-AC57-5B328BA9D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11</xdr:col>
      <xdr:colOff>266699</xdr:colOff>
      <xdr:row>79</xdr:row>
      <xdr:rowOff>100013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A4C6C5-3387-48B1-B959-B0A8F4322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22</xdr:col>
      <xdr:colOff>266699</xdr:colOff>
      <xdr:row>79</xdr:row>
      <xdr:rowOff>100013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6CAC5C-CBC9-4950-98DC-0E26F8735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11</xdr:col>
      <xdr:colOff>266699</xdr:colOff>
      <xdr:row>99</xdr:row>
      <xdr:rowOff>100013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1A4F35-253E-4459-95C9-714A65EE7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81</xdr:row>
      <xdr:rowOff>0</xdr:rowOff>
    </xdr:from>
    <xdr:to>
      <xdr:col>22</xdr:col>
      <xdr:colOff>266699</xdr:colOff>
      <xdr:row>99</xdr:row>
      <xdr:rowOff>100013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D5ABEC-71DA-4B8C-9B20-58FA5B3E8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11</xdr:col>
      <xdr:colOff>266699</xdr:colOff>
      <xdr:row>120</xdr:row>
      <xdr:rowOff>100013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EFCD84-A013-4E00-9D38-3A03579B9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102</xdr:row>
      <xdr:rowOff>0</xdr:rowOff>
    </xdr:from>
    <xdr:to>
      <xdr:col>22</xdr:col>
      <xdr:colOff>266699</xdr:colOff>
      <xdr:row>120</xdr:row>
      <xdr:rowOff>100013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E8F3F47-CC16-4055-879B-8BB5F398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142874</xdr:colOff>
      <xdr:row>0</xdr:row>
      <xdr:rowOff>42861</xdr:rowOff>
    </xdr:from>
    <xdr:to>
      <xdr:col>44</xdr:col>
      <xdr:colOff>533400</xdr:colOff>
      <xdr:row>19</xdr:row>
      <xdr:rowOff>161924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69D5C0B-9DED-AB9E-DD89-BBEA7D9B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123825</xdr:colOff>
      <xdr:row>20</xdr:row>
      <xdr:rowOff>152400</xdr:rowOff>
    </xdr:from>
    <xdr:to>
      <xdr:col>44</xdr:col>
      <xdr:colOff>514351</xdr:colOff>
      <xdr:row>40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90D2F-0482-4F47-B1AB-00B16743F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504825</xdr:colOff>
      <xdr:row>1</xdr:row>
      <xdr:rowOff>95250</xdr:rowOff>
    </xdr:from>
    <xdr:to>
      <xdr:col>33</xdr:col>
      <xdr:colOff>161924</xdr:colOff>
      <xdr:row>20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2DB45-F570-4E67-A6C8-C01CE4AD1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476250</xdr:colOff>
      <xdr:row>21</xdr:row>
      <xdr:rowOff>28575</xdr:rowOff>
    </xdr:from>
    <xdr:to>
      <xdr:col>33</xdr:col>
      <xdr:colOff>133349</xdr:colOff>
      <xdr:row>39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36CF4C-1DA0-43C4-BCBF-E57AFDD5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523875</xdr:colOff>
      <xdr:row>40</xdr:row>
      <xdr:rowOff>76200</xdr:rowOff>
    </xdr:from>
    <xdr:to>
      <xdr:col>33</xdr:col>
      <xdr:colOff>180974</xdr:colOff>
      <xdr:row>58</xdr:row>
      <xdr:rowOff>176213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84CC87-8921-47F4-BF8E-773366F68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60</xdr:row>
      <xdr:rowOff>0</xdr:rowOff>
    </xdr:from>
    <xdr:to>
      <xdr:col>33</xdr:col>
      <xdr:colOff>266699</xdr:colOff>
      <xdr:row>78</xdr:row>
      <xdr:rowOff>100013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12F5B8-F13D-4D76-8FFB-2318D8197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80</xdr:row>
      <xdr:rowOff>123825</xdr:rowOff>
    </xdr:from>
    <xdr:to>
      <xdr:col>33</xdr:col>
      <xdr:colOff>266699</xdr:colOff>
      <xdr:row>99</xdr:row>
      <xdr:rowOff>33338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4253257-1AC2-4052-997D-F712BC5B9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33</xdr:col>
      <xdr:colOff>266699</xdr:colOff>
      <xdr:row>120</xdr:row>
      <xdr:rowOff>100013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196DD31-9346-44DA-8A1B-6A72C60D7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0</xdr:colOff>
      <xdr:row>43</xdr:row>
      <xdr:rowOff>0</xdr:rowOff>
    </xdr:from>
    <xdr:to>
      <xdr:col>44</xdr:col>
      <xdr:colOff>390526</xdr:colOff>
      <xdr:row>62</xdr:row>
      <xdr:rowOff>119063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B7FB3CC-19DA-4FFE-9BF3-6108F9AC1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0</xdr:colOff>
      <xdr:row>65</xdr:row>
      <xdr:rowOff>0</xdr:rowOff>
    </xdr:from>
    <xdr:to>
      <xdr:col>44</xdr:col>
      <xdr:colOff>390526</xdr:colOff>
      <xdr:row>84</xdr:row>
      <xdr:rowOff>119063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5DAFAF5-7E66-451D-B4FE-2F860FE01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D655-598B-4D21-B0A2-9C6878CE813D}">
  <dimension ref="A1:O43"/>
  <sheetViews>
    <sheetView topLeftCell="A19" zoomScale="78" workbookViewId="0">
      <selection sqref="A1:N43"/>
    </sheetView>
  </sheetViews>
  <sheetFormatPr defaultRowHeight="14.4" x14ac:dyDescent="0.55000000000000004"/>
  <cols>
    <col min="1" max="1" width="7.89453125" bestFit="1" customWidth="1"/>
    <col min="2" max="2" width="17.26171875" bestFit="1" customWidth="1"/>
    <col min="3" max="14" width="7.3125" bestFit="1" customWidth="1"/>
    <col min="15" max="15" width="6.7890625" bestFit="1" customWidth="1"/>
  </cols>
  <sheetData>
    <row r="1" spans="1:15" ht="14.7" thickBot="1" x14ac:dyDescent="0.6">
      <c r="A1" s="1" t="s">
        <v>12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5" x14ac:dyDescent="0.55000000000000004">
      <c r="A2" s="34">
        <v>1</v>
      </c>
      <c r="B2" s="25" t="s">
        <v>13</v>
      </c>
      <c r="C2" s="2">
        <v>0</v>
      </c>
      <c r="D2" s="2">
        <v>12.1347</v>
      </c>
      <c r="E2" s="2">
        <f>585.965-12.1247</f>
        <v>573.84030000000007</v>
      </c>
      <c r="F2" s="2">
        <f>3085.03-585.945</f>
        <v>2499.085</v>
      </c>
      <c r="G2" s="2">
        <f>6998.34-3085.03</f>
        <v>3913.31</v>
      </c>
      <c r="H2" s="2">
        <f>10861.3-6998.34</f>
        <v>3862.9599999999991</v>
      </c>
      <c r="I2" s="2">
        <f>13996.9-10861.3</f>
        <v>3135.6000000000004</v>
      </c>
      <c r="J2" s="2">
        <f>15820.6-13996.9</f>
        <v>1823.7000000000007</v>
      </c>
      <c r="K2" s="2">
        <f>16401.7-15820.6</f>
        <v>581.10000000000036</v>
      </c>
      <c r="L2" s="2">
        <f>16449.3-16401.7</f>
        <v>47.599999999998545</v>
      </c>
      <c r="M2" s="2">
        <v>0.3</v>
      </c>
      <c r="N2" s="3">
        <v>0</v>
      </c>
    </row>
    <row r="3" spans="1:15" x14ac:dyDescent="0.55000000000000004">
      <c r="A3" s="35">
        <v>1</v>
      </c>
      <c r="B3" s="26" t="s">
        <v>19</v>
      </c>
      <c r="C3" s="7">
        <v>0</v>
      </c>
      <c r="D3" s="7">
        <v>20.256</v>
      </c>
      <c r="E3" s="7">
        <f>768.768-20.256</f>
        <v>748.51200000000006</v>
      </c>
      <c r="F3" s="7">
        <f>3464.08-768.768</f>
        <v>2695.3119999999999</v>
      </c>
      <c r="G3" s="7">
        <f>7528.02-3464.08</f>
        <v>4063.9400000000005</v>
      </c>
      <c r="H3" s="7">
        <f>11483.8-7528.02</f>
        <v>3955.7799999999988</v>
      </c>
      <c r="I3" s="7">
        <f>14669.5-11483.8</f>
        <v>3185.7000000000007</v>
      </c>
      <c r="J3" s="7">
        <f>16517.6-14669.5</f>
        <v>1848.0999999999985</v>
      </c>
      <c r="K3" s="7">
        <f>17117.8-16517.6</f>
        <v>600.20000000000073</v>
      </c>
      <c r="L3" s="7">
        <f>17173.6-17117.8</f>
        <v>55.799999999999272</v>
      </c>
      <c r="M3" s="7">
        <f>17174-17173.6</f>
        <v>0.40000000000145519</v>
      </c>
      <c r="N3" s="8">
        <f>17174-17174</f>
        <v>0</v>
      </c>
    </row>
    <row r="4" spans="1:15" x14ac:dyDescent="0.55000000000000004">
      <c r="A4" s="36">
        <v>1</v>
      </c>
      <c r="B4" s="27" t="s">
        <v>14</v>
      </c>
      <c r="C4" s="13">
        <v>0</v>
      </c>
      <c r="D4" s="13">
        <v>543.78200000000004</v>
      </c>
      <c r="E4" s="13">
        <f>5896.67-543.792</f>
        <v>5352.8779999999997</v>
      </c>
      <c r="F4" s="13">
        <f>20779.7-5896.67</f>
        <v>14883.03</v>
      </c>
      <c r="G4" s="13">
        <f>43236.1-20889.7</f>
        <v>22346.399999999998</v>
      </c>
      <c r="H4" s="13">
        <f>66602-43236.1</f>
        <v>23365.9</v>
      </c>
      <c r="I4" s="13">
        <f>86291.5-66602</f>
        <v>19689.5</v>
      </c>
      <c r="J4" s="13">
        <f>98879.9-86291.5</f>
        <v>12588.399999999994</v>
      </c>
      <c r="K4" s="13">
        <f>104933-98879.9</f>
        <v>6053.1000000000058</v>
      </c>
      <c r="L4" s="13">
        <f>106378-104933</f>
        <v>1445</v>
      </c>
      <c r="M4" s="13">
        <f>106462-106378</f>
        <v>84</v>
      </c>
      <c r="N4" s="14">
        <v>0</v>
      </c>
    </row>
    <row r="5" spans="1:15" x14ac:dyDescent="0.55000000000000004">
      <c r="A5" s="36">
        <v>1</v>
      </c>
      <c r="B5" s="28" t="s">
        <v>15</v>
      </c>
      <c r="C5" s="9">
        <v>0</v>
      </c>
      <c r="D5" s="9">
        <v>703.65</v>
      </c>
      <c r="E5" s="9">
        <f>6861.23-703.65</f>
        <v>6157.58</v>
      </c>
      <c r="F5" s="9">
        <f>22710.1-6861.23</f>
        <v>15848.869999999999</v>
      </c>
      <c r="G5" s="9">
        <f>46003.5-22710.1</f>
        <v>23293.4</v>
      </c>
      <c r="H5" s="9">
        <f>70156.6-46003.5</f>
        <v>24153.100000000006</v>
      </c>
      <c r="I5" s="9">
        <f>90247.4-70156.6</f>
        <v>20090.799999999988</v>
      </c>
      <c r="J5" s="9">
        <f>103074-90247.4</f>
        <v>12826.600000000006</v>
      </c>
      <c r="K5" s="9">
        <f>109300-103074</f>
        <v>6226</v>
      </c>
      <c r="L5" s="9">
        <f>110881-109300</f>
        <v>1581</v>
      </c>
      <c r="M5" s="9">
        <f>110986-110881</f>
        <v>105</v>
      </c>
      <c r="N5" s="10">
        <v>0</v>
      </c>
    </row>
    <row r="6" spans="1:15" x14ac:dyDescent="0.55000000000000004">
      <c r="A6" s="36">
        <v>1</v>
      </c>
      <c r="B6" s="27" t="s">
        <v>17</v>
      </c>
      <c r="C6" s="15">
        <v>0</v>
      </c>
      <c r="D6" s="15">
        <f t="shared" ref="D6:M6" si="0">D2/D5</f>
        <v>1.7245363461948413E-2</v>
      </c>
      <c r="E6" s="15">
        <f t="shared" si="0"/>
        <v>9.3192504198077827E-2</v>
      </c>
      <c r="F6" s="15">
        <f t="shared" si="0"/>
        <v>0.15768221961565715</v>
      </c>
      <c r="G6" s="15">
        <f t="shared" si="0"/>
        <v>0.16800080709557214</v>
      </c>
      <c r="H6" s="15">
        <f t="shared" si="0"/>
        <v>0.15993640567877407</v>
      </c>
      <c r="I6" s="15">
        <f t="shared" si="0"/>
        <v>0.15607143568200382</v>
      </c>
      <c r="J6" s="15">
        <f t="shared" si="0"/>
        <v>0.14218109241732024</v>
      </c>
      <c r="K6" s="15">
        <f t="shared" si="0"/>
        <v>9.3334404111789324E-2</v>
      </c>
      <c r="L6" s="15">
        <f t="shared" si="0"/>
        <v>3.0107526881719509E-2</v>
      </c>
      <c r="M6" s="15">
        <f t="shared" si="0"/>
        <v>2.8571428571428571E-3</v>
      </c>
      <c r="N6" s="17">
        <v>0</v>
      </c>
    </row>
    <row r="7" spans="1:15" x14ac:dyDescent="0.55000000000000004">
      <c r="A7" s="37">
        <v>1</v>
      </c>
      <c r="B7" s="29" t="s">
        <v>20</v>
      </c>
      <c r="C7" s="12">
        <v>0</v>
      </c>
      <c r="D7" s="12">
        <f t="shared" ref="D7:M7" si="1">D2/D3</f>
        <v>0.59906694312796205</v>
      </c>
      <c r="E7" s="12">
        <f t="shared" si="1"/>
        <v>0.76664141657047591</v>
      </c>
      <c r="F7" s="12">
        <f t="shared" si="1"/>
        <v>0.92719692562493694</v>
      </c>
      <c r="G7" s="12">
        <f t="shared" si="1"/>
        <v>0.9629349842763425</v>
      </c>
      <c r="H7" s="12">
        <f t="shared" si="1"/>
        <v>0.97653560106982695</v>
      </c>
      <c r="I7" s="12">
        <f t="shared" si="1"/>
        <v>0.98427347207835003</v>
      </c>
      <c r="J7" s="12">
        <f t="shared" si="1"/>
        <v>0.98679725123099515</v>
      </c>
      <c r="K7" s="12">
        <f t="shared" si="1"/>
        <v>0.96817727424191879</v>
      </c>
      <c r="L7" s="12">
        <f t="shared" si="1"/>
        <v>0.85304659498206392</v>
      </c>
      <c r="M7" s="12">
        <f t="shared" si="1"/>
        <v>0.74999999999727152</v>
      </c>
      <c r="N7" s="18">
        <v>0</v>
      </c>
      <c r="O7" s="39">
        <f>AVERAGE(D7:M7)</f>
        <v>0.87746704632001438</v>
      </c>
    </row>
    <row r="8" spans="1:15" ht="14.7" thickBot="1" x14ac:dyDescent="0.6">
      <c r="A8" s="38">
        <v>1</v>
      </c>
      <c r="B8" s="30" t="s">
        <v>18</v>
      </c>
      <c r="C8" s="19">
        <v>0</v>
      </c>
      <c r="D8" s="19">
        <f t="shared" ref="D8:M8" si="2">1-D4/D5</f>
        <v>0.2271981809138065</v>
      </c>
      <c r="E8" s="19">
        <f t="shared" si="2"/>
        <v>0.13068478200851641</v>
      </c>
      <c r="F8" s="19">
        <f t="shared" si="2"/>
        <v>6.0940622265183486E-2</v>
      </c>
      <c r="G8" s="19">
        <f t="shared" si="2"/>
        <v>4.0655292915590002E-2</v>
      </c>
      <c r="H8" s="19">
        <f t="shared" si="2"/>
        <v>3.2592089628246668E-2</v>
      </c>
      <c r="I8" s="19">
        <f t="shared" si="2"/>
        <v>1.9974316602623499E-2</v>
      </c>
      <c r="J8" s="19">
        <f t="shared" si="2"/>
        <v>1.8570782592426061E-2</v>
      </c>
      <c r="K8" s="19">
        <f t="shared" si="2"/>
        <v>2.7770639254737217E-2</v>
      </c>
      <c r="L8" s="19">
        <f t="shared" si="2"/>
        <v>8.6021505376344121E-2</v>
      </c>
      <c r="M8" s="19">
        <f t="shared" si="2"/>
        <v>0.19999999999999996</v>
      </c>
      <c r="N8" s="20">
        <v>0</v>
      </c>
    </row>
    <row r="9" spans="1:15" x14ac:dyDescent="0.55000000000000004">
      <c r="A9" s="34">
        <v>2</v>
      </c>
      <c r="B9" s="25" t="s">
        <v>13</v>
      </c>
      <c r="C9" s="2">
        <v>32.754100000000001</v>
      </c>
      <c r="D9" s="2">
        <f>320.268-32.7541</f>
        <v>287.51389999999998</v>
      </c>
      <c r="E9" s="2">
        <f>1666.98-320.268</f>
        <v>1346.712</v>
      </c>
      <c r="F9" s="2">
        <f>4375.9-1666.98</f>
        <v>2708.9199999999996</v>
      </c>
      <c r="G9" s="2">
        <f>7825.5-4375.9</f>
        <v>3449.6000000000004</v>
      </c>
      <c r="H9" s="2">
        <f>11576.8-7825.5</f>
        <v>3751.2999999999993</v>
      </c>
      <c r="I9" s="2">
        <f>15119-11576.8</f>
        <v>3542.2000000000007</v>
      </c>
      <c r="J9" s="2">
        <f>17656-15119</f>
        <v>2537</v>
      </c>
      <c r="K9" s="2">
        <f>19111.6-17656</f>
        <v>1455.5999999999985</v>
      </c>
      <c r="L9" s="2">
        <f>19540.4-19111.6</f>
        <v>428.80000000000291</v>
      </c>
      <c r="M9" s="2">
        <f>19602.5-19540.4</f>
        <v>62.099999999998545</v>
      </c>
      <c r="N9" s="3">
        <f>19613.4-19602.5</f>
        <v>10.900000000001455</v>
      </c>
    </row>
    <row r="10" spans="1:15" x14ac:dyDescent="0.55000000000000004">
      <c r="A10" s="35">
        <v>2</v>
      </c>
      <c r="B10" s="26" t="s">
        <v>19</v>
      </c>
      <c r="C10" s="7">
        <v>47.748899999999999</v>
      </c>
      <c r="D10" s="7">
        <f>417.356-47.7489</f>
        <v>369.6071</v>
      </c>
      <c r="E10" s="7">
        <f>1897.6-417.356</f>
        <v>1480.2439999999999</v>
      </c>
      <c r="F10" s="7">
        <f>4683.1-1897.6</f>
        <v>2785.5000000000005</v>
      </c>
      <c r="G10" s="7">
        <f>8191.58-4683.1</f>
        <v>3508.4799999999996</v>
      </c>
      <c r="H10" s="7">
        <f>11984.7-8191.58</f>
        <v>3793.1200000000008</v>
      </c>
      <c r="I10" s="7">
        <f>15556.1-11984.7</f>
        <v>3571.3999999999996</v>
      </c>
      <c r="J10" s="7">
        <f>18113-15556.1</f>
        <v>2556.8999999999996</v>
      </c>
      <c r="K10" s="7">
        <f>19585.5-18113</f>
        <v>1472.5</v>
      </c>
      <c r="L10" s="7">
        <f>20033.9-19585.5</f>
        <v>448.40000000000146</v>
      </c>
      <c r="M10" s="7">
        <f>20108.7-20033.9</f>
        <v>74.799999999999272</v>
      </c>
      <c r="N10" s="8">
        <f>20124-20108.7</f>
        <v>15.299999999999272</v>
      </c>
    </row>
    <row r="11" spans="1:15" x14ac:dyDescent="0.55000000000000004">
      <c r="A11" s="36">
        <v>2</v>
      </c>
      <c r="B11" s="27" t="s">
        <v>14</v>
      </c>
      <c r="C11" s="13">
        <v>1001.39</v>
      </c>
      <c r="D11" s="13">
        <f>4417.79-1001.39</f>
        <v>3416.4</v>
      </c>
      <c r="E11" s="13">
        <f>13185-4417.79</f>
        <v>8767.2099999999991</v>
      </c>
      <c r="F11" s="13">
        <f>28803.2-13185</f>
        <v>15618.2</v>
      </c>
      <c r="G11" s="13">
        <f>48353.3-28803.2</f>
        <v>19550.100000000002</v>
      </c>
      <c r="H11" s="13">
        <f>69668.2-48353.3</f>
        <v>21314.899999999994</v>
      </c>
      <c r="I11" s="13">
        <f>89924.8-69668.2</f>
        <v>20256.600000000006</v>
      </c>
      <c r="J11" s="13">
        <f>105143-89924.8</f>
        <v>15218.199999999997</v>
      </c>
      <c r="K11" s="13">
        <f>114826-105143</f>
        <v>9683</v>
      </c>
      <c r="L11" s="13">
        <f>119372-114826</f>
        <v>4546</v>
      </c>
      <c r="M11" s="13">
        <f>120871-119372</f>
        <v>1499</v>
      </c>
      <c r="N11" s="14">
        <f>121429-120871</f>
        <v>558</v>
      </c>
    </row>
    <row r="12" spans="1:15" x14ac:dyDescent="0.55000000000000004">
      <c r="A12" s="36">
        <v>2</v>
      </c>
      <c r="B12" s="28" t="s">
        <v>15</v>
      </c>
      <c r="C12" s="9">
        <v>1218.0999999999999</v>
      </c>
      <c r="D12" s="9">
        <f>5137.41-1218.1</f>
        <v>3919.31</v>
      </c>
      <c r="E12" s="9">
        <f>14545.3-5137.41</f>
        <v>9407.89</v>
      </c>
      <c r="F12" s="9">
        <f>30570.1-14545.3</f>
        <v>16024.8</v>
      </c>
      <c r="G12" s="9">
        <f>50509.3-30570.1</f>
        <v>19939.200000000004</v>
      </c>
      <c r="H12" s="9">
        <f>72137.8-50509.3</f>
        <v>21628.5</v>
      </c>
      <c r="I12" s="9">
        <f>92616.9-72137.8</f>
        <v>20479.099999999991</v>
      </c>
      <c r="J12" s="9">
        <f>107994-92616.9</f>
        <v>15377.100000000006</v>
      </c>
      <c r="K12" s="9">
        <f>117814-107994</f>
        <v>9820</v>
      </c>
      <c r="L12" s="9">
        <f>122516-117814</f>
        <v>4702</v>
      </c>
      <c r="M12" s="9">
        <f>124179-122516</f>
        <v>1663</v>
      </c>
      <c r="N12" s="10">
        <f>124847-124179</f>
        <v>668</v>
      </c>
    </row>
    <row r="13" spans="1:15" x14ac:dyDescent="0.55000000000000004">
      <c r="A13" s="36">
        <v>2</v>
      </c>
      <c r="B13" s="27" t="s">
        <v>17</v>
      </c>
      <c r="C13" s="15">
        <f t="shared" ref="C13:N13" si="3">C9/C12</f>
        <v>2.6889500041047537E-2</v>
      </c>
      <c r="D13" s="15">
        <f t="shared" si="3"/>
        <v>7.3358295210126268E-2</v>
      </c>
      <c r="E13" s="15">
        <f t="shared" si="3"/>
        <v>0.143147081864265</v>
      </c>
      <c r="F13" s="15">
        <f t="shared" si="3"/>
        <v>0.16904547950676449</v>
      </c>
      <c r="G13" s="15">
        <f t="shared" si="3"/>
        <v>0.17300593805167708</v>
      </c>
      <c r="H13" s="15">
        <f t="shared" si="3"/>
        <v>0.17344244862103239</v>
      </c>
      <c r="I13" s="15">
        <f t="shared" si="3"/>
        <v>0.17296658544564958</v>
      </c>
      <c r="J13" s="15">
        <f t="shared" si="3"/>
        <v>0.16498559546338379</v>
      </c>
      <c r="K13" s="15">
        <f t="shared" si="3"/>
        <v>0.1482281059063135</v>
      </c>
      <c r="L13" s="15">
        <f t="shared" si="3"/>
        <v>9.119523606975817E-2</v>
      </c>
      <c r="M13" s="15">
        <f t="shared" si="3"/>
        <v>3.7342152736018368E-2</v>
      </c>
      <c r="N13" s="17">
        <f t="shared" si="3"/>
        <v>1.6317365269463258E-2</v>
      </c>
    </row>
    <row r="14" spans="1:15" x14ac:dyDescent="0.55000000000000004">
      <c r="A14" s="37">
        <v>2</v>
      </c>
      <c r="B14" s="29" t="s">
        <v>20</v>
      </c>
      <c r="C14" s="12">
        <f>C9/C10</f>
        <v>0.68596554056742676</v>
      </c>
      <c r="D14" s="12">
        <f t="shared" ref="D14:N14" si="4">D9/D10</f>
        <v>0.77789063034773942</v>
      </c>
      <c r="E14" s="12">
        <f t="shared" si="4"/>
        <v>0.90979054804478188</v>
      </c>
      <c r="F14" s="12">
        <f t="shared" si="4"/>
        <v>0.97250762879195807</v>
      </c>
      <c r="G14" s="12">
        <f t="shared" si="4"/>
        <v>0.98321780372126988</v>
      </c>
      <c r="H14" s="12">
        <f t="shared" si="4"/>
        <v>0.98897477538279788</v>
      </c>
      <c r="I14" s="12">
        <f t="shared" si="4"/>
        <v>0.991823934591477</v>
      </c>
      <c r="J14" s="12">
        <f t="shared" si="4"/>
        <v>0.99221713794047495</v>
      </c>
      <c r="K14" s="12">
        <f t="shared" si="4"/>
        <v>0.98852292020373411</v>
      </c>
      <c r="L14" s="12">
        <f t="shared" si="4"/>
        <v>0.95628902765388391</v>
      </c>
      <c r="M14" s="12">
        <f t="shared" si="4"/>
        <v>0.83021390374330417</v>
      </c>
      <c r="N14" s="18">
        <f t="shared" si="4"/>
        <v>0.7124183006537238</v>
      </c>
      <c r="O14" s="39">
        <f>AVERAGE(C14:N14)</f>
        <v>0.8991526793035477</v>
      </c>
    </row>
    <row r="15" spans="1:15" ht="14.7" thickBot="1" x14ac:dyDescent="0.6">
      <c r="A15" s="38">
        <v>2</v>
      </c>
      <c r="B15" s="30" t="s">
        <v>18</v>
      </c>
      <c r="C15" s="19">
        <f t="shared" ref="C15:N15" si="5">1-C11/C12</f>
        <v>0.1779082177161152</v>
      </c>
      <c r="D15" s="19">
        <f t="shared" si="5"/>
        <v>0.12831595357346059</v>
      </c>
      <c r="E15" s="19">
        <f t="shared" si="5"/>
        <v>6.810028603650764E-2</v>
      </c>
      <c r="F15" s="19">
        <f t="shared" si="5"/>
        <v>2.5373171584044618E-2</v>
      </c>
      <c r="G15" s="19">
        <f t="shared" si="5"/>
        <v>1.951432354357252E-2</v>
      </c>
      <c r="H15" s="19">
        <f t="shared" si="5"/>
        <v>1.4499387382389206E-2</v>
      </c>
      <c r="I15" s="19">
        <f t="shared" si="5"/>
        <v>1.0864735266685854E-2</v>
      </c>
      <c r="J15" s="19">
        <f t="shared" si="5"/>
        <v>1.0333547938168319E-2</v>
      </c>
      <c r="K15" s="19">
        <f t="shared" si="5"/>
        <v>1.3951120162932762E-2</v>
      </c>
      <c r="L15" s="19">
        <f t="shared" si="5"/>
        <v>3.3177371331348349E-2</v>
      </c>
      <c r="M15" s="19">
        <f t="shared" si="5"/>
        <v>9.8616957306073338E-2</v>
      </c>
      <c r="N15" s="20">
        <f t="shared" si="5"/>
        <v>0.16467065868263475</v>
      </c>
    </row>
    <row r="16" spans="1:15" x14ac:dyDescent="0.55000000000000004">
      <c r="A16" s="34">
        <v>3</v>
      </c>
      <c r="B16" s="25" t="s">
        <v>13</v>
      </c>
      <c r="C16" s="2">
        <v>2575.35</v>
      </c>
      <c r="D16" s="2">
        <f>5693.67-2575.35</f>
        <v>3118.32</v>
      </c>
      <c r="E16" s="2">
        <f>9602.91-5693.67</f>
        <v>3909.24</v>
      </c>
      <c r="F16" s="2">
        <f>14013.7-9602.91</f>
        <v>4410.7900000000009</v>
      </c>
      <c r="G16" s="2">
        <f>18912.6-14013.7</f>
        <v>4898.8999999999978</v>
      </c>
      <c r="H16" s="2">
        <f>24217.1-18912.6</f>
        <v>5304.5</v>
      </c>
      <c r="I16" s="2">
        <f>29345.7-24217.1</f>
        <v>5128.6000000000022</v>
      </c>
      <c r="J16" s="2">
        <f>34260.3-29345.7</f>
        <v>4914.6000000000022</v>
      </c>
      <c r="K16" s="2">
        <f>38478.4-34260.3</f>
        <v>4218.0999999999985</v>
      </c>
      <c r="L16" s="2">
        <f>42054.7-38478.4</f>
        <v>3576.2999999999956</v>
      </c>
      <c r="M16" s="2">
        <f>44842.6-42054.7</f>
        <v>2787.9000000000015</v>
      </c>
      <c r="N16" s="3">
        <f>47233.7-44842.6</f>
        <v>2391.0999999999985</v>
      </c>
    </row>
    <row r="17" spans="1:15" x14ac:dyDescent="0.55000000000000004">
      <c r="A17" s="35">
        <v>3</v>
      </c>
      <c r="B17" s="26" t="s">
        <v>19</v>
      </c>
      <c r="C17" s="7">
        <v>2627.51</v>
      </c>
      <c r="D17" s="7">
        <f>5797.16-2627.51</f>
        <v>3169.6499999999996</v>
      </c>
      <c r="E17" s="7">
        <f>9754.4-5797.16</f>
        <v>3957.24</v>
      </c>
      <c r="F17" s="7">
        <f>14206.8 - 9754.4</f>
        <v>4452.3999999999996</v>
      </c>
      <c r="G17" s="7">
        <f>19140-14206.8</f>
        <v>4933.2000000000007</v>
      </c>
      <c r="H17" s="7">
        <f>24474.2-19140</f>
        <v>5334.2000000000007</v>
      </c>
      <c r="I17" s="7">
        <f>29631.4-24474.2</f>
        <v>5157.2000000000007</v>
      </c>
      <c r="J17" s="7">
        <f>34571.2 - 29631.1</f>
        <v>4940.0999999999985</v>
      </c>
      <c r="K17" s="7">
        <f>38814.8-34571.2</f>
        <v>4243.6000000000058</v>
      </c>
      <c r="L17" s="7">
        <f>42413.9-38814.8</f>
        <v>3599.0999999999985</v>
      </c>
      <c r="M17" s="7">
        <f>45234.5-42413.9</f>
        <v>2820.5999999999985</v>
      </c>
      <c r="N17" s="8">
        <f>47667.3-45234.5</f>
        <v>2432.8000000000029</v>
      </c>
    </row>
    <row r="18" spans="1:15" x14ac:dyDescent="0.55000000000000004">
      <c r="A18" s="36">
        <v>3</v>
      </c>
      <c r="B18" s="27" t="s">
        <v>14</v>
      </c>
      <c r="C18" s="13">
        <v>14256.2</v>
      </c>
      <c r="D18" s="13">
        <f>31161.8-14256.2</f>
        <v>16905.599999999999</v>
      </c>
      <c r="E18" s="13">
        <f>51981.3-31161.8</f>
        <v>20819.500000000004</v>
      </c>
      <c r="F18" s="13">
        <f>75390.9-51981.3</f>
        <v>23409.599999999991</v>
      </c>
      <c r="G18" s="13">
        <f>101224-75390.9</f>
        <v>25833.100000000006</v>
      </c>
      <c r="H18" s="13">
        <f>129171-101224</f>
        <v>27947</v>
      </c>
      <c r="I18" s="13">
        <f>156241-129171</f>
        <v>27070</v>
      </c>
      <c r="J18" s="13">
        <f>182150-156241</f>
        <v>25909</v>
      </c>
      <c r="K18" s="13">
        <f>204626-182150</f>
        <v>22476</v>
      </c>
      <c r="L18" s="13">
        <f>223818-204626</f>
        <v>19192</v>
      </c>
      <c r="M18" s="13">
        <f>239112-223818</f>
        <v>15294</v>
      </c>
      <c r="N18" s="14">
        <f>252490-239112</f>
        <v>13378</v>
      </c>
    </row>
    <row r="19" spans="1:15" x14ac:dyDescent="0.55000000000000004">
      <c r="A19" s="36">
        <v>3</v>
      </c>
      <c r="B19" s="28" t="s">
        <v>15</v>
      </c>
      <c r="C19" s="9">
        <v>14528.1</v>
      </c>
      <c r="D19" s="9">
        <f>31695.7-14528.1</f>
        <v>17167.599999999999</v>
      </c>
      <c r="E19" s="9">
        <f>52768-31695.7</f>
        <v>21072.3</v>
      </c>
      <c r="F19" s="9">
        <f>76419-52768</f>
        <v>23651</v>
      </c>
      <c r="G19" s="9">
        <f>102471-76419</f>
        <v>26052</v>
      </c>
      <c r="H19" s="9">
        <f>130625-102471</f>
        <v>28154</v>
      </c>
      <c r="I19" s="9">
        <f>157891-130625</f>
        <v>27266</v>
      </c>
      <c r="J19" s="9">
        <f>183963-157891</f>
        <v>26072</v>
      </c>
      <c r="K19" s="9">
        <f>206594-183963</f>
        <v>22631</v>
      </c>
      <c r="L19" s="9">
        <f>225949-206594</f>
        <v>19355</v>
      </c>
      <c r="M19" s="9">
        <f>241434-225949</f>
        <v>15485</v>
      </c>
      <c r="N19" s="10">
        <f>255049-241434</f>
        <v>13615</v>
      </c>
    </row>
    <row r="20" spans="1:15" x14ac:dyDescent="0.55000000000000004">
      <c r="A20" s="36">
        <v>3</v>
      </c>
      <c r="B20" s="27" t="s">
        <v>17</v>
      </c>
      <c r="C20" s="15">
        <f t="shared" ref="C20:N20" si="6">C16/C19</f>
        <v>0.17726681396741487</v>
      </c>
      <c r="D20" s="15">
        <f t="shared" si="6"/>
        <v>0.18163983317411872</v>
      </c>
      <c r="E20" s="15">
        <f t="shared" si="6"/>
        <v>0.18551558206745347</v>
      </c>
      <c r="F20" s="15">
        <f t="shared" si="6"/>
        <v>0.18649486279649913</v>
      </c>
      <c r="G20" s="15">
        <f t="shared" si="6"/>
        <v>0.18804314448027015</v>
      </c>
      <c r="H20" s="15">
        <f t="shared" si="6"/>
        <v>0.18841017262200754</v>
      </c>
      <c r="I20" s="15">
        <f t="shared" si="6"/>
        <v>0.18809506344898416</v>
      </c>
      <c r="J20" s="15">
        <f t="shared" si="6"/>
        <v>0.18850107394906421</v>
      </c>
      <c r="K20" s="15">
        <f t="shared" si="6"/>
        <v>0.18638593080288093</v>
      </c>
      <c r="L20" s="15">
        <f t="shared" si="6"/>
        <v>0.18477396021699796</v>
      </c>
      <c r="M20" s="15">
        <f t="shared" si="6"/>
        <v>0.18003874717468527</v>
      </c>
      <c r="N20" s="17">
        <f t="shared" si="6"/>
        <v>0.17562247521116406</v>
      </c>
    </row>
    <row r="21" spans="1:15" x14ac:dyDescent="0.55000000000000004">
      <c r="A21" s="37">
        <v>3</v>
      </c>
      <c r="B21" s="29" t="s">
        <v>20</v>
      </c>
      <c r="C21" s="12">
        <f>C16/C17</f>
        <v>0.9801485056193886</v>
      </c>
      <c r="D21" s="12">
        <f t="shared" ref="D21:N21" si="7">D16/D17</f>
        <v>0.98380578297288357</v>
      </c>
      <c r="E21" s="12">
        <f t="shared" si="7"/>
        <v>0.9878703338690602</v>
      </c>
      <c r="F21" s="12">
        <f t="shared" si="7"/>
        <v>0.99065447848351473</v>
      </c>
      <c r="G21" s="12">
        <f t="shared" si="7"/>
        <v>0.993047109381334</v>
      </c>
      <c r="H21" s="12">
        <f t="shared" si="7"/>
        <v>0.99443215477484892</v>
      </c>
      <c r="I21" s="12">
        <f t="shared" si="7"/>
        <v>0.99445435507639834</v>
      </c>
      <c r="J21" s="12">
        <f t="shared" si="7"/>
        <v>0.99483816117082724</v>
      </c>
      <c r="K21" s="12">
        <f t="shared" si="7"/>
        <v>0.9939909510792706</v>
      </c>
      <c r="L21" s="12">
        <f t="shared" si="7"/>
        <v>0.99366508293740019</v>
      </c>
      <c r="M21" s="12">
        <f t="shared" si="7"/>
        <v>0.98840672197404911</v>
      </c>
      <c r="N21" s="18">
        <f t="shared" si="7"/>
        <v>0.98285925682341158</v>
      </c>
      <c r="O21" s="39">
        <f>AVERAGE(C21:N21)</f>
        <v>0.98984774118019914</v>
      </c>
    </row>
    <row r="22" spans="1:15" ht="14.7" thickBot="1" x14ac:dyDescent="0.6">
      <c r="A22" s="38">
        <v>3</v>
      </c>
      <c r="B22" s="30" t="s">
        <v>18</v>
      </c>
      <c r="C22" s="19">
        <f t="shared" ref="C22:N22" si="8">1-C18/C19</f>
        <v>1.8715454877100246E-2</v>
      </c>
      <c r="D22" s="19">
        <f t="shared" si="8"/>
        <v>1.5261306181411527E-2</v>
      </c>
      <c r="E22" s="19">
        <f t="shared" si="8"/>
        <v>1.1996791997076484E-2</v>
      </c>
      <c r="F22" s="19">
        <f t="shared" si="8"/>
        <v>1.0206756585345644E-2</v>
      </c>
      <c r="G22" s="19">
        <f t="shared" si="8"/>
        <v>8.4024259173957061E-3</v>
      </c>
      <c r="H22" s="19">
        <f t="shared" si="8"/>
        <v>7.3524188392413148E-3</v>
      </c>
      <c r="I22" s="19">
        <f t="shared" si="8"/>
        <v>7.1884398151543794E-3</v>
      </c>
      <c r="J22" s="19">
        <f t="shared" si="8"/>
        <v>6.2519177661859437E-3</v>
      </c>
      <c r="K22" s="19">
        <f t="shared" si="8"/>
        <v>6.8490124165967448E-3</v>
      </c>
      <c r="L22" s="19">
        <f t="shared" si="8"/>
        <v>8.421596486695937E-3</v>
      </c>
      <c r="M22" s="19">
        <f t="shared" si="8"/>
        <v>1.2334517274782075E-2</v>
      </c>
      <c r="N22" s="20">
        <f t="shared" si="8"/>
        <v>1.7407271391847279E-2</v>
      </c>
    </row>
    <row r="23" spans="1:15" x14ac:dyDescent="0.55000000000000004">
      <c r="A23" s="34">
        <v>4</v>
      </c>
      <c r="B23" s="25" t="s">
        <v>13</v>
      </c>
      <c r="C23" s="2">
        <v>3658.86</v>
      </c>
      <c r="D23" s="2">
        <f>7355.83-3658.86</f>
        <v>3696.97</v>
      </c>
      <c r="E23" s="2">
        <f>11176.6-7355.83</f>
        <v>3820.7700000000004</v>
      </c>
      <c r="F23" s="2">
        <f>14895.7-11176.6</f>
        <v>3719.1000000000004</v>
      </c>
      <c r="G23" s="2">
        <f>18459-14895.7</f>
        <v>3563.2999999999993</v>
      </c>
      <c r="H23" s="2">
        <f>21797.6-18459</f>
        <v>3338.5999999999985</v>
      </c>
      <c r="I23" s="2">
        <f>25138.3-21797.6</f>
        <v>3340.7000000000007</v>
      </c>
      <c r="J23" s="2">
        <f>28753.4-25138.3</f>
        <v>3615.1000000000022</v>
      </c>
      <c r="K23" s="2">
        <f>32544-28753.4</f>
        <v>3790.5999999999985</v>
      </c>
      <c r="L23" s="2">
        <f>36338.3-32544</f>
        <v>3794.3000000000029</v>
      </c>
      <c r="M23" s="2">
        <f>40032.7-36338.3</f>
        <v>3694.3999999999942</v>
      </c>
      <c r="N23" s="3">
        <f>43654-40032.7</f>
        <v>3621.3000000000029</v>
      </c>
    </row>
    <row r="24" spans="1:15" x14ac:dyDescent="0.55000000000000004">
      <c r="A24" s="35">
        <v>4</v>
      </c>
      <c r="B24" s="26" t="s">
        <v>19</v>
      </c>
      <c r="C24" s="7">
        <v>3684.86</v>
      </c>
      <c r="D24" s="7">
        <f>7407.7-3684.86</f>
        <v>3722.8399999999997</v>
      </c>
      <c r="E24" s="7">
        <f>11252.5-7407.7</f>
        <v>3844.8</v>
      </c>
      <c r="F24" s="7">
        <f>15014.8-11252.5</f>
        <v>3762.2999999999993</v>
      </c>
      <c r="G24" s="7">
        <f>18632.5-15014.8</f>
        <v>3617.7000000000007</v>
      </c>
      <c r="H24" s="7">
        <f>22045.4-18632.5</f>
        <v>3412.9000000000015</v>
      </c>
      <c r="I24" s="7">
        <f>25457.4-22045.4</f>
        <v>3412</v>
      </c>
      <c r="J24" s="7">
        <f>29128.9-25457.4</f>
        <v>3671.5</v>
      </c>
      <c r="K24" s="7">
        <f>32965.5-29128.9</f>
        <v>3836.5999999999985</v>
      </c>
      <c r="L24" s="7">
        <f>36782.8-32965.5</f>
        <v>3817.3000000000029</v>
      </c>
      <c r="M24" s="7">
        <f>40502.1-36782.8</f>
        <v>3719.2999999999956</v>
      </c>
      <c r="N24" s="8">
        <f>44147.5-40502.1</f>
        <v>3645.4000000000015</v>
      </c>
    </row>
    <row r="25" spans="1:15" x14ac:dyDescent="0.55000000000000004">
      <c r="A25" s="36">
        <v>4</v>
      </c>
      <c r="B25" s="27" t="s">
        <v>14</v>
      </c>
      <c r="C25" s="13">
        <v>19732</v>
      </c>
      <c r="D25" s="13">
        <f>39614.2-19732</f>
        <v>19882.199999999997</v>
      </c>
      <c r="E25" s="13">
        <f>60089.7-39614.2</f>
        <v>20475.5</v>
      </c>
      <c r="F25" s="13">
        <f>80088.5-60089.7</f>
        <v>19998.800000000003</v>
      </c>
      <c r="G25" s="13">
        <f>99336-80088.5</f>
        <v>19247.5</v>
      </c>
      <c r="H25" s="13">
        <f>117508-99336</f>
        <v>18172</v>
      </c>
      <c r="I25" s="13">
        <f>135673-117508</f>
        <v>18165</v>
      </c>
      <c r="J25" s="13">
        <f>155159-135673</f>
        <v>19486</v>
      </c>
      <c r="K25" s="13">
        <f>175502-155159</f>
        <v>20343</v>
      </c>
      <c r="L25" s="13">
        <f>195869-175502</f>
        <v>20367</v>
      </c>
      <c r="M25" s="13">
        <f>215750-195869</f>
        <v>19881</v>
      </c>
      <c r="N25" s="14">
        <f>235302-215750</f>
        <v>19552</v>
      </c>
    </row>
    <row r="26" spans="1:15" x14ac:dyDescent="0.55000000000000004">
      <c r="A26" s="36">
        <v>4</v>
      </c>
      <c r="B26" s="28" t="s">
        <v>15</v>
      </c>
      <c r="C26" s="9">
        <v>19885</v>
      </c>
      <c r="D26" s="9">
        <f>39926.9-19885</f>
        <v>20041.900000000001</v>
      </c>
      <c r="E26" s="9">
        <f>60561.9-39926.9</f>
        <v>20635</v>
      </c>
      <c r="F26" s="9">
        <f>80834.4-60561.9</f>
        <v>20272.499999999993</v>
      </c>
      <c r="G26" s="9">
        <f>100423-80834.4</f>
        <v>19588.600000000006</v>
      </c>
      <c r="H26" s="9">
        <f>119027-100423</f>
        <v>18604</v>
      </c>
      <c r="I26" s="9">
        <f>137616-119027</f>
        <v>18589</v>
      </c>
      <c r="J26" s="9">
        <f>157443-137616</f>
        <v>19827</v>
      </c>
      <c r="K26" s="9">
        <f>178080-157443</f>
        <v>20637</v>
      </c>
      <c r="L26" s="9">
        <f>198626-178080</f>
        <v>20546</v>
      </c>
      <c r="M26" s="9">
        <f>218703-198626</f>
        <v>20077</v>
      </c>
      <c r="N26" s="10">
        <f>238426-218703</f>
        <v>19723</v>
      </c>
    </row>
    <row r="27" spans="1:15" x14ac:dyDescent="0.55000000000000004">
      <c r="A27" s="36">
        <v>4</v>
      </c>
      <c r="B27" s="27" t="s">
        <v>17</v>
      </c>
      <c r="C27" s="15">
        <f t="shared" ref="C27:N27" si="9">C23/C26</f>
        <v>0.18400100578325371</v>
      </c>
      <c r="D27" s="15">
        <f t="shared" si="9"/>
        <v>0.18446205200105775</v>
      </c>
      <c r="E27" s="15">
        <f t="shared" si="9"/>
        <v>0.18515968015507636</v>
      </c>
      <c r="F27" s="15">
        <f t="shared" si="9"/>
        <v>0.18345541990381067</v>
      </c>
      <c r="G27" s="15">
        <f t="shared" si="9"/>
        <v>0.18190682335644193</v>
      </c>
      <c r="H27" s="15">
        <f t="shared" si="9"/>
        <v>0.17945603096108356</v>
      </c>
      <c r="I27" s="15">
        <f t="shared" si="9"/>
        <v>0.1797138092420249</v>
      </c>
      <c r="J27" s="15">
        <f t="shared" si="9"/>
        <v>0.18233217329903678</v>
      </c>
      <c r="K27" s="15">
        <f t="shared" si="9"/>
        <v>0.18367979842031296</v>
      </c>
      <c r="L27" s="15">
        <f t="shared" si="9"/>
        <v>0.18467341575002447</v>
      </c>
      <c r="M27" s="15">
        <f t="shared" si="9"/>
        <v>0.18401155551128129</v>
      </c>
      <c r="N27" s="17">
        <f t="shared" si="9"/>
        <v>0.18360797038990026</v>
      </c>
    </row>
    <row r="28" spans="1:15" x14ac:dyDescent="0.55000000000000004">
      <c r="A28" s="37">
        <v>4</v>
      </c>
      <c r="B28" s="29" t="s">
        <v>20</v>
      </c>
      <c r="C28" s="12">
        <f>C23/C24</f>
        <v>0.99294410099705277</v>
      </c>
      <c r="D28" s="12">
        <f t="shared" ref="D28:N28" si="10">D23/D24</f>
        <v>0.99305100407215996</v>
      </c>
      <c r="E28" s="12">
        <f t="shared" si="10"/>
        <v>0.99375000000000002</v>
      </c>
      <c r="F28" s="12">
        <f t="shared" si="10"/>
        <v>0.98851766206841585</v>
      </c>
      <c r="G28" s="12">
        <f t="shared" si="10"/>
        <v>0.98496282168228388</v>
      </c>
      <c r="H28" s="12">
        <f t="shared" si="10"/>
        <v>0.97822965806205786</v>
      </c>
      <c r="I28" s="12">
        <f t="shared" si="10"/>
        <v>0.97910316529894514</v>
      </c>
      <c r="J28" s="12">
        <f t="shared" si="10"/>
        <v>0.98463843115892746</v>
      </c>
      <c r="K28" s="12">
        <f t="shared" si="10"/>
        <v>0.98801021737997186</v>
      </c>
      <c r="L28" s="12">
        <f t="shared" si="10"/>
        <v>0.9939747989416603</v>
      </c>
      <c r="M28" s="12">
        <f t="shared" si="10"/>
        <v>0.99330519183717325</v>
      </c>
      <c r="N28" s="18">
        <f t="shared" si="10"/>
        <v>0.99338892851264649</v>
      </c>
      <c r="O28" s="39">
        <f>AVERAGE(C28:N28)</f>
        <v>0.98865633166760791</v>
      </c>
    </row>
    <row r="29" spans="1:15" ht="14.7" thickBot="1" x14ac:dyDescent="0.6">
      <c r="A29" s="38">
        <v>4</v>
      </c>
      <c r="B29" s="30" t="s">
        <v>18</v>
      </c>
      <c r="C29" s="19">
        <f t="shared" ref="C29:N29" si="11">1-C25/C26</f>
        <v>7.694241890872533E-3</v>
      </c>
      <c r="D29" s="19">
        <f t="shared" si="11"/>
        <v>7.9683063980962032E-3</v>
      </c>
      <c r="E29" s="19">
        <f t="shared" si="11"/>
        <v>7.7295856554397968E-3</v>
      </c>
      <c r="F29" s="19">
        <f t="shared" si="11"/>
        <v>1.3501048218028888E-2</v>
      </c>
      <c r="G29" s="19">
        <f t="shared" si="11"/>
        <v>1.7413189303983168E-2</v>
      </c>
      <c r="H29" s="19">
        <f t="shared" si="11"/>
        <v>2.322081272844545E-2</v>
      </c>
      <c r="I29" s="19">
        <f t="shared" si="11"/>
        <v>2.2809188229598099E-2</v>
      </c>
      <c r="J29" s="19">
        <f t="shared" si="11"/>
        <v>1.719876935492004E-2</v>
      </c>
      <c r="K29" s="19">
        <f t="shared" si="11"/>
        <v>1.4246256723360995E-2</v>
      </c>
      <c r="L29" s="19">
        <f t="shared" si="11"/>
        <v>8.7121580842985935E-3</v>
      </c>
      <c r="M29" s="19">
        <f t="shared" si="11"/>
        <v>9.7624147033918973E-3</v>
      </c>
      <c r="N29" s="20">
        <f t="shared" si="11"/>
        <v>8.6700806165390665E-3</v>
      </c>
    </row>
    <row r="30" spans="1:15" x14ac:dyDescent="0.55000000000000004">
      <c r="A30" s="34">
        <v>5</v>
      </c>
      <c r="B30" s="25" t="s">
        <v>13</v>
      </c>
      <c r="C30" s="2">
        <v>5811.15</v>
      </c>
      <c r="D30" s="2">
        <f>10996.5-5811.15</f>
        <v>5185.3500000000004</v>
      </c>
      <c r="E30" s="2">
        <f>15261.1-10996.5</f>
        <v>4264.6000000000004</v>
      </c>
      <c r="F30" s="2">
        <f>18463.7-15261.1</f>
        <v>3202.6000000000004</v>
      </c>
      <c r="G30" s="2">
        <f>20779.5-18463.7</f>
        <v>2315.7999999999993</v>
      </c>
      <c r="H30" s="2">
        <f>22655.2-20779.5</f>
        <v>1875.7000000000007</v>
      </c>
      <c r="I30" s="2">
        <f>24498.7-22655.2</f>
        <v>1843.5</v>
      </c>
      <c r="J30" s="2">
        <f>27255.3-24498.7</f>
        <v>2756.5999999999985</v>
      </c>
      <c r="K30" s="2">
        <f>30604.4-27255.3</f>
        <v>3349.1000000000022</v>
      </c>
      <c r="L30" s="2">
        <f>35303.9-30604.4</f>
        <v>4699.5</v>
      </c>
      <c r="M30" s="2">
        <f>40842.3-35303.9</f>
        <v>5538.4000000000015</v>
      </c>
      <c r="N30" s="3">
        <f>46652.4-40842.3</f>
        <v>5810.0999999999985</v>
      </c>
    </row>
    <row r="31" spans="1:15" x14ac:dyDescent="0.55000000000000004">
      <c r="A31" s="35">
        <v>5</v>
      </c>
      <c r="B31" s="31" t="s">
        <v>19</v>
      </c>
      <c r="C31" s="5">
        <v>5855.81</v>
      </c>
      <c r="D31" s="5">
        <f>11117.4-5855.81</f>
        <v>5261.5899999999992</v>
      </c>
      <c r="E31" s="5">
        <f>15492.2-11117.4</f>
        <v>4374.8000000000011</v>
      </c>
      <c r="F31" s="5">
        <f>18809.3-15492.2</f>
        <v>3317.0999999999985</v>
      </c>
      <c r="G31" s="5">
        <f>21266.9-18809.3</f>
        <v>2457.6000000000022</v>
      </c>
      <c r="H31" s="5">
        <f>23265.3-21266.9</f>
        <v>1998.3999999999978</v>
      </c>
      <c r="I31" s="5">
        <f>25502.2-23265.3</f>
        <v>2236.9000000000015</v>
      </c>
      <c r="J31" s="5">
        <f>28458.1-25502.2</f>
        <v>2955.8999999999978</v>
      </c>
      <c r="K31" s="5">
        <f>32367-28458.1</f>
        <v>3908.9000000000015</v>
      </c>
      <c r="L31" s="5">
        <f>37212.1-32367</f>
        <v>4845.0999999999985</v>
      </c>
      <c r="M31" s="5">
        <f>42827.7-37212.1</f>
        <v>5615.5999999999985</v>
      </c>
      <c r="N31" s="6">
        <f>48711.8-42827.7</f>
        <v>5884.1000000000058</v>
      </c>
    </row>
    <row r="32" spans="1:15" x14ac:dyDescent="0.55000000000000004">
      <c r="A32" s="36">
        <v>5</v>
      </c>
      <c r="B32" s="27" t="s">
        <v>14</v>
      </c>
      <c r="C32" s="13">
        <v>30493.5</v>
      </c>
      <c r="D32" s="13">
        <f>57738.8-30493.5</f>
        <v>27245.300000000003</v>
      </c>
      <c r="E32" s="13">
        <f>80379.4-57738.8</f>
        <v>22640.599999999991</v>
      </c>
      <c r="F32" s="13">
        <f>97743-80379.4</f>
        <v>17363.600000000006</v>
      </c>
      <c r="G32" s="13">
        <f>110790-97743</f>
        <v>13047</v>
      </c>
      <c r="H32" s="13">
        <f>121690-110790</f>
        <v>10900</v>
      </c>
      <c r="I32" s="13">
        <f>132310-121690</f>
        <v>10620</v>
      </c>
      <c r="J32" s="13">
        <f>147386-132310</f>
        <v>15076</v>
      </c>
      <c r="K32" s="13">
        <f>165371-147386</f>
        <v>17985</v>
      </c>
      <c r="L32" s="13">
        <f>190071-165371</f>
        <v>24700</v>
      </c>
      <c r="M32" s="13">
        <f>219081-190071</f>
        <v>29010</v>
      </c>
      <c r="N32" s="14">
        <f>249576-219081</f>
        <v>30495</v>
      </c>
    </row>
    <row r="33" spans="1:15" x14ac:dyDescent="0.55000000000000004">
      <c r="A33" s="36">
        <v>5</v>
      </c>
      <c r="B33" s="27" t="s">
        <v>15</v>
      </c>
      <c r="C33" s="13">
        <v>30734.9</v>
      </c>
      <c r="D33" s="13">
        <f>58388.7-30734.9</f>
        <v>27653.799999999996</v>
      </c>
      <c r="E33" s="13">
        <f>81606.9-58388.7</f>
        <v>23218.199999999997</v>
      </c>
      <c r="F33" s="13">
        <f>99586.7-81606.9</f>
        <v>17979.800000000003</v>
      </c>
      <c r="G33" s="13">
        <f>113365-99586.7</f>
        <v>13778.300000000003</v>
      </c>
      <c r="H33" s="13">
        <f>124971-113365</f>
        <v>11606</v>
      </c>
      <c r="I33" s="13">
        <f>137697-124971</f>
        <v>12726</v>
      </c>
      <c r="J33" s="13">
        <f>153832-137697</f>
        <v>16135</v>
      </c>
      <c r="K33" s="13">
        <f>174698-153832</f>
        <v>20866</v>
      </c>
      <c r="L33" s="13">
        <f>200209-174698</f>
        <v>25511</v>
      </c>
      <c r="M33" s="13">
        <f>229637-200209</f>
        <v>29428</v>
      </c>
      <c r="N33" s="14">
        <f>260543-229637</f>
        <v>30906</v>
      </c>
    </row>
    <row r="34" spans="1:15" x14ac:dyDescent="0.55000000000000004">
      <c r="A34" s="36">
        <v>5</v>
      </c>
      <c r="B34" s="28" t="s">
        <v>17</v>
      </c>
      <c r="C34" s="11">
        <f t="shared" ref="C34:N34" si="12">C30/C33</f>
        <v>0.18907333357193287</v>
      </c>
      <c r="D34" s="11">
        <f t="shared" si="12"/>
        <v>0.18750949236632944</v>
      </c>
      <c r="E34" s="11">
        <f t="shared" si="12"/>
        <v>0.18367487574402844</v>
      </c>
      <c r="F34" s="11">
        <f t="shared" si="12"/>
        <v>0.1781221148177399</v>
      </c>
      <c r="G34" s="11">
        <f t="shared" si="12"/>
        <v>0.16807588744620156</v>
      </c>
      <c r="H34" s="11">
        <f t="shared" si="12"/>
        <v>0.16161468206100299</v>
      </c>
      <c r="I34" s="11">
        <f t="shared" si="12"/>
        <v>0.14486091466289486</v>
      </c>
      <c r="J34" s="11">
        <f t="shared" si="12"/>
        <v>0.17084598698481554</v>
      </c>
      <c r="K34" s="11">
        <f t="shared" si="12"/>
        <v>0.16050512795935984</v>
      </c>
      <c r="L34" s="11">
        <f t="shared" si="12"/>
        <v>0.18421465250284191</v>
      </c>
      <c r="M34" s="11">
        <f t="shared" si="12"/>
        <v>0.18820171265461469</v>
      </c>
      <c r="N34" s="21">
        <f t="shared" si="12"/>
        <v>0.18799262279169088</v>
      </c>
    </row>
    <row r="35" spans="1:15" x14ac:dyDescent="0.55000000000000004">
      <c r="A35" s="37">
        <v>5</v>
      </c>
      <c r="B35" s="32" t="s">
        <v>20</v>
      </c>
      <c r="C35" s="16">
        <f>C30/C31</f>
        <v>0.99237338643159512</v>
      </c>
      <c r="D35" s="16">
        <f t="shared" ref="D35:N35" si="13">D30/D31</f>
        <v>0.98551008345386115</v>
      </c>
      <c r="E35" s="16">
        <f t="shared" si="13"/>
        <v>0.97481027704123602</v>
      </c>
      <c r="F35" s="16">
        <f t="shared" si="13"/>
        <v>0.96548189683759966</v>
      </c>
      <c r="G35" s="16">
        <f t="shared" si="13"/>
        <v>0.94230143229166552</v>
      </c>
      <c r="H35" s="16">
        <f t="shared" si="13"/>
        <v>0.93860088070456504</v>
      </c>
      <c r="I35" s="16">
        <f t="shared" si="13"/>
        <v>0.82413161071125163</v>
      </c>
      <c r="J35" s="16">
        <f t="shared" si="13"/>
        <v>0.9325755269122773</v>
      </c>
      <c r="K35" s="16">
        <f t="shared" si="13"/>
        <v>0.85678835478011739</v>
      </c>
      <c r="L35" s="16">
        <f t="shared" si="13"/>
        <v>0.96994902066004862</v>
      </c>
      <c r="M35" s="16">
        <f t="shared" si="13"/>
        <v>0.98625258209274214</v>
      </c>
      <c r="N35" s="22">
        <f t="shared" si="13"/>
        <v>0.98742373515065907</v>
      </c>
      <c r="O35" s="39">
        <f>AVERAGE(C35:N35)</f>
        <v>0.94634989892230159</v>
      </c>
    </row>
    <row r="36" spans="1:15" ht="14.7" thickBot="1" x14ac:dyDescent="0.6">
      <c r="A36" s="38">
        <v>5</v>
      </c>
      <c r="B36" s="33" t="s">
        <v>18</v>
      </c>
      <c r="C36" s="23">
        <f t="shared" ref="C36:N36" si="14">1-C32/C33</f>
        <v>7.8542633943823326E-3</v>
      </c>
      <c r="D36" s="23">
        <f t="shared" si="14"/>
        <v>1.4771930078325335E-2</v>
      </c>
      <c r="E36" s="23">
        <f t="shared" si="14"/>
        <v>2.4877036118217899E-2</v>
      </c>
      <c r="F36" s="23">
        <f t="shared" si="14"/>
        <v>3.4271793902045489E-2</v>
      </c>
      <c r="G36" s="23">
        <f t="shared" si="14"/>
        <v>5.30762140467258E-2</v>
      </c>
      <c r="H36" s="23">
        <f t="shared" si="14"/>
        <v>6.0830604859555382E-2</v>
      </c>
      <c r="I36" s="23">
        <f t="shared" si="14"/>
        <v>0.16548797736916554</v>
      </c>
      <c r="J36" s="23">
        <f t="shared" si="14"/>
        <v>6.5633715525255654E-2</v>
      </c>
      <c r="K36" s="23">
        <f t="shared" si="14"/>
        <v>0.13807150388191314</v>
      </c>
      <c r="L36" s="23">
        <f t="shared" si="14"/>
        <v>3.1790208145505816E-2</v>
      </c>
      <c r="M36" s="23">
        <f t="shared" si="14"/>
        <v>1.4204159304064157E-2</v>
      </c>
      <c r="N36" s="24">
        <f t="shared" si="14"/>
        <v>1.3298388662395633E-2</v>
      </c>
    </row>
    <row r="37" spans="1:15" x14ac:dyDescent="0.55000000000000004">
      <c r="A37" s="34">
        <v>6</v>
      </c>
      <c r="B37" s="25" t="s">
        <v>13</v>
      </c>
      <c r="C37" s="2">
        <v>5137.9399999999996</v>
      </c>
      <c r="D37" s="2">
        <f>8140.75-5137.94</f>
        <v>3002.8100000000004</v>
      </c>
      <c r="E37" s="2">
        <f>8989.08-8140.75</f>
        <v>848.32999999999993</v>
      </c>
      <c r="F37" s="2">
        <f>9031.91-8989.08</f>
        <v>42.829999999999927</v>
      </c>
      <c r="G37" s="2">
        <f>9032.01-9031.91</f>
        <v>0.1000000000003638</v>
      </c>
      <c r="H37" s="2">
        <v>0</v>
      </c>
      <c r="I37" s="2">
        <v>0</v>
      </c>
      <c r="J37" s="2">
        <f>9036.87-9032.01</f>
        <v>4.8600000000005821</v>
      </c>
      <c r="K37" s="2">
        <f>9362.9-9036.87</f>
        <v>326.02999999999884</v>
      </c>
      <c r="L37" s="2">
        <f>11621.9-9362.9</f>
        <v>2259</v>
      </c>
      <c r="M37" s="2">
        <f>16382.6-11621.9</f>
        <v>4760.7000000000007</v>
      </c>
      <c r="N37" s="3">
        <f>21537.7-16382.6</f>
        <v>5155.1000000000004</v>
      </c>
    </row>
    <row r="38" spans="1:15" x14ac:dyDescent="0.55000000000000004">
      <c r="A38" s="35">
        <v>6</v>
      </c>
      <c r="B38" s="26" t="s">
        <v>19</v>
      </c>
      <c r="C38" s="7">
        <v>5439.89</v>
      </c>
      <c r="D38" s="7">
        <f>8595.86-5439.89</f>
        <v>3155.9700000000003</v>
      </c>
      <c r="E38" s="7">
        <f>9630.6-8595.86</f>
        <v>1034.7399999999998</v>
      </c>
      <c r="F38" s="7">
        <f>9713.47-9630.6</f>
        <v>82.869999999998981</v>
      </c>
      <c r="G38" s="7">
        <f>9713.84-9713.47</f>
        <v>0.37000000000080036</v>
      </c>
      <c r="H38" s="7">
        <f>0</f>
        <v>0</v>
      </c>
      <c r="I38" s="7">
        <v>0</v>
      </c>
      <c r="J38" s="7">
        <f>9729.19-9713.84</f>
        <v>15.350000000000364</v>
      </c>
      <c r="K38" s="7">
        <f>10347.9-9729.19</f>
        <v>618.70999999999913</v>
      </c>
      <c r="L38" s="7">
        <f>13104.4-10347.9</f>
        <v>2756.5</v>
      </c>
      <c r="M38" s="7">
        <f>18201.5-13104.4</f>
        <v>5097.1000000000004</v>
      </c>
      <c r="N38" s="8">
        <f>24528.4-18201.5</f>
        <v>6326.9000000000015</v>
      </c>
    </row>
    <row r="39" spans="1:15" x14ac:dyDescent="0.55000000000000004">
      <c r="A39" s="36">
        <v>6</v>
      </c>
      <c r="B39" s="27" t="s">
        <v>14</v>
      </c>
      <c r="C39" s="13">
        <v>29447.5</v>
      </c>
      <c r="D39" s="13">
        <f>47490-29447.5</f>
        <v>18042.5</v>
      </c>
      <c r="E39" s="13">
        <f>54470.2-47490</f>
        <v>6980.1999999999971</v>
      </c>
      <c r="F39" s="13">
        <f>55660.7-54470.2</f>
        <v>1190.5</v>
      </c>
      <c r="G39" s="13">
        <f>55694.7-55660.7</f>
        <v>34</v>
      </c>
      <c r="H39" s="13">
        <v>0</v>
      </c>
      <c r="I39" s="13">
        <v>0</v>
      </c>
      <c r="J39" s="13">
        <f>55948.9-55694.7</f>
        <v>254.20000000000437</v>
      </c>
      <c r="K39" s="13">
        <f>59514.3-55948.9</f>
        <v>3565.4000000000015</v>
      </c>
      <c r="L39" s="13">
        <f>73099.2-59514.3</f>
        <v>13584.899999999994</v>
      </c>
      <c r="M39" s="13">
        <f>99603.4-73099.2</f>
        <v>26504.199999999997</v>
      </c>
      <c r="N39" s="14">
        <f>129037-99603.4</f>
        <v>29433.600000000006</v>
      </c>
    </row>
    <row r="40" spans="1:15" x14ac:dyDescent="0.55000000000000004">
      <c r="A40" s="36">
        <v>6</v>
      </c>
      <c r="B40" s="28" t="s">
        <v>15</v>
      </c>
      <c r="C40" s="9">
        <v>31028.799999999999</v>
      </c>
      <c r="D40" s="9">
        <f>49969.5-31028.8</f>
        <v>18940.7</v>
      </c>
      <c r="E40" s="9">
        <f>58104-49969.5</f>
        <v>8134.5</v>
      </c>
      <c r="F40" s="9">
        <f>59984.6-58104</f>
        <v>1880.5999999999985</v>
      </c>
      <c r="G40" s="9">
        <f>60082.2-59984.6</f>
        <v>97.599999999998545</v>
      </c>
      <c r="H40" s="9">
        <f>0</f>
        <v>0</v>
      </c>
      <c r="I40" s="9">
        <v>0</v>
      </c>
      <c r="J40" s="9">
        <f>60668.6-60082.2</f>
        <v>586.40000000000146</v>
      </c>
      <c r="K40" s="9">
        <f>66251.6-60668.6</f>
        <v>5583.0000000000073</v>
      </c>
      <c r="L40" s="9">
        <f>82384.7-66251.6</f>
        <v>16133.099999999991</v>
      </c>
      <c r="M40" s="9">
        <f>110520-82384.7</f>
        <v>28135.300000000003</v>
      </c>
      <c r="N40" s="10">
        <f>146024-110520</f>
        <v>35504</v>
      </c>
    </row>
    <row r="41" spans="1:15" x14ac:dyDescent="0.55000000000000004">
      <c r="A41" s="36">
        <v>6</v>
      </c>
      <c r="B41" s="27" t="s">
        <v>17</v>
      </c>
      <c r="C41" s="15">
        <f>C37/C40</f>
        <v>0.16558616511112256</v>
      </c>
      <c r="D41" s="15">
        <f>D37/D40</f>
        <v>0.15853743525846459</v>
      </c>
      <c r="E41" s="15">
        <f>E37/E40</f>
        <v>0.10428790952117523</v>
      </c>
      <c r="F41" s="15">
        <f>F37/F40</f>
        <v>2.2774646389450155E-2</v>
      </c>
      <c r="G41" s="15">
        <f>G37/G40</f>
        <v>1.0245901639381689E-3</v>
      </c>
      <c r="H41" s="15">
        <v>0</v>
      </c>
      <c r="I41" s="15">
        <v>0</v>
      </c>
      <c r="J41" s="15">
        <f>J37/J40</f>
        <v>8.2878581173270287E-3</v>
      </c>
      <c r="K41" s="15">
        <f>K37/K40</f>
        <v>5.8396919219057569E-2</v>
      </c>
      <c r="L41" s="15">
        <f>L37/L40</f>
        <v>0.14002268627852063</v>
      </c>
      <c r="M41" s="15">
        <f>M37/M40</f>
        <v>0.16920736583580059</v>
      </c>
      <c r="N41" s="17">
        <f>N37/N40</f>
        <v>0.14519772420009014</v>
      </c>
    </row>
    <row r="42" spans="1:15" x14ac:dyDescent="0.55000000000000004">
      <c r="A42" s="37">
        <v>6</v>
      </c>
      <c r="B42" s="29" t="s">
        <v>20</v>
      </c>
      <c r="C42" s="12">
        <f>C37/C38</f>
        <v>0.94449336291726471</v>
      </c>
      <c r="D42" s="12">
        <f t="shared" ref="D42:N42" si="15">D37/D38</f>
        <v>0.95146975414848689</v>
      </c>
      <c r="E42" s="12">
        <f t="shared" si="15"/>
        <v>0.81984846434853209</v>
      </c>
      <c r="F42" s="12">
        <f t="shared" si="15"/>
        <v>0.51683359478702129</v>
      </c>
      <c r="G42" s="12">
        <f t="shared" si="15"/>
        <v>0.27027027027066886</v>
      </c>
      <c r="H42" s="12">
        <v>0</v>
      </c>
      <c r="I42" s="12">
        <v>0</v>
      </c>
      <c r="J42" s="12">
        <f t="shared" si="15"/>
        <v>0.31661237785019331</v>
      </c>
      <c r="K42" s="12">
        <f t="shared" si="15"/>
        <v>0.52695123725170001</v>
      </c>
      <c r="L42" s="12">
        <f t="shared" si="15"/>
        <v>0.81951750408126245</v>
      </c>
      <c r="M42" s="12">
        <f t="shared" si="15"/>
        <v>0.93400168723391741</v>
      </c>
      <c r="N42" s="18">
        <f t="shared" si="15"/>
        <v>0.8147908138266764</v>
      </c>
      <c r="O42" s="39">
        <f>AVERAGE(C42:N42)</f>
        <v>0.57623242222631033</v>
      </c>
    </row>
    <row r="43" spans="1:15" ht="14.7" thickBot="1" x14ac:dyDescent="0.6">
      <c r="A43" s="38">
        <v>6</v>
      </c>
      <c r="B43" s="30" t="s">
        <v>18</v>
      </c>
      <c r="C43" s="19">
        <f t="shared" ref="C43:N43" si="16">1-C39/C40</f>
        <v>5.0962331769195068E-2</v>
      </c>
      <c r="D43" s="19">
        <f>1-D39/D40</f>
        <v>4.7421689800271394E-2</v>
      </c>
      <c r="E43" s="19">
        <f t="shared" si="16"/>
        <v>0.14190177638453538</v>
      </c>
      <c r="F43" s="19">
        <f t="shared" si="16"/>
        <v>0.36695735403594554</v>
      </c>
      <c r="G43" s="19">
        <f t="shared" si="16"/>
        <v>0.65163934426228987</v>
      </c>
      <c r="H43" s="19">
        <v>0</v>
      </c>
      <c r="I43" s="19">
        <v>0</v>
      </c>
      <c r="J43" s="19">
        <f t="shared" si="16"/>
        <v>0.56650750341063483</v>
      </c>
      <c r="K43" s="19">
        <f t="shared" si="16"/>
        <v>0.36138276912054512</v>
      </c>
      <c r="L43" s="19">
        <f t="shared" si="16"/>
        <v>0.15794856537181312</v>
      </c>
      <c r="M43" s="19">
        <f t="shared" si="16"/>
        <v>5.7973435506285864E-2</v>
      </c>
      <c r="N43" s="20">
        <f t="shared" si="16"/>
        <v>0.17097791798107242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409D-61FB-4FE6-AA5C-F6B80F63EF47}">
  <dimension ref="A1:D7"/>
  <sheetViews>
    <sheetView tabSelected="1" workbookViewId="0">
      <selection activeCell="E5" sqref="E5"/>
    </sheetView>
  </sheetViews>
  <sheetFormatPr defaultRowHeight="14.4" x14ac:dyDescent="0.55000000000000004"/>
  <cols>
    <col min="1" max="1" width="7.5234375" style="40" bestFit="1" customWidth="1"/>
    <col min="2" max="2" width="7.68359375" style="40" bestFit="1" customWidth="1"/>
    <col min="3" max="3" width="8.89453125" style="40" bestFit="1" customWidth="1"/>
    <col min="4" max="16384" width="8.83984375" style="40"/>
  </cols>
  <sheetData>
    <row r="1" spans="1:4" x14ac:dyDescent="0.55000000000000004">
      <c r="A1" s="40" t="s">
        <v>12</v>
      </c>
      <c r="B1" s="40" t="s">
        <v>21</v>
      </c>
      <c r="C1" s="40" t="s">
        <v>22</v>
      </c>
    </row>
    <row r="2" spans="1:4" x14ac:dyDescent="0.55000000000000004">
      <c r="A2" s="40">
        <v>1</v>
      </c>
      <c r="B2" s="41">
        <v>0.87746704632001438</v>
      </c>
      <c r="C2" s="41">
        <v>0.43648040068130012</v>
      </c>
      <c r="D2" s="41">
        <f>B2-C2</f>
        <v>0.44098664563871426</v>
      </c>
    </row>
    <row r="3" spans="1:4" x14ac:dyDescent="0.55000000000000004">
      <c r="A3" s="40">
        <v>2</v>
      </c>
      <c r="B3" s="41">
        <v>0.8991526793035477</v>
      </c>
      <c r="C3" s="41">
        <v>0.46711808262571308</v>
      </c>
      <c r="D3" s="41">
        <f t="shared" ref="D3:D7" si="0">B3-C3</f>
        <v>0.43203459667783461</v>
      </c>
    </row>
    <row r="4" spans="1:4" x14ac:dyDescent="0.55000000000000004">
      <c r="A4" s="40">
        <v>3</v>
      </c>
      <c r="B4" s="41">
        <v>0.98984774118019914</v>
      </c>
      <c r="C4" s="41">
        <v>0.84360471406388438</v>
      </c>
      <c r="D4" s="41">
        <f t="shared" si="0"/>
        <v>0.14624302711631476</v>
      </c>
    </row>
    <row r="5" spans="1:4" x14ac:dyDescent="0.55000000000000004">
      <c r="A5" s="40">
        <v>4</v>
      </c>
      <c r="B5" s="41">
        <v>0.98865633166760791</v>
      </c>
      <c r="C5" s="41">
        <v>0.95018384656700017</v>
      </c>
      <c r="D5" s="41">
        <f t="shared" si="0"/>
        <v>3.8472485100607745E-2</v>
      </c>
    </row>
    <row r="6" spans="1:4" x14ac:dyDescent="0.55000000000000004">
      <c r="A6" s="40">
        <v>5</v>
      </c>
      <c r="B6" s="41">
        <v>0.94634989892230159</v>
      </c>
      <c r="C6" s="41">
        <v>0.83942929223997576</v>
      </c>
      <c r="D6" s="41">
        <f t="shared" si="0"/>
        <v>0.10692060668232584</v>
      </c>
    </row>
    <row r="7" spans="1:4" x14ac:dyDescent="0.55000000000000004">
      <c r="A7" s="40">
        <v>6</v>
      </c>
      <c r="B7" s="41">
        <v>0.57623242222631033</v>
      </c>
      <c r="C7" s="41">
        <v>0.39336719769477663</v>
      </c>
      <c r="D7" s="41">
        <f t="shared" si="0"/>
        <v>0.1828652245315337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F57D-5980-4A67-9C57-BAF7F4EB7EB6}">
  <dimension ref="A1:O45"/>
  <sheetViews>
    <sheetView topLeftCell="A25" workbookViewId="0">
      <selection sqref="A1:N43"/>
    </sheetView>
  </sheetViews>
  <sheetFormatPr defaultColWidth="23.83984375" defaultRowHeight="14.4" x14ac:dyDescent="0.55000000000000004"/>
  <cols>
    <col min="1" max="1" width="7.734375" bestFit="1" customWidth="1"/>
    <col min="2" max="2" width="17.15625" bestFit="1" customWidth="1"/>
    <col min="3" max="14" width="7.20703125" bestFit="1" customWidth="1"/>
    <col min="15" max="15" width="6.68359375" bestFit="1" customWidth="1"/>
  </cols>
  <sheetData>
    <row r="1" spans="1:15" ht="14.7" thickBot="1" x14ac:dyDescent="0.6">
      <c r="A1" s="1" t="s">
        <v>12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5" x14ac:dyDescent="0.55000000000000004">
      <c r="A2" s="34">
        <v>1</v>
      </c>
      <c r="B2" s="25" t="s">
        <v>13</v>
      </c>
      <c r="C2" s="2">
        <v>0</v>
      </c>
      <c r="D2" s="2">
        <v>1.02481</v>
      </c>
      <c r="E2" s="2">
        <f>153.194-1.02481</f>
        <v>152.16918999999999</v>
      </c>
      <c r="F2" s="2">
        <f>1577.87-153.194</f>
        <v>1424.6759999999999</v>
      </c>
      <c r="G2" s="2">
        <f>4599.13-1577.87</f>
        <v>3021.26</v>
      </c>
      <c r="H2" s="2">
        <f>7756.41-4599.13</f>
        <v>3157.2799999999997</v>
      </c>
      <c r="I2" s="2">
        <f>10303.9-7756.41</f>
        <v>2547.4899999999998</v>
      </c>
      <c r="J2" s="2">
        <f>11474.1-10303.9</f>
        <v>1170.2000000000007</v>
      </c>
      <c r="K2" s="2">
        <f>11722.8-11474.1</f>
        <v>248.69999999999891</v>
      </c>
      <c r="L2" s="2">
        <f>11733.6-11722.8</f>
        <v>10.800000000001091</v>
      </c>
      <c r="M2" s="2">
        <v>0</v>
      </c>
      <c r="N2" s="3">
        <v>0</v>
      </c>
    </row>
    <row r="3" spans="1:15" x14ac:dyDescent="0.55000000000000004">
      <c r="A3" s="35">
        <v>1</v>
      </c>
      <c r="B3" s="26" t="s">
        <v>19</v>
      </c>
      <c r="C3" s="7">
        <v>0</v>
      </c>
      <c r="D3" s="7">
        <v>20.256</v>
      </c>
      <c r="E3" s="7">
        <f>768.768-20.256</f>
        <v>748.51200000000006</v>
      </c>
      <c r="F3" s="7">
        <f>3464.08-768.768</f>
        <v>2695.3119999999999</v>
      </c>
      <c r="G3" s="7">
        <f>7528.02-3464.08</f>
        <v>4063.9400000000005</v>
      </c>
      <c r="H3" s="7">
        <f>11483.8-7528.02</f>
        <v>3955.7799999999988</v>
      </c>
      <c r="I3" s="7">
        <f>14669.5-11483.8</f>
        <v>3185.7000000000007</v>
      </c>
      <c r="J3" s="7">
        <f>16517.6-14669.5</f>
        <v>1848.0999999999985</v>
      </c>
      <c r="K3" s="7">
        <f>17117.8-16517.6</f>
        <v>600.20000000000073</v>
      </c>
      <c r="L3" s="7">
        <f>17173.6-17117.8</f>
        <v>55.799999999999272</v>
      </c>
      <c r="M3" s="7">
        <f>17174-17173.6</f>
        <v>0.40000000000145519</v>
      </c>
      <c r="N3" s="8">
        <f>17174-17174</f>
        <v>0</v>
      </c>
    </row>
    <row r="4" spans="1:15" x14ac:dyDescent="0.55000000000000004">
      <c r="A4" s="36">
        <v>1</v>
      </c>
      <c r="B4" s="27" t="s">
        <v>14</v>
      </c>
      <c r="C4" s="13">
        <v>0</v>
      </c>
      <c r="D4" s="13">
        <v>147.27000000000001</v>
      </c>
      <c r="E4" s="13">
        <f>2967.23-147.27</f>
        <v>2819.96</v>
      </c>
      <c r="F4" s="13">
        <f>13549.8-2967.23</f>
        <v>10582.57</v>
      </c>
      <c r="G4" s="13">
        <f>31806.8-13549.8</f>
        <v>18257</v>
      </c>
      <c r="H4" s="13">
        <f>51248.5-31806.8</f>
        <v>19441.7</v>
      </c>
      <c r="I4" s="13">
        <f>67801.3-51248.5</f>
        <v>16552.800000000003</v>
      </c>
      <c r="J4" s="13">
        <f>78015-67801.3</f>
        <v>10213.699999999997</v>
      </c>
      <c r="K4" s="13">
        <f>82225.2-78015</f>
        <v>4210.1999999999971</v>
      </c>
      <c r="L4" s="13">
        <f>82971-82225.2</f>
        <v>745.80000000000291</v>
      </c>
      <c r="M4" s="13">
        <f>82995.4-82971</f>
        <v>24.399999999994179</v>
      </c>
      <c r="N4" s="14">
        <v>0</v>
      </c>
    </row>
    <row r="5" spans="1:15" x14ac:dyDescent="0.55000000000000004">
      <c r="A5" s="36">
        <v>1</v>
      </c>
      <c r="B5" s="28" t="s">
        <v>15</v>
      </c>
      <c r="C5" s="9">
        <v>0</v>
      </c>
      <c r="D5" s="9">
        <v>703.65</v>
      </c>
      <c r="E5" s="9">
        <f>6861.23-703.65</f>
        <v>6157.58</v>
      </c>
      <c r="F5" s="9">
        <f>22710.1-6861.23</f>
        <v>15848.869999999999</v>
      </c>
      <c r="G5" s="9">
        <f>46003.5-22710.1</f>
        <v>23293.4</v>
      </c>
      <c r="H5" s="9">
        <f>70156.6-46003.5</f>
        <v>24153.100000000006</v>
      </c>
      <c r="I5" s="9">
        <f>90247.4-70156.6</f>
        <v>20090.799999999988</v>
      </c>
      <c r="J5" s="9">
        <f>103074-90247.4</f>
        <v>12826.600000000006</v>
      </c>
      <c r="K5" s="9">
        <f>109300-103074</f>
        <v>6226</v>
      </c>
      <c r="L5" s="9">
        <f>110881-109300</f>
        <v>1581</v>
      </c>
      <c r="M5" s="9">
        <f>110986-110881</f>
        <v>105</v>
      </c>
      <c r="N5" s="10">
        <v>0</v>
      </c>
    </row>
    <row r="6" spans="1:15" x14ac:dyDescent="0.55000000000000004">
      <c r="A6" s="36">
        <v>1</v>
      </c>
      <c r="B6" s="27" t="s">
        <v>17</v>
      </c>
      <c r="C6" s="15">
        <v>0</v>
      </c>
      <c r="D6" s="15">
        <f>D2/D5</f>
        <v>1.456420095217793E-3</v>
      </c>
      <c r="E6" s="15">
        <f t="shared" ref="E6:M6" si="0">E2/E5</f>
        <v>2.4712499066191586E-2</v>
      </c>
      <c r="F6" s="15">
        <f t="shared" si="0"/>
        <v>8.9891329791966249E-2</v>
      </c>
      <c r="G6" s="15">
        <f t="shared" si="0"/>
        <v>0.12970455150385946</v>
      </c>
      <c r="H6" s="15">
        <f t="shared" si="0"/>
        <v>0.13071945216142022</v>
      </c>
      <c r="I6" s="15">
        <f t="shared" si="0"/>
        <v>0.12679883329683245</v>
      </c>
      <c r="J6" s="15">
        <f t="shared" si="0"/>
        <v>9.1232282912073359E-2</v>
      </c>
      <c r="K6" s="15">
        <f t="shared" si="0"/>
        <v>3.9945390298747011E-2</v>
      </c>
      <c r="L6" s="15">
        <f t="shared" si="0"/>
        <v>6.8311195445927208E-3</v>
      </c>
      <c r="M6" s="15">
        <f t="shared" si="0"/>
        <v>0</v>
      </c>
      <c r="N6" s="17">
        <v>0</v>
      </c>
    </row>
    <row r="7" spans="1:15" x14ac:dyDescent="0.55000000000000004">
      <c r="A7" s="37">
        <v>1</v>
      </c>
      <c r="B7" s="29" t="s">
        <v>20</v>
      </c>
      <c r="C7" s="12">
        <v>0</v>
      </c>
      <c r="D7" s="12">
        <f t="shared" ref="D7:M7" si="1">D2/D3</f>
        <v>5.0592910742496049E-2</v>
      </c>
      <c r="E7" s="12">
        <f t="shared" si="1"/>
        <v>0.20329559178743958</v>
      </c>
      <c r="F7" s="12">
        <f t="shared" si="1"/>
        <v>0.52857554153285402</v>
      </c>
      <c r="G7" s="12">
        <f t="shared" si="1"/>
        <v>0.74343125144564137</v>
      </c>
      <c r="H7" s="12">
        <f t="shared" si="1"/>
        <v>0.79814347612860181</v>
      </c>
      <c r="I7" s="12">
        <f t="shared" si="1"/>
        <v>0.79966412405436771</v>
      </c>
      <c r="J7" s="12">
        <f t="shared" si="1"/>
        <v>0.63319084465126441</v>
      </c>
      <c r="K7" s="12">
        <f t="shared" si="1"/>
        <v>0.41436187937353985</v>
      </c>
      <c r="L7" s="12">
        <f t="shared" si="1"/>
        <v>0.19354838709679628</v>
      </c>
      <c r="M7" s="12">
        <f t="shared" si="1"/>
        <v>0</v>
      </c>
      <c r="N7" s="18">
        <v>0</v>
      </c>
      <c r="O7" s="39">
        <f>AVERAGE(D7:M7)</f>
        <v>0.43648040068130012</v>
      </c>
    </row>
    <row r="8" spans="1:15" ht="14.7" thickBot="1" x14ac:dyDescent="0.6">
      <c r="A8" s="38">
        <v>1</v>
      </c>
      <c r="B8" s="30" t="s">
        <v>18</v>
      </c>
      <c r="C8" s="19">
        <v>0</v>
      </c>
      <c r="D8" s="19">
        <f>1-D4/D5</f>
        <v>0.79070560648049448</v>
      </c>
      <c r="E8" s="19">
        <f t="shared" ref="E8:M8" si="2">1-E4/E5</f>
        <v>0.54203437064561077</v>
      </c>
      <c r="F8" s="19">
        <f t="shared" si="2"/>
        <v>0.33228236461022143</v>
      </c>
      <c r="G8" s="19">
        <f t="shared" si="2"/>
        <v>0.21621575210145372</v>
      </c>
      <c r="H8" s="19">
        <f t="shared" si="2"/>
        <v>0.19506398764547839</v>
      </c>
      <c r="I8" s="19">
        <f t="shared" si="2"/>
        <v>0.17610050371314168</v>
      </c>
      <c r="J8" s="19">
        <f t="shared" si="2"/>
        <v>0.20370947873949508</v>
      </c>
      <c r="K8" s="19">
        <f t="shared" si="2"/>
        <v>0.32377128172181224</v>
      </c>
      <c r="L8" s="19">
        <f t="shared" si="2"/>
        <v>0.52827324478178184</v>
      </c>
      <c r="M8" s="19">
        <f t="shared" si="2"/>
        <v>0.76761904761910305</v>
      </c>
      <c r="N8" s="20">
        <v>0</v>
      </c>
    </row>
    <row r="9" spans="1:15" x14ac:dyDescent="0.55000000000000004">
      <c r="A9" s="34">
        <v>2</v>
      </c>
      <c r="B9" s="25" t="s">
        <v>13</v>
      </c>
      <c r="C9" s="2">
        <v>3.5015399999999999</v>
      </c>
      <c r="D9" s="2">
        <f>59.1045-3.5015</f>
        <v>55.603000000000002</v>
      </c>
      <c r="E9" s="2">
        <f>537.758-59.1045</f>
        <v>478.65350000000001</v>
      </c>
      <c r="F9" s="2">
        <f>2380.69-537.758</f>
        <v>1842.932</v>
      </c>
      <c r="G9" s="2">
        <f>5208.72-2380.69</f>
        <v>2828.03</v>
      </c>
      <c r="H9" s="2">
        <f>8489.35-5208.72</f>
        <v>3280.63</v>
      </c>
      <c r="I9" s="2">
        <f>11602.1-8489.35</f>
        <v>3112.75</v>
      </c>
      <c r="J9" s="2">
        <f>13702.6-11602.1</f>
        <v>2100.5</v>
      </c>
      <c r="K9" s="2">
        <f>14534.4-13702.6</f>
        <v>831.79999999999927</v>
      </c>
      <c r="L9" s="2">
        <f>14678.2-14534.4</f>
        <v>143.80000000000109</v>
      </c>
      <c r="M9" s="2">
        <f>14689.2-14678.2</f>
        <v>11</v>
      </c>
      <c r="N9" s="3">
        <v>0</v>
      </c>
    </row>
    <row r="10" spans="1:15" x14ac:dyDescent="0.55000000000000004">
      <c r="A10" s="35">
        <v>2</v>
      </c>
      <c r="B10" s="26" t="s">
        <v>19</v>
      </c>
      <c r="C10" s="7">
        <v>47.748899999999999</v>
      </c>
      <c r="D10" s="7">
        <f>417.356-47.7489</f>
        <v>369.6071</v>
      </c>
      <c r="E10" s="7">
        <f>1897.6-417.356</f>
        <v>1480.2439999999999</v>
      </c>
      <c r="F10" s="7">
        <f>4683.1-1897.6</f>
        <v>2785.5000000000005</v>
      </c>
      <c r="G10" s="7">
        <f>8191.58-4683.1</f>
        <v>3508.4799999999996</v>
      </c>
      <c r="H10" s="7">
        <f>11984.7-8191.58</f>
        <v>3793.1200000000008</v>
      </c>
      <c r="I10" s="7">
        <f>15556.1-11984.7</f>
        <v>3571.3999999999996</v>
      </c>
      <c r="J10" s="7">
        <f>18113-15556.1</f>
        <v>2556.8999999999996</v>
      </c>
      <c r="K10" s="7">
        <f>19585.5-18113</f>
        <v>1472.5</v>
      </c>
      <c r="L10" s="7">
        <f>20033.9-19585.5</f>
        <v>448.40000000000146</v>
      </c>
      <c r="M10" s="7">
        <f>20108.7-20033.9</f>
        <v>74.799999999999272</v>
      </c>
      <c r="N10" s="8">
        <f>20124-20108.7</f>
        <v>15.299999999999272</v>
      </c>
    </row>
    <row r="11" spans="1:15" x14ac:dyDescent="0.55000000000000004">
      <c r="A11" s="36">
        <v>2</v>
      </c>
      <c r="B11" s="27" t="s">
        <v>14</v>
      </c>
      <c r="C11" s="13">
        <v>339.351</v>
      </c>
      <c r="D11" s="13">
        <f>1909.71-339.351</f>
        <v>1570.3589999999999</v>
      </c>
      <c r="E11" s="13">
        <f>7243.29-1909.71</f>
        <v>5333.58</v>
      </c>
      <c r="F11" s="13">
        <f>18965.8-7243.29</f>
        <v>11722.509999999998</v>
      </c>
      <c r="G11" s="13">
        <f>35673.2-18965.8</f>
        <v>16707.399999999998</v>
      </c>
      <c r="H11" s="13">
        <f>54828.7-35673.2</f>
        <v>19155.5</v>
      </c>
      <c r="I11" s="13">
        <f>73096.9-54828.7</f>
        <v>18268.199999999997</v>
      </c>
      <c r="J11" s="13">
        <f>86268.1-73069.9</f>
        <v>13198.200000000012</v>
      </c>
      <c r="K11" s="13">
        <f>93692.9-86268.1</f>
        <v>7424.7999999999884</v>
      </c>
      <c r="L11" s="13">
        <f>96485.1-93692.9</f>
        <v>2792.2000000000116</v>
      </c>
      <c r="M11" s="13">
        <f>97159.4-96485.2</f>
        <v>674.19999999999709</v>
      </c>
      <c r="N11" s="14">
        <f>97344.9-97159.4</f>
        <v>185.5</v>
      </c>
    </row>
    <row r="12" spans="1:15" x14ac:dyDescent="0.55000000000000004">
      <c r="A12" s="36">
        <v>2</v>
      </c>
      <c r="B12" s="28" t="s">
        <v>15</v>
      </c>
      <c r="C12" s="9">
        <v>1218.0999999999999</v>
      </c>
      <c r="D12" s="9">
        <f>5137.41-1218.1</f>
        <v>3919.31</v>
      </c>
      <c r="E12" s="9">
        <f>14545.3-5137.41</f>
        <v>9407.89</v>
      </c>
      <c r="F12" s="9">
        <f>30570.1-14545.3</f>
        <v>16024.8</v>
      </c>
      <c r="G12" s="9">
        <f>50509.3-30570.1</f>
        <v>19939.200000000004</v>
      </c>
      <c r="H12" s="9">
        <f>72137.8-50509.3</f>
        <v>21628.5</v>
      </c>
      <c r="I12" s="9">
        <f>92616.9-72137.8</f>
        <v>20479.099999999991</v>
      </c>
      <c r="J12" s="9">
        <f>107994-92616.9</f>
        <v>15377.100000000006</v>
      </c>
      <c r="K12" s="9">
        <f>117814-107994</f>
        <v>9820</v>
      </c>
      <c r="L12" s="9">
        <f>122516-117814</f>
        <v>4702</v>
      </c>
      <c r="M12" s="9">
        <f>124179-122516</f>
        <v>1663</v>
      </c>
      <c r="N12" s="10">
        <f>124847-124179</f>
        <v>668</v>
      </c>
    </row>
    <row r="13" spans="1:15" x14ac:dyDescent="0.55000000000000004">
      <c r="A13" s="36">
        <v>2</v>
      </c>
      <c r="B13" s="27" t="s">
        <v>17</v>
      </c>
      <c r="C13" s="15">
        <f>C9/C12</f>
        <v>2.8745915770462195E-3</v>
      </c>
      <c r="D13" s="15">
        <f>D9/D12</f>
        <v>1.4186935965769485E-2</v>
      </c>
      <c r="E13" s="15">
        <f t="shared" ref="E13:N13" si="3">E9/E12</f>
        <v>5.0877880162289314E-2</v>
      </c>
      <c r="F13" s="15">
        <f t="shared" si="3"/>
        <v>0.11500499226199391</v>
      </c>
      <c r="G13" s="15">
        <f t="shared" si="3"/>
        <v>0.14183267132081526</v>
      </c>
      <c r="H13" s="15">
        <f t="shared" si="3"/>
        <v>0.15168088401877153</v>
      </c>
      <c r="I13" s="15">
        <f t="shared" si="3"/>
        <v>0.15199642562417301</v>
      </c>
      <c r="J13" s="15">
        <f t="shared" si="3"/>
        <v>0.13659922872323124</v>
      </c>
      <c r="K13" s="15">
        <f t="shared" si="3"/>
        <v>8.4704684317718867E-2</v>
      </c>
      <c r="L13" s="15">
        <f t="shared" si="3"/>
        <v>3.0582730752871351E-2</v>
      </c>
      <c r="M13" s="15">
        <f t="shared" si="3"/>
        <v>6.6145520144317502E-3</v>
      </c>
      <c r="N13" s="17">
        <f t="shared" si="3"/>
        <v>0</v>
      </c>
    </row>
    <row r="14" spans="1:15" x14ac:dyDescent="0.55000000000000004">
      <c r="A14" s="37">
        <v>2</v>
      </c>
      <c r="B14" s="29" t="s">
        <v>20</v>
      </c>
      <c r="C14" s="12">
        <f>C9/C10</f>
        <v>7.3332369960355109E-2</v>
      </c>
      <c r="D14" s="12">
        <f t="shared" ref="D14:N14" si="4">D9/D10</f>
        <v>0.15043812740610232</v>
      </c>
      <c r="E14" s="12">
        <f t="shared" si="4"/>
        <v>0.32336121612382823</v>
      </c>
      <c r="F14" s="12">
        <f t="shared" si="4"/>
        <v>0.66161622688924782</v>
      </c>
      <c r="G14" s="12">
        <f t="shared" si="4"/>
        <v>0.80605561382707058</v>
      </c>
      <c r="H14" s="12">
        <f t="shared" si="4"/>
        <v>0.8648895895726999</v>
      </c>
      <c r="I14" s="12">
        <f t="shared" si="4"/>
        <v>0.87157697261578104</v>
      </c>
      <c r="J14" s="12">
        <f t="shared" si="4"/>
        <v>0.82150260080566317</v>
      </c>
      <c r="K14" s="12">
        <f t="shared" si="4"/>
        <v>0.5648896434634969</v>
      </c>
      <c r="L14" s="12">
        <f t="shared" si="4"/>
        <v>0.32069580731489883</v>
      </c>
      <c r="M14" s="12">
        <f t="shared" si="4"/>
        <v>0.14705882352941319</v>
      </c>
      <c r="N14" s="18">
        <f t="shared" si="4"/>
        <v>0</v>
      </c>
      <c r="O14" s="39">
        <f>AVERAGE(C14:N14)</f>
        <v>0.46711808262571308</v>
      </c>
    </row>
    <row r="15" spans="1:15" ht="14.7" thickBot="1" x14ac:dyDescent="0.6">
      <c r="A15" s="38">
        <v>2</v>
      </c>
      <c r="B15" s="30" t="s">
        <v>18</v>
      </c>
      <c r="C15" s="19">
        <f t="shared" ref="C15:N15" si="5">1-C11/C12</f>
        <v>0.72140957228470559</v>
      </c>
      <c r="D15" s="19">
        <f>1-D11/D12</f>
        <v>0.59932768778177792</v>
      </c>
      <c r="E15" s="19">
        <f t="shared" si="5"/>
        <v>0.43307372854061854</v>
      </c>
      <c r="F15" s="19">
        <f t="shared" si="5"/>
        <v>0.26847698567220812</v>
      </c>
      <c r="G15" s="19">
        <f t="shared" si="5"/>
        <v>0.16208273150377173</v>
      </c>
      <c r="H15" s="19">
        <f t="shared" si="5"/>
        <v>0.11433987562706616</v>
      </c>
      <c r="I15" s="19">
        <f t="shared" si="5"/>
        <v>0.10795884584771764</v>
      </c>
      <c r="J15" s="19">
        <f t="shared" si="5"/>
        <v>0.14169771933589514</v>
      </c>
      <c r="K15" s="19">
        <f t="shared" si="5"/>
        <v>0.24391038696537792</v>
      </c>
      <c r="L15" s="19">
        <f t="shared" si="5"/>
        <v>0.4061675882603123</v>
      </c>
      <c r="M15" s="19">
        <f t="shared" si="5"/>
        <v>0.59458809380637578</v>
      </c>
      <c r="N15" s="20">
        <f t="shared" si="5"/>
        <v>0.72230538922155696</v>
      </c>
    </row>
    <row r="16" spans="1:15" x14ac:dyDescent="0.55000000000000004">
      <c r="A16" s="34">
        <v>3</v>
      </c>
      <c r="B16" s="25" t="s">
        <v>13</v>
      </c>
      <c r="C16" s="2">
        <v>1593.97</v>
      </c>
      <c r="D16" s="2">
        <f>3803.55-1593.97</f>
        <v>2209.58</v>
      </c>
      <c r="E16" s="2">
        <f>7044.44-3803.55</f>
        <v>3240.8899999999994</v>
      </c>
      <c r="F16" s="2">
        <f>11155.7-7044.44</f>
        <v>4111.2600000000011</v>
      </c>
      <c r="G16" s="2">
        <f>15974.4-11155.7</f>
        <v>4818.6999999999989</v>
      </c>
      <c r="H16" s="2">
        <f>21252.2-15974.4</f>
        <v>5277.8000000000011</v>
      </c>
      <c r="I16" s="2">
        <f>26358.8-21251.2</f>
        <v>5107.5999999999985</v>
      </c>
      <c r="J16" s="2">
        <f>31225.4-26358.8</f>
        <v>4866.6000000000022</v>
      </c>
      <c r="K16" s="2">
        <f>35239.1-31225.4</f>
        <v>4013.6999999999971</v>
      </c>
      <c r="L16" s="2">
        <f>38322.5-35239.1</f>
        <v>3083.4000000000015</v>
      </c>
      <c r="M16" s="2">
        <f>40348.5-38322.5</f>
        <v>2026</v>
      </c>
      <c r="N16" s="3">
        <f>41843.7-40348.5</f>
        <v>1495.1999999999971</v>
      </c>
    </row>
    <row r="17" spans="1:15" x14ac:dyDescent="0.55000000000000004">
      <c r="A17" s="35">
        <v>3</v>
      </c>
      <c r="B17" s="26" t="s">
        <v>19</v>
      </c>
      <c r="C17" s="7">
        <v>2627.51</v>
      </c>
      <c r="D17" s="7">
        <f>5797.16-2627.51</f>
        <v>3169.6499999999996</v>
      </c>
      <c r="E17" s="7">
        <f>9754.4-5797.16</f>
        <v>3957.24</v>
      </c>
      <c r="F17" s="7">
        <f>14206.8 - 9754.4</f>
        <v>4452.3999999999996</v>
      </c>
      <c r="G17" s="7">
        <f>19140-14206.8</f>
        <v>4933.2000000000007</v>
      </c>
      <c r="H17" s="7">
        <f>24474.2-19140</f>
        <v>5334.2000000000007</v>
      </c>
      <c r="I17" s="7">
        <f>29631.4-24474.2</f>
        <v>5157.2000000000007</v>
      </c>
      <c r="J17" s="7">
        <f>34571.2 - 29631.1</f>
        <v>4940.0999999999985</v>
      </c>
      <c r="K17" s="7">
        <f>38814.8-34571.2</f>
        <v>4243.6000000000058</v>
      </c>
      <c r="L17" s="7">
        <f>42413.9-38814.8</f>
        <v>3599.0999999999985</v>
      </c>
      <c r="M17" s="7">
        <f>45234.5-42413.9</f>
        <v>2820.5999999999985</v>
      </c>
      <c r="N17" s="8">
        <f>47667.3-45234.5</f>
        <v>2432.8000000000029</v>
      </c>
    </row>
    <row r="18" spans="1:15" x14ac:dyDescent="0.55000000000000004">
      <c r="A18" s="36">
        <v>3</v>
      </c>
      <c r="B18" s="27" t="s">
        <v>14</v>
      </c>
      <c r="C18" s="13">
        <v>9744.9599999999991</v>
      </c>
      <c r="D18" s="13">
        <f>22434.6-9744.96</f>
        <v>12689.64</v>
      </c>
      <c r="E18" s="13">
        <f>40055.2-22434.6</f>
        <v>17620.599999999999</v>
      </c>
      <c r="F18" s="13">
        <f>62053.1-40055.2</f>
        <v>21997.9</v>
      </c>
      <c r="G18" s="13">
        <f>87513.7-62053.1</f>
        <v>25460.6</v>
      </c>
      <c r="H18" s="13">
        <f>115349-87513.7</f>
        <v>27835.300000000003</v>
      </c>
      <c r="I18" s="13">
        <f>142336-115349</f>
        <v>26987</v>
      </c>
      <c r="J18" s="13">
        <f>168016-142336</f>
        <v>25680</v>
      </c>
      <c r="K18" s="13">
        <f>189521-168016</f>
        <v>21505</v>
      </c>
      <c r="L18" s="13">
        <f>206376-189521</f>
        <v>16855</v>
      </c>
      <c r="M18" s="13">
        <f>218168-206376</f>
        <v>11792</v>
      </c>
      <c r="N18" s="14">
        <f>227438-218168</f>
        <v>9270</v>
      </c>
    </row>
    <row r="19" spans="1:15" x14ac:dyDescent="0.55000000000000004">
      <c r="A19" s="36">
        <v>3</v>
      </c>
      <c r="B19" s="28" t="s">
        <v>15</v>
      </c>
      <c r="C19" s="9">
        <v>14528.1</v>
      </c>
      <c r="D19" s="9">
        <f>31695.7-14528.1</f>
        <v>17167.599999999999</v>
      </c>
      <c r="E19" s="9">
        <f>52768-31695.7</f>
        <v>21072.3</v>
      </c>
      <c r="F19" s="9">
        <f>76419-52768</f>
        <v>23651</v>
      </c>
      <c r="G19" s="9">
        <f>102471-76419</f>
        <v>26052</v>
      </c>
      <c r="H19" s="9">
        <f>130625-102471</f>
        <v>28154</v>
      </c>
      <c r="I19" s="9">
        <f>157891-130625</f>
        <v>27266</v>
      </c>
      <c r="J19" s="9">
        <f>183963-157891</f>
        <v>26072</v>
      </c>
      <c r="K19" s="9">
        <f>206594-183963</f>
        <v>22631</v>
      </c>
      <c r="L19" s="9">
        <f>225949-206594</f>
        <v>19355</v>
      </c>
      <c r="M19" s="9">
        <f>241434-225949</f>
        <v>15485</v>
      </c>
      <c r="N19" s="10">
        <f>255049-241434</f>
        <v>13615</v>
      </c>
    </row>
    <row r="20" spans="1:15" x14ac:dyDescent="0.55000000000000004">
      <c r="A20" s="36">
        <v>3</v>
      </c>
      <c r="B20" s="27" t="s">
        <v>17</v>
      </c>
      <c r="C20" s="15">
        <f>C16/C19</f>
        <v>0.10971634281151699</v>
      </c>
      <c r="D20" s="15">
        <f>D16/D19</f>
        <v>0.12870640042871456</v>
      </c>
      <c r="E20" s="15">
        <f t="shared" ref="E20:N20" si="6">E16/E19</f>
        <v>0.15379858866853641</v>
      </c>
      <c r="F20" s="15">
        <f t="shared" si="6"/>
        <v>0.17383028201767373</v>
      </c>
      <c r="G20" s="15">
        <f t="shared" si="6"/>
        <v>0.18496468601259017</v>
      </c>
      <c r="H20" s="15">
        <f t="shared" si="6"/>
        <v>0.18746181714854021</v>
      </c>
      <c r="I20" s="15">
        <f t="shared" si="6"/>
        <v>0.18732487346878893</v>
      </c>
      <c r="J20" s="15">
        <f t="shared" si="6"/>
        <v>0.18666001841055546</v>
      </c>
      <c r="K20" s="15">
        <f t="shared" si="6"/>
        <v>0.17735407184834948</v>
      </c>
      <c r="L20" s="15">
        <f t="shared" si="6"/>
        <v>0.15930767243606311</v>
      </c>
      <c r="M20" s="15">
        <f t="shared" si="6"/>
        <v>0.13083629318695511</v>
      </c>
      <c r="N20" s="17">
        <f t="shared" si="6"/>
        <v>0.10982005141388153</v>
      </c>
    </row>
    <row r="21" spans="1:15" x14ac:dyDescent="0.55000000000000004">
      <c r="A21" s="37">
        <v>3</v>
      </c>
      <c r="B21" s="29" t="s">
        <v>20</v>
      </c>
      <c r="C21" s="12">
        <f>C16/C17</f>
        <v>0.6066465969682322</v>
      </c>
      <c r="D21" s="12">
        <f t="shared" ref="D21:N21" si="7">D16/D17</f>
        <v>0.69710535863581158</v>
      </c>
      <c r="E21" s="12">
        <f t="shared" si="7"/>
        <v>0.81897736806461063</v>
      </c>
      <c r="F21" s="12">
        <f t="shared" si="7"/>
        <v>0.92338064863893665</v>
      </c>
      <c r="G21" s="12">
        <f t="shared" si="7"/>
        <v>0.97678991324089803</v>
      </c>
      <c r="H21" s="12">
        <f t="shared" si="7"/>
        <v>0.9894267181582993</v>
      </c>
      <c r="I21" s="12">
        <f t="shared" si="7"/>
        <v>0.99038237803459195</v>
      </c>
      <c r="J21" s="12">
        <f t="shared" si="7"/>
        <v>0.98512175866885354</v>
      </c>
      <c r="K21" s="12">
        <f t="shared" si="7"/>
        <v>0.94582430012253549</v>
      </c>
      <c r="L21" s="12">
        <f t="shared" si="7"/>
        <v>0.85671417854463694</v>
      </c>
      <c r="M21" s="12">
        <f t="shared" si="7"/>
        <v>0.7182868893143306</v>
      </c>
      <c r="N21" s="18">
        <f t="shared" si="7"/>
        <v>0.6146004603748747</v>
      </c>
      <c r="O21" s="39">
        <f>AVERAGE(C21:N21)</f>
        <v>0.84360471406388438</v>
      </c>
    </row>
    <row r="22" spans="1:15" ht="14.7" thickBot="1" x14ac:dyDescent="0.6">
      <c r="A22" s="38">
        <v>3</v>
      </c>
      <c r="B22" s="30" t="s">
        <v>18</v>
      </c>
      <c r="C22" s="19">
        <f t="shared" ref="C22:N22" si="8">1-C18/C19</f>
        <v>0.32923369194870633</v>
      </c>
      <c r="D22" s="19">
        <f>1-D18/D19</f>
        <v>0.2608378573592115</v>
      </c>
      <c r="E22" s="19">
        <f t="shared" si="8"/>
        <v>0.16380271731135188</v>
      </c>
      <c r="F22" s="19">
        <f t="shared" si="8"/>
        <v>6.9895564669569921E-2</v>
      </c>
      <c r="G22" s="19">
        <f t="shared" si="8"/>
        <v>2.2700752341470953E-2</v>
      </c>
      <c r="H22" s="19">
        <f t="shared" si="8"/>
        <v>1.1319883497904248E-2</v>
      </c>
      <c r="I22" s="19">
        <f t="shared" si="8"/>
        <v>1.0232524022592226E-2</v>
      </c>
      <c r="J22" s="19">
        <f t="shared" si="8"/>
        <v>1.5035286897821409E-2</v>
      </c>
      <c r="K22" s="19">
        <f t="shared" si="8"/>
        <v>4.9754761168308903E-2</v>
      </c>
      <c r="L22" s="19">
        <f t="shared" si="8"/>
        <v>0.12916559028674757</v>
      </c>
      <c r="M22" s="19">
        <f t="shared" si="8"/>
        <v>0.238488860187278</v>
      </c>
      <c r="N22" s="20">
        <f t="shared" si="8"/>
        <v>0.31913330885053248</v>
      </c>
    </row>
    <row r="23" spans="1:15" x14ac:dyDescent="0.55000000000000004">
      <c r="A23" s="34">
        <v>4</v>
      </c>
      <c r="B23" s="25" t="s">
        <v>13</v>
      </c>
      <c r="C23" s="2">
        <v>3341.51</v>
      </c>
      <c r="D23" s="2">
        <f>6853.69-3341.51</f>
        <v>3512.1799999999994</v>
      </c>
      <c r="E23" s="2">
        <f>10639.6-6853.69</f>
        <v>3785.9100000000008</v>
      </c>
      <c r="F23" s="2">
        <f>14380.1-10639.6</f>
        <v>3740.5</v>
      </c>
      <c r="G23" s="2">
        <f>17850.7-14380.1</f>
        <v>3470.6000000000004</v>
      </c>
      <c r="H23" s="2">
        <f>20971.5-17850.7</f>
        <v>3120.7999999999993</v>
      </c>
      <c r="I23" s="2">
        <f>24061.7-20971.5</f>
        <v>3090.2000000000007</v>
      </c>
      <c r="J23" s="2">
        <f>27519.4-24061.7</f>
        <v>3457.7000000000007</v>
      </c>
      <c r="K23" s="2">
        <f>31303.9-27519.4</f>
        <v>3784.5</v>
      </c>
      <c r="L23" s="2">
        <f>35097.6-31303.9</f>
        <v>3793.6999999999971</v>
      </c>
      <c r="M23" s="2">
        <f>38657.3-35097.6</f>
        <v>3559.7000000000044</v>
      </c>
      <c r="N23" s="3">
        <f>41991.2-38657.3</f>
        <v>3333.8999999999942</v>
      </c>
    </row>
    <row r="24" spans="1:15" x14ac:dyDescent="0.55000000000000004">
      <c r="A24" s="35">
        <v>4</v>
      </c>
      <c r="B24" s="26" t="s">
        <v>19</v>
      </c>
      <c r="C24" s="7">
        <v>3684.86</v>
      </c>
      <c r="D24" s="7">
        <f>7407.7-3684.86</f>
        <v>3722.8399999999997</v>
      </c>
      <c r="E24" s="7">
        <f>11252.5-7407.7</f>
        <v>3844.8</v>
      </c>
      <c r="F24" s="7">
        <f>15014.8-11252.5</f>
        <v>3762.2999999999993</v>
      </c>
      <c r="G24" s="7">
        <f>18632.5-15014.8</f>
        <v>3617.7000000000007</v>
      </c>
      <c r="H24" s="7">
        <f>22045.4-18632.5</f>
        <v>3412.9000000000015</v>
      </c>
      <c r="I24" s="7">
        <f>25457.4-22045.4</f>
        <v>3412</v>
      </c>
      <c r="J24" s="7">
        <f>29128.9-25457.4</f>
        <v>3671.5</v>
      </c>
      <c r="K24" s="7">
        <f>32965.5-29128.9</f>
        <v>3836.5999999999985</v>
      </c>
      <c r="L24" s="7">
        <f>36782.8-32965.5</f>
        <v>3817.3000000000029</v>
      </c>
      <c r="M24" s="7">
        <f>40502.1-36782.8</f>
        <v>3719.2999999999956</v>
      </c>
      <c r="N24" s="8">
        <f>44147.5-40502.1</f>
        <v>3645.4000000000015</v>
      </c>
    </row>
    <row r="25" spans="1:15" x14ac:dyDescent="0.55000000000000004">
      <c r="A25" s="36">
        <v>4</v>
      </c>
      <c r="B25" s="27" t="s">
        <v>14</v>
      </c>
      <c r="C25" s="13">
        <v>18228.8</v>
      </c>
      <c r="D25" s="13">
        <f>37262-18228.8</f>
        <v>19033.2</v>
      </c>
      <c r="E25" s="13">
        <f>57600.7-37262</f>
        <v>20338.699999999997</v>
      </c>
      <c r="F25" s="13">
        <f>77748-57600.7</f>
        <v>20147.300000000003</v>
      </c>
      <c r="G25" s="13">
        <f>96607.3-77748</f>
        <v>18859.300000000003</v>
      </c>
      <c r="H25" s="13">
        <f>113785-96607.3</f>
        <v>17177.699999999997</v>
      </c>
      <c r="I25" s="13">
        <f>130810-113785</f>
        <v>17025</v>
      </c>
      <c r="J25" s="13">
        <f>149596-130810</f>
        <v>18786</v>
      </c>
      <c r="K25" s="13">
        <f>169963-149596</f>
        <v>20367</v>
      </c>
      <c r="L25" s="13">
        <f>190375-169963</f>
        <v>20412</v>
      </c>
      <c r="M25" s="13">
        <f>209664-190375</f>
        <v>19289</v>
      </c>
      <c r="N25" s="14">
        <f>227870-209664</f>
        <v>18206</v>
      </c>
    </row>
    <row r="26" spans="1:15" x14ac:dyDescent="0.55000000000000004">
      <c r="A26" s="36">
        <v>4</v>
      </c>
      <c r="B26" s="28" t="s">
        <v>15</v>
      </c>
      <c r="C26" s="9">
        <v>19885</v>
      </c>
      <c r="D26" s="9">
        <f>39926.9-19885</f>
        <v>20041.900000000001</v>
      </c>
      <c r="E26" s="9">
        <f>60561.9-39926.9</f>
        <v>20635</v>
      </c>
      <c r="F26" s="9">
        <f>80834.4-60561.9</f>
        <v>20272.499999999993</v>
      </c>
      <c r="G26" s="9">
        <f>100423-80834.4</f>
        <v>19588.600000000006</v>
      </c>
      <c r="H26" s="9">
        <f>119027-100423</f>
        <v>18604</v>
      </c>
      <c r="I26" s="9">
        <f>137616-119027</f>
        <v>18589</v>
      </c>
      <c r="J26" s="9">
        <f>157443-137616</f>
        <v>19827</v>
      </c>
      <c r="K26" s="9">
        <f>178080-157443</f>
        <v>20637</v>
      </c>
      <c r="L26" s="9">
        <f>198626-178080</f>
        <v>20546</v>
      </c>
      <c r="M26" s="9">
        <f>218703-198626</f>
        <v>20077</v>
      </c>
      <c r="N26" s="10">
        <f>238426-218703</f>
        <v>19723</v>
      </c>
    </row>
    <row r="27" spans="1:15" x14ac:dyDescent="0.55000000000000004">
      <c r="A27" s="36">
        <v>4</v>
      </c>
      <c r="B27" s="27" t="s">
        <v>17</v>
      </c>
      <c r="C27" s="15">
        <f>C23/C26</f>
        <v>0.16804174000502892</v>
      </c>
      <c r="D27" s="15">
        <f>D23/D26</f>
        <v>0.1752418682859409</v>
      </c>
      <c r="E27" s="15">
        <f t="shared" ref="E27:N27" si="9">E23/E26</f>
        <v>0.1834703174218561</v>
      </c>
      <c r="F27" s="15">
        <f t="shared" si="9"/>
        <v>0.18451103711925029</v>
      </c>
      <c r="G27" s="15">
        <f t="shared" si="9"/>
        <v>0.17717447903372366</v>
      </c>
      <c r="H27" s="15">
        <f t="shared" si="9"/>
        <v>0.16774887121049234</v>
      </c>
      <c r="I27" s="15">
        <f t="shared" si="9"/>
        <v>0.16623809779977411</v>
      </c>
      <c r="J27" s="15">
        <f t="shared" si="9"/>
        <v>0.17439350380793869</v>
      </c>
      <c r="K27" s="15">
        <f t="shared" si="9"/>
        <v>0.18338421282163106</v>
      </c>
      <c r="L27" s="15">
        <f t="shared" si="9"/>
        <v>0.18464421298549583</v>
      </c>
      <c r="M27" s="15">
        <f t="shared" si="9"/>
        <v>0.17730238581461397</v>
      </c>
      <c r="N27" s="17">
        <f t="shared" si="9"/>
        <v>0.16903615068701486</v>
      </c>
    </row>
    <row r="28" spans="1:15" x14ac:dyDescent="0.55000000000000004">
      <c r="A28" s="37">
        <v>4</v>
      </c>
      <c r="B28" s="29" t="s">
        <v>20</v>
      </c>
      <c r="C28" s="12">
        <f>C23/C24</f>
        <v>0.90682142605146465</v>
      </c>
      <c r="D28" s="12">
        <f t="shared" ref="D28:N28" si="10">D23/D24</f>
        <v>0.943414167678439</v>
      </c>
      <c r="E28" s="12">
        <f t="shared" si="10"/>
        <v>0.9846832084893884</v>
      </c>
      <c r="F28" s="12">
        <f t="shared" si="10"/>
        <v>0.99420567206230248</v>
      </c>
      <c r="G28" s="12">
        <f t="shared" si="10"/>
        <v>0.95933880642397096</v>
      </c>
      <c r="H28" s="12">
        <f t="shared" si="10"/>
        <v>0.91441296258313987</v>
      </c>
      <c r="I28" s="12">
        <f t="shared" si="10"/>
        <v>0.90568581477139531</v>
      </c>
      <c r="J28" s="12">
        <f t="shared" si="10"/>
        <v>0.94176766988969107</v>
      </c>
      <c r="K28" s="12">
        <f t="shared" si="10"/>
        <v>0.98642026794557713</v>
      </c>
      <c r="L28" s="12">
        <f t="shared" si="10"/>
        <v>0.99381761978361516</v>
      </c>
      <c r="M28" s="12">
        <f t="shared" si="10"/>
        <v>0.9570886994864648</v>
      </c>
      <c r="N28" s="18">
        <f t="shared" si="10"/>
        <v>0.91454984363855618</v>
      </c>
      <c r="O28" s="39">
        <f>AVERAGE(C28:N28)</f>
        <v>0.95018384656700017</v>
      </c>
    </row>
    <row r="29" spans="1:15" ht="14.7" thickBot="1" x14ac:dyDescent="0.6">
      <c r="A29" s="38">
        <v>4</v>
      </c>
      <c r="B29" s="30" t="s">
        <v>18</v>
      </c>
      <c r="C29" s="19">
        <f t="shared" ref="C29:N29" si="11">1-C25/C26</f>
        <v>8.3288911239627894E-2</v>
      </c>
      <c r="D29" s="19">
        <f>1-D25/D26</f>
        <v>5.0329559572695248E-2</v>
      </c>
      <c r="E29" s="19">
        <f t="shared" si="11"/>
        <v>1.4359098618851651E-2</v>
      </c>
      <c r="F29" s="19">
        <f t="shared" si="11"/>
        <v>6.1758539893940201E-3</v>
      </c>
      <c r="G29" s="19">
        <f t="shared" si="11"/>
        <v>3.7230838344751715E-2</v>
      </c>
      <c r="H29" s="19">
        <f t="shared" si="11"/>
        <v>7.6666308320791354E-2</v>
      </c>
      <c r="I29" s="19">
        <f t="shared" si="11"/>
        <v>8.41357792242724E-2</v>
      </c>
      <c r="J29" s="19">
        <f t="shared" si="11"/>
        <v>5.2504160992585813E-2</v>
      </c>
      <c r="K29" s="19">
        <f t="shared" si="11"/>
        <v>1.3083296990841653E-2</v>
      </c>
      <c r="L29" s="19">
        <f t="shared" si="11"/>
        <v>6.521950744670546E-3</v>
      </c>
      <c r="M29" s="19">
        <f t="shared" si="11"/>
        <v>3.9248891766698213E-2</v>
      </c>
      <c r="N29" s="20">
        <f t="shared" si="11"/>
        <v>7.69152765806419E-2</v>
      </c>
    </row>
    <row r="30" spans="1:15" x14ac:dyDescent="0.55000000000000004">
      <c r="A30" s="34">
        <v>5</v>
      </c>
      <c r="B30" s="25" t="s">
        <v>13</v>
      </c>
      <c r="C30" s="2">
        <v>5789.77</v>
      </c>
      <c r="D30" s="2">
        <f>10966.6-5789.77</f>
        <v>5176.83</v>
      </c>
      <c r="E30" s="2">
        <f>15119.4-10966.6</f>
        <v>4152.7999999999993</v>
      </c>
      <c r="F30" s="2">
        <f>17963.1-15119.4</f>
        <v>2843.6999999999989</v>
      </c>
      <c r="G30" s="2">
        <f>19722.6-17963.1</f>
        <v>1759.5</v>
      </c>
      <c r="H30" s="2">
        <f>20895.8-19722.6</f>
        <v>1173.2000000000007</v>
      </c>
      <c r="I30" s="2">
        <f>22207.7-20895.8</f>
        <v>1311.9000000000015</v>
      </c>
      <c r="J30" s="2">
        <f>24236.4-22207.7</f>
        <v>2028.7000000000007</v>
      </c>
      <c r="K30" s="2">
        <f>27463.1-24236.4</f>
        <v>3226.6999999999971</v>
      </c>
      <c r="L30" s="2">
        <f>31954.4-27463.1</f>
        <v>4491.3000000000029</v>
      </c>
      <c r="M30" s="2">
        <f>37445.6-31954.4</f>
        <v>5491.1999999999971</v>
      </c>
      <c r="N30" s="3">
        <f>43258.4-37445.6</f>
        <v>5812.8000000000029</v>
      </c>
    </row>
    <row r="31" spans="1:15" x14ac:dyDescent="0.55000000000000004">
      <c r="A31" s="35">
        <v>5</v>
      </c>
      <c r="B31" s="31" t="s">
        <v>19</v>
      </c>
      <c r="C31" s="5">
        <v>5855.81</v>
      </c>
      <c r="D31" s="5">
        <f>11117.4-5855.81</f>
        <v>5261.5899999999992</v>
      </c>
      <c r="E31" s="5">
        <f>15492.2-11117.4</f>
        <v>4374.8000000000011</v>
      </c>
      <c r="F31" s="5">
        <f>18809.3-15492.2</f>
        <v>3317.0999999999985</v>
      </c>
      <c r="G31" s="5">
        <f>21266.9-18809.3</f>
        <v>2457.6000000000022</v>
      </c>
      <c r="H31" s="5">
        <f>23265.3-21266.9</f>
        <v>1998.3999999999978</v>
      </c>
      <c r="I31" s="5">
        <f>25502.2-23265.3</f>
        <v>2236.9000000000015</v>
      </c>
      <c r="J31" s="5">
        <f>28458.1-25502.2</f>
        <v>2955.8999999999978</v>
      </c>
      <c r="K31" s="5">
        <f>32367-28458.1</f>
        <v>3908.9000000000015</v>
      </c>
      <c r="L31" s="5">
        <f>37212.1-32367</f>
        <v>4845.0999999999985</v>
      </c>
      <c r="M31" s="5">
        <f>42827.7-37212.1</f>
        <v>5615.5999999999985</v>
      </c>
      <c r="N31" s="6">
        <f>48711.8-42827.7</f>
        <v>5884.1000000000058</v>
      </c>
    </row>
    <row r="32" spans="1:15" x14ac:dyDescent="0.55000000000000004">
      <c r="A32" s="36">
        <v>5</v>
      </c>
      <c r="B32" s="27" t="s">
        <v>14</v>
      </c>
      <c r="C32" s="13">
        <v>30392.5</v>
      </c>
      <c r="D32" s="13">
        <f>57601.3-30392.5</f>
        <v>27208.800000000003</v>
      </c>
      <c r="E32" s="13">
        <f>79733.3-57601.3</f>
        <v>22132</v>
      </c>
      <c r="F32" s="13">
        <f>95416.2-79733.2</f>
        <v>15683</v>
      </c>
      <c r="G32" s="13">
        <f>105971-95416.2</f>
        <v>10554.800000000003</v>
      </c>
      <c r="H32" s="13">
        <f>113878-105971</f>
        <v>7907</v>
      </c>
      <c r="I32" s="13">
        <f>122392-113878</f>
        <v>8514</v>
      </c>
      <c r="J32" s="13">
        <f>134241-122392</f>
        <v>11849</v>
      </c>
      <c r="K32" s="13">
        <f>151802-134241</f>
        <v>17561</v>
      </c>
      <c r="L32" s="13">
        <f>175569-151802</f>
        <v>23767</v>
      </c>
      <c r="M32" s="13">
        <f>204359-175569</f>
        <v>28790</v>
      </c>
      <c r="N32" s="14">
        <f>234896-204359</f>
        <v>30537</v>
      </c>
    </row>
    <row r="33" spans="1:15" x14ac:dyDescent="0.55000000000000004">
      <c r="A33" s="36">
        <v>5</v>
      </c>
      <c r="B33" s="27" t="s">
        <v>15</v>
      </c>
      <c r="C33" s="13">
        <v>30734.9</v>
      </c>
      <c r="D33" s="13">
        <f>58388.7-30734.9</f>
        <v>27653.799999999996</v>
      </c>
      <c r="E33" s="13">
        <f>81606.9-58388.7</f>
        <v>23218.199999999997</v>
      </c>
      <c r="F33" s="13">
        <f>99586.7-81606.9</f>
        <v>17979.800000000003</v>
      </c>
      <c r="G33" s="13">
        <f>113365-99586.7</f>
        <v>13778.300000000003</v>
      </c>
      <c r="H33" s="13">
        <f>124971-113365</f>
        <v>11606</v>
      </c>
      <c r="I33" s="13">
        <f>137697-124971</f>
        <v>12726</v>
      </c>
      <c r="J33" s="13">
        <f>153832-137697</f>
        <v>16135</v>
      </c>
      <c r="K33" s="13">
        <f>174698-153832</f>
        <v>20866</v>
      </c>
      <c r="L33" s="13">
        <f>200209-174698</f>
        <v>25511</v>
      </c>
      <c r="M33" s="13">
        <f>229637-200209</f>
        <v>29428</v>
      </c>
      <c r="N33" s="14">
        <f>260543-229637</f>
        <v>30906</v>
      </c>
    </row>
    <row r="34" spans="1:15" x14ac:dyDescent="0.55000000000000004">
      <c r="A34" s="36">
        <v>5</v>
      </c>
      <c r="B34" s="28" t="s">
        <v>17</v>
      </c>
      <c r="C34" s="11">
        <f>C30/C33</f>
        <v>0.18837770742706175</v>
      </c>
      <c r="D34" s="11">
        <f>D30/D33</f>
        <v>0.18720139727632371</v>
      </c>
      <c r="E34" s="11">
        <f t="shared" ref="E34:N34" si="12">E30/E33</f>
        <v>0.17885968765881938</v>
      </c>
      <c r="F34" s="11">
        <f t="shared" si="12"/>
        <v>0.15816082492574993</v>
      </c>
      <c r="G34" s="11">
        <f t="shared" si="12"/>
        <v>0.12770080488884694</v>
      </c>
      <c r="H34" s="11">
        <f t="shared" si="12"/>
        <v>0.10108564535585049</v>
      </c>
      <c r="I34" s="11">
        <f t="shared" si="12"/>
        <v>0.10308816595945321</v>
      </c>
      <c r="J34" s="11">
        <f t="shared" si="12"/>
        <v>0.12573287883483117</v>
      </c>
      <c r="K34" s="11">
        <f t="shared" si="12"/>
        <v>0.15463912585066603</v>
      </c>
      <c r="L34" s="11">
        <f t="shared" si="12"/>
        <v>0.1760534671318256</v>
      </c>
      <c r="M34" s="11">
        <f t="shared" si="12"/>
        <v>0.18659779801549534</v>
      </c>
      <c r="N34" s="21">
        <f t="shared" si="12"/>
        <v>0.18807998446903523</v>
      </c>
    </row>
    <row r="35" spans="1:15" x14ac:dyDescent="0.55000000000000004">
      <c r="A35" s="37">
        <v>5</v>
      </c>
      <c r="B35" s="32" t="s">
        <v>20</v>
      </c>
      <c r="C35" s="16">
        <f>C30/C31</f>
        <v>0.9887223116870254</v>
      </c>
      <c r="D35" s="16">
        <f t="shared" ref="D35:N35" si="13">D30/D31</f>
        <v>0.98389080106963878</v>
      </c>
      <c r="E35" s="16">
        <f t="shared" si="13"/>
        <v>0.94925482307762599</v>
      </c>
      <c r="F35" s="16">
        <f t="shared" si="13"/>
        <v>0.85728497784209101</v>
      </c>
      <c r="G35" s="16">
        <f t="shared" si="13"/>
        <v>0.71594238281249933</v>
      </c>
      <c r="H35" s="16">
        <f t="shared" si="13"/>
        <v>0.5870696557245807</v>
      </c>
      <c r="I35" s="16">
        <f t="shared" si="13"/>
        <v>0.5864812910724666</v>
      </c>
      <c r="J35" s="16">
        <f t="shared" si="13"/>
        <v>0.68632227071281238</v>
      </c>
      <c r="K35" s="16">
        <f t="shared" si="13"/>
        <v>0.82547519762592947</v>
      </c>
      <c r="L35" s="16">
        <f t="shared" si="13"/>
        <v>0.92697777135662918</v>
      </c>
      <c r="M35" s="16">
        <f t="shared" si="13"/>
        <v>0.97784742503027255</v>
      </c>
      <c r="N35" s="22">
        <f t="shared" si="13"/>
        <v>0.98788259886813568</v>
      </c>
      <c r="O35" s="39">
        <f>AVERAGE(C35:N35)</f>
        <v>0.83942929223997576</v>
      </c>
    </row>
    <row r="36" spans="1:15" ht="14.7" thickBot="1" x14ac:dyDescent="0.6">
      <c r="A36" s="38">
        <v>5</v>
      </c>
      <c r="B36" s="33" t="s">
        <v>18</v>
      </c>
      <c r="C36" s="23">
        <f t="shared" ref="C36:N36" si="14">1-C32/C33</f>
        <v>1.1140429934699658E-2</v>
      </c>
      <c r="D36" s="23">
        <f>1-D32/D33</f>
        <v>1.6091821015556396E-2</v>
      </c>
      <c r="E36" s="23">
        <f t="shared" si="14"/>
        <v>4.6782265636440279E-2</v>
      </c>
      <c r="F36" s="23">
        <f t="shared" si="14"/>
        <v>0.1277433564333309</v>
      </c>
      <c r="G36" s="23">
        <f t="shared" si="14"/>
        <v>0.23395484203421313</v>
      </c>
      <c r="H36" s="23">
        <f t="shared" si="14"/>
        <v>0.31871445803894538</v>
      </c>
      <c r="I36" s="23">
        <f t="shared" si="14"/>
        <v>0.33097595473833097</v>
      </c>
      <c r="J36" s="23">
        <f t="shared" si="14"/>
        <v>0.26563371552525561</v>
      </c>
      <c r="K36" s="23">
        <f t="shared" si="14"/>
        <v>0.15839164190549215</v>
      </c>
      <c r="L36" s="23">
        <f t="shared" si="14"/>
        <v>6.8362667084786999E-2</v>
      </c>
      <c r="M36" s="23">
        <f t="shared" si="14"/>
        <v>2.1680032621992695E-2</v>
      </c>
      <c r="N36" s="24">
        <f t="shared" si="14"/>
        <v>1.1939429237041388E-2</v>
      </c>
    </row>
    <row r="37" spans="1:15" x14ac:dyDescent="0.55000000000000004">
      <c r="A37" s="34">
        <v>6</v>
      </c>
      <c r="B37" s="25" t="s">
        <v>13</v>
      </c>
      <c r="C37" s="2">
        <v>4385.42</v>
      </c>
      <c r="D37" s="2">
        <f>6746.66-4385.42</f>
        <v>2361.2399999999998</v>
      </c>
      <c r="E37" s="2">
        <f>7180.92-6746.66</f>
        <v>434.26000000000022</v>
      </c>
      <c r="F37" s="2">
        <f>7196.49-7180.92</f>
        <v>15.569999999999709</v>
      </c>
      <c r="G37" s="2">
        <v>0.1</v>
      </c>
      <c r="H37" s="2">
        <v>0</v>
      </c>
      <c r="I37" s="2">
        <v>0</v>
      </c>
      <c r="J37" s="2">
        <v>0.1</v>
      </c>
      <c r="K37" s="2">
        <f>7320.75-7196.5</f>
        <v>124.25</v>
      </c>
      <c r="L37" s="2">
        <f>8789.24-7320.75</f>
        <v>1468.4899999999998</v>
      </c>
      <c r="M37" s="2">
        <f>12616.3-8789.24</f>
        <v>3827.0599999999995</v>
      </c>
      <c r="N37" s="3">
        <f>17660.9-12616.3</f>
        <v>5044.6000000000022</v>
      </c>
    </row>
    <row r="38" spans="1:15" x14ac:dyDescent="0.55000000000000004">
      <c r="A38" s="35">
        <v>6</v>
      </c>
      <c r="B38" s="26" t="s">
        <v>19</v>
      </c>
      <c r="C38" s="7">
        <v>5439.89</v>
      </c>
      <c r="D38" s="7">
        <f>8595.86-5439.89</f>
        <v>3155.9700000000003</v>
      </c>
      <c r="E38" s="7">
        <f>9630.6-8595.86</f>
        <v>1034.7399999999998</v>
      </c>
      <c r="F38" s="7">
        <f>9713.47-9630.6</f>
        <v>82.869999999998981</v>
      </c>
      <c r="G38" s="7">
        <f>9713.84-9713.47</f>
        <v>0.37000000000080036</v>
      </c>
      <c r="H38" s="7">
        <f>0</f>
        <v>0</v>
      </c>
      <c r="I38" s="7">
        <v>0</v>
      </c>
      <c r="J38" s="7">
        <f>9729.19-9713.84</f>
        <v>15.350000000000364</v>
      </c>
      <c r="K38" s="7">
        <f>10347.9-9729.19</f>
        <v>618.70999999999913</v>
      </c>
      <c r="L38" s="7">
        <f>13104.4-10347.9</f>
        <v>2756.5</v>
      </c>
      <c r="M38" s="7">
        <f>18201.5-13104.4</f>
        <v>5097.1000000000004</v>
      </c>
      <c r="N38" s="8">
        <f>24528.4-18201.5</f>
        <v>6326.9000000000015</v>
      </c>
    </row>
    <row r="39" spans="1:15" x14ac:dyDescent="0.55000000000000004">
      <c r="A39" s="36">
        <v>6</v>
      </c>
      <c r="B39" s="27" t="s">
        <v>14</v>
      </c>
      <c r="C39" s="13">
        <v>25283.1</v>
      </c>
      <c r="D39" s="13">
        <f>40355.7-25283.1</f>
        <v>15072.599999999999</v>
      </c>
      <c r="E39" s="13">
        <f>45883.9-40355.7</f>
        <v>5528.2000000000044</v>
      </c>
      <c r="F39" s="13">
        <f>46754.7-45883.9</f>
        <v>870.79999999999563</v>
      </c>
      <c r="G39" s="13">
        <f>46778.2-46754.7</f>
        <v>23.5</v>
      </c>
      <c r="H39" s="13">
        <v>0</v>
      </c>
      <c r="I39" s="13">
        <v>0</v>
      </c>
      <c r="J39" s="13">
        <f>46889.1-46778.2</f>
        <v>110.90000000000146</v>
      </c>
      <c r="K39" s="13">
        <f>49458.1-46889.1</f>
        <v>2569</v>
      </c>
      <c r="L39" s="13">
        <f>60214.3-49458.1</f>
        <v>10756.200000000004</v>
      </c>
      <c r="M39" s="13">
        <f>82313.1-60214.3</f>
        <v>22098.800000000003</v>
      </c>
      <c r="N39" s="14">
        <f>110774-82313.1</f>
        <v>28460.899999999994</v>
      </c>
    </row>
    <row r="40" spans="1:15" x14ac:dyDescent="0.55000000000000004">
      <c r="A40" s="36">
        <v>6</v>
      </c>
      <c r="B40" s="28" t="s">
        <v>15</v>
      </c>
      <c r="C40" s="9">
        <v>31028.799999999999</v>
      </c>
      <c r="D40" s="9">
        <f>49969.5-31028.8</f>
        <v>18940.7</v>
      </c>
      <c r="E40" s="9">
        <f>58104-49969.5</f>
        <v>8134.5</v>
      </c>
      <c r="F40" s="9">
        <f>59984.6-58104</f>
        <v>1880.5999999999985</v>
      </c>
      <c r="G40" s="9">
        <f>60082.2-59984.6</f>
        <v>97.599999999998545</v>
      </c>
      <c r="H40" s="9">
        <f>0</f>
        <v>0</v>
      </c>
      <c r="I40" s="9">
        <v>0</v>
      </c>
      <c r="J40" s="9">
        <f>60668.6-60082.2</f>
        <v>586.40000000000146</v>
      </c>
      <c r="K40" s="9">
        <f>66251.6-60668.6</f>
        <v>5583.0000000000073</v>
      </c>
      <c r="L40" s="9">
        <f>82384.7-66251.6</f>
        <v>16133.099999999991</v>
      </c>
      <c r="M40" s="9">
        <f>110520-82384.7</f>
        <v>28135.300000000003</v>
      </c>
      <c r="N40" s="10">
        <f>146024-110520</f>
        <v>35504</v>
      </c>
    </row>
    <row r="41" spans="1:15" x14ac:dyDescent="0.55000000000000004">
      <c r="A41" s="36">
        <v>6</v>
      </c>
      <c r="B41" s="27" t="s">
        <v>17</v>
      </c>
      <c r="C41" s="15">
        <f>C37/C40</f>
        <v>0.14133385757747641</v>
      </c>
      <c r="D41" s="15">
        <f>D37/D40</f>
        <v>0.12466487511021239</v>
      </c>
      <c r="E41" s="15">
        <f t="shared" ref="E41:N41" si="15">E37/E40</f>
        <v>5.3384965271375033E-2</v>
      </c>
      <c r="F41" s="15">
        <f t="shared" si="15"/>
        <v>8.2792725725830702E-3</v>
      </c>
      <c r="G41" s="15">
        <f t="shared" si="15"/>
        <v>1.0245901639344415E-3</v>
      </c>
      <c r="H41" s="15">
        <v>0</v>
      </c>
      <c r="I41" s="15">
        <v>0</v>
      </c>
      <c r="J41" s="15">
        <f t="shared" si="15"/>
        <v>1.7053206002728472E-4</v>
      </c>
      <c r="K41" s="15">
        <f t="shared" si="15"/>
        <v>2.2255060003582273E-2</v>
      </c>
      <c r="L41" s="15">
        <f t="shared" si="15"/>
        <v>9.1023423892494348E-2</v>
      </c>
      <c r="M41" s="15">
        <f t="shared" si="15"/>
        <v>0.13602342964176672</v>
      </c>
      <c r="N41" s="17">
        <f t="shared" si="15"/>
        <v>0.1420853988283011</v>
      </c>
    </row>
    <row r="42" spans="1:15" x14ac:dyDescent="0.55000000000000004">
      <c r="A42" s="37">
        <v>6</v>
      </c>
      <c r="B42" s="29" t="s">
        <v>20</v>
      </c>
      <c r="C42" s="12">
        <f>C37/C38</f>
        <v>0.80615968337595056</v>
      </c>
      <c r="D42" s="12">
        <f t="shared" ref="D42:N42" si="16">D37/D38</f>
        <v>0.7481820169393244</v>
      </c>
      <c r="E42" s="12">
        <f t="shared" si="16"/>
        <v>0.41968030616386753</v>
      </c>
      <c r="F42" s="12">
        <f t="shared" si="16"/>
        <v>0.18788463859056234</v>
      </c>
      <c r="G42" s="12">
        <f t="shared" si="16"/>
        <v>0.27027027026968564</v>
      </c>
      <c r="H42" s="12">
        <v>0</v>
      </c>
      <c r="I42" s="12">
        <v>0</v>
      </c>
      <c r="J42" s="12">
        <f t="shared" si="16"/>
        <v>6.514657980455872E-3</v>
      </c>
      <c r="K42" s="12">
        <f t="shared" si="16"/>
        <v>0.20082106317984222</v>
      </c>
      <c r="L42" s="12">
        <f t="shared" si="16"/>
        <v>0.53273716669689819</v>
      </c>
      <c r="M42" s="12">
        <f t="shared" si="16"/>
        <v>0.7508308646092875</v>
      </c>
      <c r="N42" s="18">
        <f t="shared" si="16"/>
        <v>0.79732570453144525</v>
      </c>
      <c r="O42" s="39">
        <f>AVERAGE(C42:N42)</f>
        <v>0.39336719769477663</v>
      </c>
    </row>
    <row r="43" spans="1:15" ht="14.7" thickBot="1" x14ac:dyDescent="0.6">
      <c r="A43" s="38">
        <v>6</v>
      </c>
      <c r="B43" s="30" t="s">
        <v>18</v>
      </c>
      <c r="C43" s="19">
        <f t="shared" ref="C43:N43" si="17">1-C39/C40</f>
        <v>0.18517312947970921</v>
      </c>
      <c r="D43" s="19">
        <f>1-D39/D40</f>
        <v>0.20422159687867936</v>
      </c>
      <c r="E43" s="19">
        <f t="shared" si="17"/>
        <v>0.32040076218575153</v>
      </c>
      <c r="F43" s="19">
        <f t="shared" si="17"/>
        <v>0.53695629054557248</v>
      </c>
      <c r="G43" s="19">
        <f t="shared" si="17"/>
        <v>0.75922131147540628</v>
      </c>
      <c r="H43" s="19">
        <v>0</v>
      </c>
      <c r="I43" s="19">
        <v>0</v>
      </c>
      <c r="J43" s="19">
        <f t="shared" si="17"/>
        <v>0.81087994542973885</v>
      </c>
      <c r="K43" s="19">
        <f t="shared" si="17"/>
        <v>0.53985312555973552</v>
      </c>
      <c r="L43" s="19">
        <f t="shared" si="17"/>
        <v>0.33328374583929865</v>
      </c>
      <c r="M43" s="19">
        <f t="shared" si="17"/>
        <v>0.21455253720415279</v>
      </c>
      <c r="N43" s="20">
        <f t="shared" si="17"/>
        <v>0.19837483100495734</v>
      </c>
    </row>
    <row r="45" spans="1:15" x14ac:dyDescent="0.55000000000000004">
      <c r="I4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49F2-7E3A-4732-B11A-95AD0253DE9D}">
  <dimension ref="A1"/>
  <sheetViews>
    <sheetView topLeftCell="Z45" zoomScale="66" workbookViewId="0">
      <selection activeCell="L58" sqref="L58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</vt:lpstr>
      <vt:lpstr>Sheet1</vt:lpstr>
      <vt:lpstr>SA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West</dc:creator>
  <cp:lastModifiedBy>Harrison West</cp:lastModifiedBy>
  <dcterms:created xsi:type="dcterms:W3CDTF">2025-04-10T06:30:53Z</dcterms:created>
  <dcterms:modified xsi:type="dcterms:W3CDTF">2025-04-10T18:23:53Z</dcterms:modified>
</cp:coreProperties>
</file>