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PC\Desktop\"/>
    </mc:Choice>
  </mc:AlternateContent>
  <xr:revisionPtr revIDLastSave="0" documentId="13_ncr:1_{6768D249-D5D7-4FE7-8580-10463FCADC03}" xr6:coauthVersionLast="47" xr6:coauthVersionMax="47" xr10:uidLastSave="{00000000-0000-0000-0000-000000000000}"/>
  <bookViews>
    <workbookView xWindow="-108" yWindow="-108" windowWidth="23256" windowHeight="12456" firstSheet="5" activeTab="11" xr2:uid="{00000000-000D-0000-FFFF-FFFF00000000}"/>
  </bookViews>
  <sheets>
    <sheet name="DINH DANG" sheetId="1" r:id="rId1"/>
    <sheet name="THAM CHIEU" sheetId="2" r:id="rId2"/>
    <sheet name="SO HOC-THONG KE" sheetId="3" r:id="rId3"/>
    <sheet name="IF-LOGIC" sheetId="4" r:id="rId4"/>
    <sheet name="THOI GIAN" sheetId="5" r:id="rId5"/>
    <sheet name="CHUOI" sheetId="6" r:id="rId6"/>
    <sheet name="DO TIM" sheetId="7" r:id="rId7"/>
    <sheet name="Bai Tap 1 - Co Ban" sheetId="13" r:id="rId8"/>
    <sheet name="Bai Tap 2 - Co Ban" sheetId="14" r:id="rId9"/>
    <sheet name="Bai Tap 3 - Co Ban" sheetId="10" r:id="rId10"/>
    <sheet name="Bai Tap 4 - Co Ban" sheetId="11" r:id="rId11"/>
    <sheet name="Bieu do" sheetId="12" r:id="rId12"/>
  </sheets>
  <externalReferences>
    <externalReference r:id="rId13"/>
  </externalReferences>
  <definedNames>
    <definedName name="_Fill" localSheetId="7" hidden="1">#REF!</definedName>
    <definedName name="_Fill" localSheetId="8" hidden="1">#REF!</definedName>
    <definedName name="_Fill">#REF!</definedName>
    <definedName name="_Key1" localSheetId="7" hidden="1">#REF!</definedName>
    <definedName name="_Key1" localSheetId="8" hidden="1">#REF!</definedName>
    <definedName name="_Key1">#REF!</definedName>
    <definedName name="_Key2" localSheetId="7" hidden="1">#REF!</definedName>
    <definedName name="_Key2" localSheetId="8" hidden="1">#REF!</definedName>
    <definedName name="_Key2">#REF!</definedName>
    <definedName name="_Order1">255</definedName>
    <definedName name="_Order2">255</definedName>
    <definedName name="_Sort">#REF!</definedName>
    <definedName name="HTML_CodePage">950</definedName>
    <definedName name="HTML_Control" localSheetId="7" hidden="1">{"'Sheet1'!$L$16"}</definedName>
    <definedName name="HTML_Control" localSheetId="8" hidden="1">{"'Sheet1'!$L$16"}</definedName>
    <definedName name="HTML_Control">{"'Sheet1'!$L$16"}</definedName>
    <definedName name="HTML_Description">""</definedName>
    <definedName name="HTML_Email">""</definedName>
    <definedName name="HTML_Header">"Sheet1"</definedName>
    <definedName name="HTML_LastUpdate">"2000/9/14"</definedName>
    <definedName name="HTML_LineAfter">FALSE</definedName>
    <definedName name="HTML_LineBefore">FALSE</definedName>
    <definedName name="HTML_Name">"J.C.WONG"</definedName>
    <definedName name="HTML_OBDlg2">TRUE</definedName>
    <definedName name="HTML_OBDlg4">TRUE</definedName>
    <definedName name="HTML_OS">0</definedName>
    <definedName name="HTML_PathFile">"C:\2689\Q\國內\00q3961台化龍德PTA3建造\MyHTML.htm"</definedName>
    <definedName name="HTML_Title">"00Q3961-SUM"</definedName>
  </definedNames>
  <calcPr calcId="181029"/>
  <extLst>
    <ext uri="GoogleSheetsCustomDataVersion1">
      <go:sheetsCustomData xmlns:go="http://customooxmlschemas.google.com/" r:id="rId16" roundtripDataSignature="AMtx7mhJ7Scr5Ziwn4F76/rxRlLIbmjn4w=="/>
    </ext>
  </extLst>
</workbook>
</file>

<file path=xl/calcChain.xml><?xml version="1.0" encoding="utf-8"?>
<calcChain xmlns="http://schemas.openxmlformats.org/spreadsheetml/2006/main">
  <c r="D32" i="14" l="1"/>
  <c r="C35" i="5"/>
  <c r="J17" i="11"/>
  <c r="J16" i="11"/>
  <c r="I17" i="11"/>
  <c r="I16" i="11"/>
  <c r="I4" i="11"/>
  <c r="I5" i="11"/>
  <c r="I6" i="11"/>
  <c r="I7" i="11"/>
  <c r="I8" i="11"/>
  <c r="I9" i="11"/>
  <c r="I10" i="11"/>
  <c r="I11" i="11"/>
  <c r="I12" i="11"/>
  <c r="I3" i="11"/>
  <c r="H4" i="11"/>
  <c r="H5" i="11"/>
  <c r="H6" i="11"/>
  <c r="H7" i="11"/>
  <c r="H8" i="11"/>
  <c r="H9" i="11"/>
  <c r="H10" i="11"/>
  <c r="H11" i="11"/>
  <c r="H12" i="11"/>
  <c r="H3" i="11"/>
  <c r="G4" i="11"/>
  <c r="G5" i="11"/>
  <c r="G6" i="11"/>
  <c r="G7" i="11"/>
  <c r="G8" i="11"/>
  <c r="G9" i="11"/>
  <c r="G10" i="11"/>
  <c r="G11" i="11"/>
  <c r="G12" i="11"/>
  <c r="G3" i="11"/>
  <c r="D4" i="11"/>
  <c r="D5" i="11"/>
  <c r="D6" i="11"/>
  <c r="D7" i="11"/>
  <c r="D8" i="11"/>
  <c r="D9" i="11"/>
  <c r="D10" i="11"/>
  <c r="D11" i="11"/>
  <c r="D12" i="11"/>
  <c r="D3" i="11"/>
  <c r="C4" i="11"/>
  <c r="C5" i="11"/>
  <c r="C6" i="11"/>
  <c r="C7" i="11"/>
  <c r="C8" i="11"/>
  <c r="C9" i="11"/>
  <c r="C10" i="11"/>
  <c r="C11" i="11"/>
  <c r="C12" i="11"/>
  <c r="C3" i="11"/>
  <c r="H23" i="10"/>
  <c r="H22" i="10"/>
  <c r="H21" i="10"/>
  <c r="F4" i="10"/>
  <c r="F5" i="10"/>
  <c r="F7" i="10"/>
  <c r="F8" i="10"/>
  <c r="F10" i="10"/>
  <c r="F3" i="10"/>
  <c r="E4" i="10"/>
  <c r="E5" i="10"/>
  <c r="E7" i="10"/>
  <c r="E8" i="10"/>
  <c r="E10" i="10"/>
  <c r="E3" i="10"/>
  <c r="D4" i="10"/>
  <c r="D5" i="10"/>
  <c r="D6" i="10"/>
  <c r="F6" i="10" s="1"/>
  <c r="D7" i="10"/>
  <c r="D8" i="10"/>
  <c r="D9" i="10"/>
  <c r="F9" i="10" s="1"/>
  <c r="D10" i="10"/>
  <c r="D11" i="10"/>
  <c r="F11" i="10" s="1"/>
  <c r="D3" i="10"/>
  <c r="C4" i="10"/>
  <c r="C5" i="10"/>
  <c r="C6" i="10"/>
  <c r="E6" i="10" s="1"/>
  <c r="C7" i="10"/>
  <c r="C8" i="10"/>
  <c r="C9" i="10"/>
  <c r="E9" i="10" s="1"/>
  <c r="C10" i="10"/>
  <c r="C11" i="10"/>
  <c r="E11" i="10" s="1"/>
  <c r="C3" i="10"/>
  <c r="B4" i="10"/>
  <c r="B5" i="10"/>
  <c r="B6" i="10"/>
  <c r="B7" i="10"/>
  <c r="B8" i="10"/>
  <c r="B9" i="10"/>
  <c r="B10" i="10"/>
  <c r="B11" i="10"/>
  <c r="B3" i="10"/>
  <c r="D27" i="14"/>
  <c r="C25" i="14"/>
  <c r="G25" i="14" s="1"/>
  <c r="C24" i="14"/>
  <c r="G24" i="14" s="1"/>
  <c r="C23" i="14"/>
  <c r="G23" i="14" s="1"/>
  <c r="C22" i="14"/>
  <c r="G22" i="14" s="1"/>
  <c r="C21" i="14"/>
  <c r="G21" i="14" s="1"/>
  <c r="C20" i="14"/>
  <c r="G20" i="14" s="1"/>
  <c r="C19" i="14"/>
  <c r="G19" i="14" s="1"/>
  <c r="C18" i="14"/>
  <c r="G18" i="14" s="1"/>
  <c r="C17" i="14"/>
  <c r="G17" i="14" s="1"/>
  <c r="C16" i="14"/>
  <c r="G257" i="7"/>
  <c r="E257" i="7"/>
  <c r="F257" i="7"/>
  <c r="D257" i="7"/>
  <c r="G252" i="7"/>
  <c r="G253" i="7"/>
  <c r="G254" i="7"/>
  <c r="G255" i="7"/>
  <c r="G256" i="7"/>
  <c r="G251" i="7"/>
  <c r="F252" i="7"/>
  <c r="F253" i="7"/>
  <c r="F254" i="7"/>
  <c r="F255" i="7"/>
  <c r="F256" i="7"/>
  <c r="F251" i="7"/>
  <c r="E252" i="7"/>
  <c r="E253" i="7"/>
  <c r="E254" i="7"/>
  <c r="E255" i="7"/>
  <c r="E256" i="7"/>
  <c r="E251" i="7"/>
  <c r="C252" i="7"/>
  <c r="C253" i="7"/>
  <c r="C254" i="7"/>
  <c r="C255" i="7"/>
  <c r="C256" i="7"/>
  <c r="C251" i="7"/>
  <c r="L12" i="13"/>
  <c r="M12" i="13" s="1"/>
  <c r="K12" i="13"/>
  <c r="J12" i="13"/>
  <c r="I12" i="13"/>
  <c r="H12" i="13"/>
  <c r="D12" i="13"/>
  <c r="N11" i="13"/>
  <c r="L11" i="13"/>
  <c r="K11" i="13"/>
  <c r="J11" i="13"/>
  <c r="M11" i="13" s="1"/>
  <c r="I11" i="13"/>
  <c r="H11" i="13"/>
  <c r="D11" i="13"/>
  <c r="N10" i="13"/>
  <c r="L10" i="13"/>
  <c r="K10" i="13"/>
  <c r="J10" i="13"/>
  <c r="M10" i="13" s="1"/>
  <c r="I10" i="13"/>
  <c r="H10" i="13"/>
  <c r="O10" i="13" s="1"/>
  <c r="D10" i="13"/>
  <c r="N9" i="13"/>
  <c r="L9" i="13"/>
  <c r="K9" i="13"/>
  <c r="J9" i="13"/>
  <c r="M9" i="13" s="1"/>
  <c r="I9" i="13"/>
  <c r="H9" i="13"/>
  <c r="O9" i="13" s="1"/>
  <c r="D9" i="13"/>
  <c r="L8" i="13"/>
  <c r="K8" i="13"/>
  <c r="J8" i="13"/>
  <c r="M8" i="13" s="1"/>
  <c r="I8" i="13"/>
  <c r="H8" i="13"/>
  <c r="D8" i="13"/>
  <c r="L7" i="13"/>
  <c r="K7" i="13"/>
  <c r="J7" i="13"/>
  <c r="M7" i="13" s="1"/>
  <c r="N7" i="13" s="1"/>
  <c r="I7" i="13"/>
  <c r="H7" i="13"/>
  <c r="O7" i="13" s="1"/>
  <c r="D7" i="13"/>
  <c r="M6" i="13"/>
  <c r="L6" i="13"/>
  <c r="K6" i="13"/>
  <c r="J6" i="13"/>
  <c r="I6" i="13"/>
  <c r="H6" i="13"/>
  <c r="D6" i="13"/>
  <c r="L5" i="13"/>
  <c r="K5" i="13"/>
  <c r="J5" i="13"/>
  <c r="M5" i="13" s="1"/>
  <c r="I5" i="13"/>
  <c r="H5" i="13"/>
  <c r="D5" i="13"/>
  <c r="N4" i="13"/>
  <c r="L4" i="13"/>
  <c r="M4" i="13" s="1"/>
  <c r="O4" i="13" s="1"/>
  <c r="K4" i="13"/>
  <c r="J4" i="13"/>
  <c r="I4" i="13"/>
  <c r="H4" i="13"/>
  <c r="D4" i="13"/>
  <c r="M3" i="13"/>
  <c r="L3" i="13"/>
  <c r="K3" i="13"/>
  <c r="J3" i="13"/>
  <c r="I3" i="13"/>
  <c r="H3" i="13"/>
  <c r="D3" i="13"/>
  <c r="G21" i="10" l="1"/>
  <c r="G22" i="10"/>
  <c r="G23" i="10"/>
  <c r="J17" i="14"/>
  <c r="I17" i="14"/>
  <c r="H17" i="14"/>
  <c r="I24" i="14"/>
  <c r="H24" i="14"/>
  <c r="H18" i="14"/>
  <c r="I18" i="14"/>
  <c r="H19" i="14"/>
  <c r="E30" i="14" s="1"/>
  <c r="I19" i="14"/>
  <c r="H20" i="14"/>
  <c r="J20" i="14"/>
  <c r="I20" i="14"/>
  <c r="I21" i="14"/>
  <c r="H21" i="14"/>
  <c r="J21" i="14"/>
  <c r="J22" i="14"/>
  <c r="H22" i="14"/>
  <c r="I22" i="14"/>
  <c r="H23" i="14"/>
  <c r="I23" i="14"/>
  <c r="I25" i="14"/>
  <c r="H25" i="14"/>
  <c r="G16" i="14"/>
  <c r="J25" i="14" s="1"/>
  <c r="E29" i="14"/>
  <c r="D30" i="14"/>
  <c r="D29" i="14"/>
  <c r="F29" i="14"/>
  <c r="O3" i="13"/>
  <c r="O11" i="13"/>
  <c r="N12" i="13"/>
  <c r="O12" i="13" s="1"/>
  <c r="N8" i="13"/>
  <c r="O8" i="13"/>
  <c r="N5" i="13"/>
  <c r="O5" i="13" s="1"/>
  <c r="C30" i="13"/>
  <c r="N6" i="13"/>
  <c r="O6" i="13" s="1"/>
  <c r="C31" i="13" s="1"/>
  <c r="N3" i="13"/>
  <c r="J19" i="14" l="1"/>
  <c r="J23" i="14"/>
  <c r="J18" i="14"/>
  <c r="J16" i="14"/>
  <c r="I16" i="14"/>
  <c r="D31" i="14" s="1"/>
  <c r="H16" i="14"/>
  <c r="J24" i="14"/>
  <c r="E29" i="13"/>
  <c r="C29" i="13"/>
  <c r="G230" i="7"/>
  <c r="F230" i="7"/>
  <c r="G225" i="7"/>
  <c r="G226" i="7"/>
  <c r="G227" i="7"/>
  <c r="G228" i="7"/>
  <c r="G229" i="7"/>
  <c r="G224" i="7"/>
  <c r="E225" i="7"/>
  <c r="E226" i="7"/>
  <c r="E227" i="7"/>
  <c r="E228" i="7"/>
  <c r="E229" i="7"/>
  <c r="E224" i="7"/>
  <c r="D225" i="7"/>
  <c r="D226" i="7"/>
  <c r="D227" i="7"/>
  <c r="D228" i="7"/>
  <c r="D229" i="7"/>
  <c r="D224" i="7"/>
  <c r="E197" i="7"/>
  <c r="G197" i="7" s="1"/>
  <c r="E198" i="7"/>
  <c r="E199" i="7"/>
  <c r="E200" i="7"/>
  <c r="E201" i="7"/>
  <c r="E196" i="7"/>
  <c r="G196" i="7" s="1"/>
  <c r="F202" i="7"/>
  <c r="G198" i="7"/>
  <c r="G199" i="7"/>
  <c r="G200" i="7"/>
  <c r="G201" i="7"/>
  <c r="D197" i="7"/>
  <c r="D198" i="7"/>
  <c r="D199" i="7"/>
  <c r="D200" i="7"/>
  <c r="D201" i="7"/>
  <c r="D196" i="7"/>
  <c r="H167" i="7"/>
  <c r="H168" i="7"/>
  <c r="H169" i="7"/>
  <c r="H170" i="7"/>
  <c r="H171" i="7"/>
  <c r="H166" i="7"/>
  <c r="F143" i="7"/>
  <c r="F144" i="7"/>
  <c r="F145" i="7"/>
  <c r="F146" i="7"/>
  <c r="F147" i="7"/>
  <c r="F148" i="7"/>
  <c r="F149" i="7"/>
  <c r="F150" i="7"/>
  <c r="F151" i="7"/>
  <c r="F142" i="7"/>
  <c r="F30" i="14" l="1"/>
  <c r="G202" i="7"/>
  <c r="C143" i="7" l="1"/>
  <c r="C144" i="7"/>
  <c r="C145" i="7"/>
  <c r="C146" i="7"/>
  <c r="C147" i="7"/>
  <c r="C148" i="7"/>
  <c r="C149" i="7"/>
  <c r="C150" i="7"/>
  <c r="C151" i="7"/>
  <c r="C142" i="7"/>
  <c r="G167" i="7"/>
  <c r="G168" i="7"/>
  <c r="G169" i="7"/>
  <c r="G170" i="7"/>
  <c r="G171" i="7"/>
  <c r="G166" i="7"/>
  <c r="F167" i="7"/>
  <c r="F168" i="7"/>
  <c r="F169" i="7"/>
  <c r="F170" i="7"/>
  <c r="F171" i="7"/>
  <c r="F166" i="7"/>
  <c r="D168" i="7"/>
  <c r="D169" i="7"/>
  <c r="D170" i="7"/>
  <c r="D171" i="7"/>
  <c r="D166" i="7"/>
  <c r="D167" i="7"/>
  <c r="B131" i="7"/>
  <c r="B130" i="7"/>
  <c r="B129" i="7"/>
  <c r="B128" i="7"/>
  <c r="B127" i="7"/>
  <c r="J109" i="7"/>
  <c r="J110" i="7"/>
  <c r="J111" i="7"/>
  <c r="J112" i="7"/>
  <c r="J113" i="7"/>
  <c r="J114" i="7"/>
  <c r="J115" i="7"/>
  <c r="J116" i="7"/>
  <c r="J117" i="7"/>
  <c r="J108" i="7"/>
  <c r="I109" i="7"/>
  <c r="I110" i="7"/>
  <c r="I111" i="7"/>
  <c r="I112" i="7"/>
  <c r="I113" i="7"/>
  <c r="I114" i="7"/>
  <c r="I115" i="7"/>
  <c r="I116" i="7"/>
  <c r="I117" i="7"/>
  <c r="I108" i="7"/>
  <c r="F109" i="7"/>
  <c r="F110" i="7"/>
  <c r="F111" i="7"/>
  <c r="F112" i="7"/>
  <c r="F113" i="7"/>
  <c r="F114" i="7"/>
  <c r="F115" i="7"/>
  <c r="F116" i="7"/>
  <c r="F117" i="7"/>
  <c r="F108" i="7"/>
  <c r="D109" i="7"/>
  <c r="D110" i="7"/>
  <c r="D111" i="7"/>
  <c r="D112" i="7"/>
  <c r="D113" i="7"/>
  <c r="D114" i="7"/>
  <c r="D115" i="7"/>
  <c r="D116" i="7"/>
  <c r="D117" i="7"/>
  <c r="D108" i="7"/>
  <c r="B109" i="7"/>
  <c r="B110" i="7"/>
  <c r="B111" i="7"/>
  <c r="B112" i="7"/>
  <c r="B113" i="7"/>
  <c r="B114" i="7"/>
  <c r="B115" i="7"/>
  <c r="B116" i="7"/>
  <c r="B117" i="7"/>
  <c r="B108" i="7"/>
  <c r="F98" i="7"/>
  <c r="F89" i="7"/>
  <c r="F90" i="7"/>
  <c r="F91" i="7"/>
  <c r="F92" i="7"/>
  <c r="F93" i="7"/>
  <c r="F94" i="7"/>
  <c r="F95" i="7"/>
  <c r="F96" i="7"/>
  <c r="F97" i="7"/>
  <c r="F88" i="7"/>
  <c r="D90" i="7"/>
  <c r="D89" i="7"/>
  <c r="D91" i="7"/>
  <c r="D92" i="7"/>
  <c r="D93" i="7"/>
  <c r="D94" i="7"/>
  <c r="D95" i="7"/>
  <c r="D96" i="7"/>
  <c r="D97" i="7"/>
  <c r="D88" i="7"/>
  <c r="C89" i="7"/>
  <c r="J88" i="7" s="1"/>
  <c r="C90" i="7"/>
  <c r="J87" i="7" s="1"/>
  <c r="C91" i="7"/>
  <c r="C92" i="7"/>
  <c r="C93" i="7"/>
  <c r="C94" i="7"/>
  <c r="C95" i="7"/>
  <c r="C96" i="7"/>
  <c r="C97" i="7"/>
  <c r="C88" i="7"/>
  <c r="J89" i="7" s="1"/>
  <c r="I58" i="7"/>
  <c r="I59" i="7"/>
  <c r="I60" i="7"/>
  <c r="I61" i="7"/>
  <c r="I62" i="7"/>
  <c r="I57" i="7"/>
  <c r="H58" i="7"/>
  <c r="H59" i="7"/>
  <c r="H60" i="7"/>
  <c r="H61" i="7"/>
  <c r="H62" i="7"/>
  <c r="H57" i="7"/>
  <c r="G58" i="7"/>
  <c r="G59" i="7"/>
  <c r="G60" i="7"/>
  <c r="G61" i="7"/>
  <c r="G62" i="7"/>
  <c r="G57" i="7"/>
  <c r="F58" i="7"/>
  <c r="F59" i="7"/>
  <c r="F60" i="7"/>
  <c r="F61" i="7"/>
  <c r="F62" i="7"/>
  <c r="F57" i="7"/>
  <c r="E58" i="7"/>
  <c r="E59" i="7"/>
  <c r="E60" i="7"/>
  <c r="E61" i="7"/>
  <c r="E62" i="7"/>
  <c r="E57" i="7"/>
  <c r="H30" i="7"/>
  <c r="H31" i="7"/>
  <c r="H32" i="7"/>
  <c r="H33" i="7"/>
  <c r="H34" i="7"/>
  <c r="H35" i="7"/>
  <c r="H36" i="7"/>
  <c r="H37" i="7"/>
  <c r="H38" i="7"/>
  <c r="H29" i="7"/>
  <c r="F30" i="7"/>
  <c r="F31" i="7"/>
  <c r="F32" i="7"/>
  <c r="F33" i="7"/>
  <c r="F34" i="7"/>
  <c r="F35" i="7"/>
  <c r="F36" i="7"/>
  <c r="F37" i="7"/>
  <c r="F38" i="7"/>
  <c r="F29" i="7"/>
  <c r="D30" i="7"/>
  <c r="D31" i="7"/>
  <c r="D32" i="7"/>
  <c r="D33" i="7"/>
  <c r="D34" i="7"/>
  <c r="D35" i="7"/>
  <c r="D36" i="7"/>
  <c r="D37" i="7"/>
  <c r="D38" i="7"/>
  <c r="D29" i="7"/>
  <c r="F4" i="7"/>
  <c r="F5" i="7"/>
  <c r="F6" i="7"/>
  <c r="F7" i="7"/>
  <c r="F8" i="7"/>
  <c r="F9" i="7"/>
  <c r="F3" i="7"/>
  <c r="E4" i="7"/>
  <c r="E5" i="7"/>
  <c r="E6" i="7"/>
  <c r="E7" i="7"/>
  <c r="E8" i="7"/>
  <c r="E9" i="7"/>
  <c r="E3" i="7"/>
  <c r="D4" i="7"/>
  <c r="D5" i="7"/>
  <c r="D6" i="7"/>
  <c r="D7" i="7"/>
  <c r="D8" i="7"/>
  <c r="D9" i="7"/>
  <c r="D3" i="7"/>
  <c r="H111" i="6"/>
  <c r="H110" i="6"/>
  <c r="H109" i="6"/>
  <c r="G111" i="6"/>
  <c r="G110" i="6"/>
  <c r="G109" i="6"/>
  <c r="H97" i="6"/>
  <c r="H98" i="6"/>
  <c r="H99" i="6"/>
  <c r="H100" i="6"/>
  <c r="H101" i="6"/>
  <c r="H102" i="6"/>
  <c r="H103" i="6"/>
  <c r="H104" i="6"/>
  <c r="H105" i="6"/>
  <c r="H96" i="6"/>
  <c r="G97" i="6"/>
  <c r="G98" i="6"/>
  <c r="G99" i="6"/>
  <c r="G100" i="6"/>
  <c r="G101" i="6"/>
  <c r="G102" i="6"/>
  <c r="G103" i="6"/>
  <c r="G104" i="6"/>
  <c r="G105" i="6"/>
  <c r="G96" i="6"/>
  <c r="E97" i="6"/>
  <c r="E98" i="6"/>
  <c r="E99" i="6"/>
  <c r="E100" i="6"/>
  <c r="E101" i="6"/>
  <c r="E102" i="6"/>
  <c r="E103" i="6"/>
  <c r="E104" i="6"/>
  <c r="E105" i="6"/>
  <c r="E96" i="6"/>
  <c r="D97" i="6"/>
  <c r="D98" i="6"/>
  <c r="D99" i="6"/>
  <c r="D100" i="6"/>
  <c r="D101" i="6"/>
  <c r="D102" i="6"/>
  <c r="D103" i="6"/>
  <c r="D104" i="6"/>
  <c r="D105" i="6"/>
  <c r="D96" i="6"/>
  <c r="C97" i="6"/>
  <c r="C98" i="6"/>
  <c r="C99" i="6"/>
  <c r="C100" i="6"/>
  <c r="C101" i="6"/>
  <c r="C102" i="6"/>
  <c r="C103" i="6"/>
  <c r="C104" i="6"/>
  <c r="C105" i="6"/>
  <c r="C96" i="6"/>
  <c r="I88" i="6"/>
  <c r="G88" i="6"/>
  <c r="H88" i="6"/>
  <c r="F88" i="6"/>
  <c r="I83" i="6"/>
  <c r="I84" i="6"/>
  <c r="I85" i="6"/>
  <c r="I86" i="6"/>
  <c r="I87" i="6"/>
  <c r="I82" i="6"/>
  <c r="H83" i="6"/>
  <c r="H84" i="6"/>
  <c r="H85" i="6"/>
  <c r="H86" i="6"/>
  <c r="H87" i="6"/>
  <c r="H82" i="6"/>
  <c r="G83" i="6"/>
  <c r="G84" i="6"/>
  <c r="G85" i="6"/>
  <c r="G86" i="6"/>
  <c r="G87" i="6"/>
  <c r="G82" i="6"/>
  <c r="F83" i="6"/>
  <c r="F84" i="6"/>
  <c r="F85" i="6"/>
  <c r="F86" i="6"/>
  <c r="F87" i="6"/>
  <c r="F82" i="6"/>
  <c r="B35" i="5"/>
  <c r="F23" i="5"/>
  <c r="F24" i="5"/>
  <c r="F25" i="5"/>
  <c r="F26" i="5"/>
  <c r="F27" i="5"/>
  <c r="F28" i="5"/>
  <c r="F22" i="5"/>
  <c r="E12" i="5"/>
  <c r="E13" i="5"/>
  <c r="E14" i="5"/>
  <c r="E15" i="5"/>
  <c r="D13" i="5"/>
  <c r="D14" i="5"/>
  <c r="D15" i="5"/>
  <c r="D12" i="5"/>
  <c r="C13" i="5"/>
  <c r="C14" i="5"/>
  <c r="C15" i="5"/>
  <c r="C12" i="5"/>
  <c r="B13" i="5"/>
  <c r="B14" i="5"/>
  <c r="B15" i="5"/>
  <c r="B12" i="5"/>
  <c r="F4" i="5"/>
  <c r="F5" i="5"/>
  <c r="F6" i="5"/>
  <c r="F3" i="5"/>
  <c r="G62" i="6"/>
  <c r="H61" i="6"/>
  <c r="I61" i="6" s="1"/>
  <c r="F61" i="6"/>
  <c r="D61" i="6"/>
  <c r="H60" i="6"/>
  <c r="I60" i="6" s="1"/>
  <c r="F60" i="6"/>
  <c r="D60" i="6"/>
  <c r="I59" i="6"/>
  <c r="H59" i="6"/>
  <c r="F59" i="6"/>
  <c r="D59" i="6"/>
  <c r="H58" i="6"/>
  <c r="I58" i="6" s="1"/>
  <c r="F58" i="6"/>
  <c r="D58" i="6"/>
  <c r="H57" i="6"/>
  <c r="I57" i="6" s="1"/>
  <c r="F57" i="6"/>
  <c r="D57" i="6"/>
  <c r="I56" i="6"/>
  <c r="H56" i="6"/>
  <c r="F56" i="6"/>
  <c r="D56" i="6"/>
  <c r="I55" i="6"/>
  <c r="H55" i="6"/>
  <c r="F55" i="6"/>
  <c r="D55" i="6"/>
  <c r="I54" i="6"/>
  <c r="H54" i="6"/>
  <c r="F54" i="6"/>
  <c r="D54" i="6"/>
  <c r="I53" i="6"/>
  <c r="H53" i="6"/>
  <c r="F53" i="6"/>
  <c r="D53" i="6"/>
  <c r="H52" i="6"/>
  <c r="H62" i="6" s="1"/>
  <c r="F52" i="6"/>
  <c r="F62" i="6" s="1"/>
  <c r="D52" i="6"/>
  <c r="F42" i="6"/>
  <c r="E42" i="6"/>
  <c r="D42" i="6"/>
  <c r="C42" i="6"/>
  <c r="F41" i="6"/>
  <c r="E41" i="6"/>
  <c r="D41" i="6"/>
  <c r="C41" i="6"/>
  <c r="F40" i="6"/>
  <c r="E40" i="6"/>
  <c r="D40" i="6"/>
  <c r="C40" i="6"/>
  <c r="F39" i="6"/>
  <c r="E39" i="6"/>
  <c r="D39" i="6"/>
  <c r="C39" i="6"/>
  <c r="F38" i="6"/>
  <c r="E38" i="6"/>
  <c r="D38" i="6"/>
  <c r="C38" i="6"/>
  <c r="F37" i="6"/>
  <c r="E37" i="6"/>
  <c r="D37" i="6"/>
  <c r="C37" i="6"/>
  <c r="F23" i="6"/>
  <c r="G23" i="6" s="1"/>
  <c r="E23" i="6"/>
  <c r="D23" i="6"/>
  <c r="C23" i="6"/>
  <c r="B23" i="6"/>
  <c r="F22" i="6"/>
  <c r="G22" i="6" s="1"/>
  <c r="E22" i="6"/>
  <c r="D22" i="6"/>
  <c r="C22" i="6"/>
  <c r="B22" i="6"/>
  <c r="F21" i="6"/>
  <c r="G21" i="6" s="1"/>
  <c r="E21" i="6"/>
  <c r="D21" i="6"/>
  <c r="C21" i="6"/>
  <c r="B21" i="6"/>
  <c r="F20" i="6"/>
  <c r="G20" i="6" s="1"/>
  <c r="E20" i="6"/>
  <c r="D20" i="6"/>
  <c r="C20" i="6"/>
  <c r="B20" i="6"/>
  <c r="F19" i="6"/>
  <c r="G19" i="6" s="1"/>
  <c r="E19" i="6"/>
  <c r="D19" i="6"/>
  <c r="C19" i="6"/>
  <c r="B19" i="6"/>
  <c r="F18" i="6"/>
  <c r="G18" i="6" s="1"/>
  <c r="E18" i="6"/>
  <c r="D18" i="6"/>
  <c r="C18" i="6"/>
  <c r="B18" i="6"/>
  <c r="F17" i="6"/>
  <c r="G17" i="6" s="1"/>
  <c r="E17" i="6"/>
  <c r="D17" i="6"/>
  <c r="C17" i="6"/>
  <c r="B17" i="6"/>
  <c r="F16" i="6"/>
  <c r="G16" i="6" s="1"/>
  <c r="E16" i="6"/>
  <c r="D16" i="6"/>
  <c r="C16" i="6"/>
  <c r="B16" i="6"/>
  <c r="E6" i="6"/>
  <c r="D6" i="6"/>
  <c r="C6" i="6"/>
  <c r="E5" i="6"/>
  <c r="D5" i="6"/>
  <c r="C5" i="6"/>
  <c r="E4" i="6"/>
  <c r="D4" i="6"/>
  <c r="C4" i="6"/>
  <c r="E3" i="6"/>
  <c r="D3" i="6"/>
  <c r="C3" i="6"/>
  <c r="E6" i="5"/>
  <c r="D6" i="5"/>
  <c r="C6" i="5"/>
  <c r="B6" i="5"/>
  <c r="E5" i="5"/>
  <c r="D5" i="5"/>
  <c r="C5" i="5"/>
  <c r="B5" i="5"/>
  <c r="E4" i="5"/>
  <c r="D4" i="5"/>
  <c r="C4" i="5"/>
  <c r="B4" i="5"/>
  <c r="E3" i="5"/>
  <c r="D3" i="5"/>
  <c r="C3" i="5"/>
  <c r="B3" i="5"/>
  <c r="C260" i="4"/>
  <c r="C259" i="4"/>
  <c r="C258" i="4"/>
  <c r="C257" i="4"/>
  <c r="E247" i="4"/>
  <c r="E246" i="4"/>
  <c r="E245" i="4"/>
  <c r="E244" i="4"/>
  <c r="E243" i="4"/>
  <c r="E242" i="4"/>
  <c r="E241" i="4"/>
  <c r="E240" i="4"/>
  <c r="E239" i="4"/>
  <c r="E238" i="4"/>
  <c r="G227" i="4"/>
  <c r="H227" i="4" s="1"/>
  <c r="I226" i="4"/>
  <c r="H226" i="4"/>
  <c r="G226" i="4"/>
  <c r="G225" i="4"/>
  <c r="I224" i="4"/>
  <c r="H224" i="4"/>
  <c r="G224" i="4"/>
  <c r="G223" i="4"/>
  <c r="H222" i="4"/>
  <c r="G222" i="4"/>
  <c r="I222" i="4" s="1"/>
  <c r="I221" i="4"/>
  <c r="H221" i="4"/>
  <c r="G221" i="4"/>
  <c r="G220" i="4"/>
  <c r="I219" i="4"/>
  <c r="H219" i="4"/>
  <c r="G219" i="4"/>
  <c r="G218" i="4"/>
  <c r="G217" i="4"/>
  <c r="H217" i="4" s="1"/>
  <c r="I217" i="4" s="1"/>
  <c r="H216" i="4"/>
  <c r="I216" i="4" s="1"/>
  <c r="G216" i="4"/>
  <c r="I215" i="4"/>
  <c r="H215" i="4"/>
  <c r="G215" i="4"/>
  <c r="G214" i="4"/>
  <c r="H213" i="4"/>
  <c r="I213" i="4" s="1"/>
  <c r="G213" i="4"/>
  <c r="G212" i="4"/>
  <c r="H211" i="4"/>
  <c r="I211" i="4" s="1"/>
  <c r="G211" i="4"/>
  <c r="G210" i="4"/>
  <c r="G209" i="4"/>
  <c r="I208" i="4"/>
  <c r="H208" i="4"/>
  <c r="G208" i="4"/>
  <c r="G185" i="4"/>
  <c r="G184" i="4"/>
  <c r="H184" i="4" s="1"/>
  <c r="F184" i="4"/>
  <c r="G183" i="4"/>
  <c r="H183" i="4" s="1"/>
  <c r="F183" i="4"/>
  <c r="H182" i="4"/>
  <c r="G182" i="4"/>
  <c r="F182" i="4"/>
  <c r="G181" i="4"/>
  <c r="H181" i="4" s="1"/>
  <c r="F181" i="4"/>
  <c r="G180" i="4"/>
  <c r="H180" i="4" s="1"/>
  <c r="F180" i="4"/>
  <c r="G179" i="4"/>
  <c r="H179" i="4" s="1"/>
  <c r="F179" i="4"/>
  <c r="H170" i="4"/>
  <c r="H169" i="4"/>
  <c r="H168" i="4"/>
  <c r="H165" i="4"/>
  <c r="G165" i="4"/>
  <c r="I165" i="4" s="1"/>
  <c r="I164" i="4"/>
  <c r="H164" i="4"/>
  <c r="G164" i="4"/>
  <c r="H163" i="4"/>
  <c r="I163" i="4" s="1"/>
  <c r="G163" i="4"/>
  <c r="H162" i="4"/>
  <c r="G162" i="4"/>
  <c r="I162" i="4" s="1"/>
  <c r="I161" i="4"/>
  <c r="I170" i="4" s="1"/>
  <c r="H161" i="4"/>
  <c r="G161" i="4"/>
  <c r="H160" i="4"/>
  <c r="G160" i="4"/>
  <c r="I160" i="4" s="1"/>
  <c r="A160" i="4"/>
  <c r="A161" i="4" s="1"/>
  <c r="A162" i="4" s="1"/>
  <c r="A163" i="4" s="1"/>
  <c r="A164" i="4" s="1"/>
  <c r="A165" i="4" s="1"/>
  <c r="I159" i="4"/>
  <c r="H159" i="4"/>
  <c r="G159" i="4"/>
  <c r="G143" i="4"/>
  <c r="F143" i="4"/>
  <c r="E143" i="4"/>
  <c r="G142" i="4"/>
  <c r="F142" i="4"/>
  <c r="E142" i="4"/>
  <c r="H141" i="4"/>
  <c r="G141" i="4"/>
  <c r="F141" i="4"/>
  <c r="E141" i="4"/>
  <c r="I140" i="4"/>
  <c r="J140" i="4" s="1"/>
  <c r="K140" i="4" s="1"/>
  <c r="H140" i="4"/>
  <c r="I139" i="4"/>
  <c r="J139" i="4" s="1"/>
  <c r="K139" i="4" s="1"/>
  <c r="H139" i="4"/>
  <c r="J138" i="4"/>
  <c r="K138" i="4" s="1"/>
  <c r="I138" i="4"/>
  <c r="H138" i="4"/>
  <c r="I137" i="4"/>
  <c r="J137" i="4" s="1"/>
  <c r="K137" i="4" s="1"/>
  <c r="H137" i="4"/>
  <c r="K136" i="4"/>
  <c r="J136" i="4"/>
  <c r="I136" i="4"/>
  <c r="H136" i="4"/>
  <c r="I135" i="4"/>
  <c r="J135" i="4" s="1"/>
  <c r="K135" i="4" s="1"/>
  <c r="H135" i="4"/>
  <c r="I134" i="4"/>
  <c r="J134" i="4" s="1"/>
  <c r="K134" i="4" s="1"/>
  <c r="H134" i="4"/>
  <c r="J133" i="4"/>
  <c r="K133" i="4" s="1"/>
  <c r="I133" i="4"/>
  <c r="I142" i="4" s="1"/>
  <c r="H133" i="4"/>
  <c r="I132" i="4"/>
  <c r="J132" i="4" s="1"/>
  <c r="H132" i="4"/>
  <c r="H143" i="4" s="1"/>
  <c r="K131" i="4"/>
  <c r="J131" i="4"/>
  <c r="I131" i="4"/>
  <c r="H131" i="4"/>
  <c r="L116" i="4"/>
  <c r="K115" i="4"/>
  <c r="I115" i="4"/>
  <c r="H115" i="4"/>
  <c r="J115" i="4" s="1"/>
  <c r="M115" i="4" s="1"/>
  <c r="K114" i="4"/>
  <c r="J114" i="4"/>
  <c r="M114" i="4" s="1"/>
  <c r="I114" i="4"/>
  <c r="H114" i="4"/>
  <c r="K113" i="4"/>
  <c r="M113" i="4" s="1"/>
  <c r="J113" i="4"/>
  <c r="I113" i="4"/>
  <c r="H113" i="4"/>
  <c r="K112" i="4"/>
  <c r="J112" i="4"/>
  <c r="I112" i="4"/>
  <c r="M112" i="4" s="1"/>
  <c r="H112" i="4"/>
  <c r="K111" i="4"/>
  <c r="I111" i="4"/>
  <c r="H111" i="4"/>
  <c r="J111" i="4" s="1"/>
  <c r="M111" i="4" s="1"/>
  <c r="K110" i="4"/>
  <c r="J110" i="4"/>
  <c r="M110" i="4" s="1"/>
  <c r="I110" i="4"/>
  <c r="H110" i="4"/>
  <c r="K109" i="4"/>
  <c r="M109" i="4" s="1"/>
  <c r="J109" i="4"/>
  <c r="I109" i="4"/>
  <c r="H109" i="4"/>
  <c r="K108" i="4"/>
  <c r="J108" i="4"/>
  <c r="I108" i="4"/>
  <c r="M108" i="4" s="1"/>
  <c r="H108" i="4"/>
  <c r="K107" i="4"/>
  <c r="I107" i="4"/>
  <c r="I116" i="4" s="1"/>
  <c r="H107" i="4"/>
  <c r="J107" i="4" s="1"/>
  <c r="M107" i="4" s="1"/>
  <c r="K106" i="4"/>
  <c r="J106" i="4"/>
  <c r="J116" i="4" s="1"/>
  <c r="I106" i="4"/>
  <c r="H106" i="4"/>
  <c r="K105" i="4"/>
  <c r="K116" i="4" s="1"/>
  <c r="J105" i="4"/>
  <c r="I105" i="4"/>
  <c r="H105" i="4"/>
  <c r="J84" i="4"/>
  <c r="I84" i="4"/>
  <c r="K84" i="4" s="1"/>
  <c r="H84" i="4"/>
  <c r="G84" i="4"/>
  <c r="J83" i="4"/>
  <c r="I83" i="4"/>
  <c r="H83" i="4"/>
  <c r="K83" i="4" s="1"/>
  <c r="G83" i="4"/>
  <c r="J82" i="4"/>
  <c r="I82" i="4"/>
  <c r="K82" i="4" s="1"/>
  <c r="H82" i="4"/>
  <c r="G82" i="4"/>
  <c r="J81" i="4"/>
  <c r="I81" i="4"/>
  <c r="K81" i="4" s="1"/>
  <c r="H81" i="4"/>
  <c r="G81" i="4"/>
  <c r="J80" i="4"/>
  <c r="I80" i="4"/>
  <c r="K80" i="4" s="1"/>
  <c r="H80" i="4"/>
  <c r="G80" i="4"/>
  <c r="J79" i="4"/>
  <c r="I79" i="4"/>
  <c r="H79" i="4"/>
  <c r="K79" i="4" s="1"/>
  <c r="G79" i="4"/>
  <c r="J78" i="4"/>
  <c r="J85" i="4" s="1"/>
  <c r="I78" i="4"/>
  <c r="K78" i="4" s="1"/>
  <c r="H78" i="4"/>
  <c r="G78" i="4"/>
  <c r="J77" i="4"/>
  <c r="I77" i="4"/>
  <c r="K77" i="4" s="1"/>
  <c r="H77" i="4"/>
  <c r="G77" i="4"/>
  <c r="J76" i="4"/>
  <c r="I76" i="4"/>
  <c r="K76" i="4" s="1"/>
  <c r="H76" i="4"/>
  <c r="G76" i="4"/>
  <c r="J75" i="4"/>
  <c r="I75" i="4"/>
  <c r="H75" i="4"/>
  <c r="H85" i="4" s="1"/>
  <c r="G75" i="4"/>
  <c r="J64" i="4"/>
  <c r="L64" i="4" s="1"/>
  <c r="L63" i="4"/>
  <c r="K63" i="4"/>
  <c r="J63" i="4"/>
  <c r="J62" i="4"/>
  <c r="L62" i="4" s="1"/>
  <c r="L61" i="4"/>
  <c r="J61" i="4"/>
  <c r="K61" i="4" s="1"/>
  <c r="L60" i="4"/>
  <c r="K60" i="4"/>
  <c r="J60" i="4"/>
  <c r="K59" i="4"/>
  <c r="J59" i="4"/>
  <c r="E44" i="4"/>
  <c r="D44" i="4"/>
  <c r="F44" i="4" s="1"/>
  <c r="E43" i="4"/>
  <c r="D43" i="4"/>
  <c r="G43" i="4" s="1"/>
  <c r="G42" i="4"/>
  <c r="E42" i="4"/>
  <c r="D42" i="4"/>
  <c r="F42" i="4" s="1"/>
  <c r="H42" i="4" s="1"/>
  <c r="F41" i="4"/>
  <c r="E41" i="4"/>
  <c r="D41" i="4"/>
  <c r="G41" i="4" s="1"/>
  <c r="E40" i="4"/>
  <c r="D40" i="4"/>
  <c r="F40" i="4" s="1"/>
  <c r="E39" i="4"/>
  <c r="D39" i="4"/>
  <c r="G39" i="4" s="1"/>
  <c r="G38" i="4"/>
  <c r="E38" i="4"/>
  <c r="D38" i="4"/>
  <c r="F38" i="4" s="1"/>
  <c r="H38" i="4" s="1"/>
  <c r="F37" i="4"/>
  <c r="E37" i="4"/>
  <c r="D37" i="4"/>
  <c r="G37" i="4" s="1"/>
  <c r="E36" i="4"/>
  <c r="D36" i="4"/>
  <c r="F36" i="4" s="1"/>
  <c r="E35" i="4"/>
  <c r="D35" i="4"/>
  <c r="G35" i="4" s="1"/>
  <c r="G34" i="4"/>
  <c r="E34" i="4"/>
  <c r="D34" i="4"/>
  <c r="F34" i="4" s="1"/>
  <c r="H34" i="4" s="1"/>
  <c r="F33" i="4"/>
  <c r="E33" i="4"/>
  <c r="D33" i="4"/>
  <c r="G33" i="4" s="1"/>
  <c r="E32" i="4"/>
  <c r="E47" i="4" s="1"/>
  <c r="D32" i="4"/>
  <c r="F32" i="4" s="1"/>
  <c r="F23" i="4"/>
  <c r="F22" i="4"/>
  <c r="F21" i="4"/>
  <c r="F20" i="4"/>
  <c r="F19" i="4"/>
  <c r="F18" i="4"/>
  <c r="H13" i="4"/>
  <c r="E13" i="4"/>
  <c r="D13" i="4"/>
  <c r="G13" i="4" s="1"/>
  <c r="E12" i="4"/>
  <c r="D12" i="4"/>
  <c r="H12" i="4" s="1"/>
  <c r="E11" i="4"/>
  <c r="D11" i="4"/>
  <c r="G11" i="4" s="1"/>
  <c r="E10" i="4"/>
  <c r="D10" i="4"/>
  <c r="H10" i="4" s="1"/>
  <c r="F6" i="4"/>
  <c r="E6" i="4"/>
  <c r="D6" i="4"/>
  <c r="C6" i="4"/>
  <c r="F5" i="4"/>
  <c r="E5" i="4"/>
  <c r="D5" i="4"/>
  <c r="C5" i="4"/>
  <c r="F4" i="4"/>
  <c r="E4" i="4"/>
  <c r="D4" i="4"/>
  <c r="C4" i="4"/>
  <c r="F3" i="4"/>
  <c r="E3" i="4"/>
  <c r="D3" i="4"/>
  <c r="C3" i="4"/>
  <c r="G215" i="3"/>
  <c r="F215" i="3"/>
  <c r="G214" i="3"/>
  <c r="F214" i="3"/>
  <c r="G213" i="3"/>
  <c r="F213" i="3"/>
  <c r="F191" i="3"/>
  <c r="E191" i="3"/>
  <c r="F190" i="3"/>
  <c r="E190" i="3"/>
  <c r="F189" i="3"/>
  <c r="E189" i="3"/>
  <c r="D172" i="3"/>
  <c r="D171" i="3"/>
  <c r="F170" i="3"/>
  <c r="E170" i="3"/>
  <c r="D170" i="3"/>
  <c r="D168" i="3"/>
  <c r="D148" i="3"/>
  <c r="C148" i="3"/>
  <c r="D147" i="3"/>
  <c r="C147" i="3"/>
  <c r="D146" i="3"/>
  <c r="C146" i="3"/>
  <c r="D145" i="3"/>
  <c r="C145" i="3"/>
  <c r="D144" i="3"/>
  <c r="C144" i="3"/>
  <c r="D143" i="3"/>
  <c r="C143" i="3"/>
  <c r="G133" i="3"/>
  <c r="G132" i="3"/>
  <c r="G131" i="3"/>
  <c r="G130" i="3"/>
  <c r="G129" i="3"/>
  <c r="G128" i="3"/>
  <c r="G137" i="3" s="1"/>
  <c r="G127" i="3"/>
  <c r="G126" i="3"/>
  <c r="G136" i="3" s="1"/>
  <c r="G125" i="3"/>
  <c r="G124" i="3"/>
  <c r="G135" i="3" s="1"/>
  <c r="G120" i="3"/>
  <c r="G119" i="3"/>
  <c r="G118" i="3"/>
  <c r="G117" i="3"/>
  <c r="G116" i="3"/>
  <c r="C101" i="3"/>
  <c r="C100" i="3"/>
  <c r="C99" i="3"/>
  <c r="C95" i="3"/>
  <c r="H82" i="3"/>
  <c r="H81" i="3"/>
  <c r="H80" i="3"/>
  <c r="H79" i="3"/>
  <c r="H78" i="3"/>
  <c r="H77" i="3"/>
  <c r="H76" i="3"/>
  <c r="H75" i="3"/>
  <c r="H74" i="3"/>
  <c r="H73" i="3"/>
  <c r="B60" i="3"/>
  <c r="B59" i="3"/>
  <c r="B58" i="3"/>
  <c r="B57" i="3"/>
  <c r="B56" i="3"/>
  <c r="J41" i="3"/>
  <c r="I41" i="3"/>
  <c r="K41" i="3" s="1"/>
  <c r="K40" i="3"/>
  <c r="J40" i="3"/>
  <c r="I40" i="3"/>
  <c r="J39" i="3"/>
  <c r="I39" i="3"/>
  <c r="J38" i="3"/>
  <c r="I38" i="3"/>
  <c r="K38" i="3" s="1"/>
  <c r="K37" i="3"/>
  <c r="J37" i="3"/>
  <c r="I37" i="3"/>
  <c r="J36" i="3"/>
  <c r="I36" i="3"/>
  <c r="K36" i="3" s="1"/>
  <c r="J35" i="3"/>
  <c r="I35" i="3"/>
  <c r="K35" i="3" s="1"/>
  <c r="J34" i="3"/>
  <c r="I34" i="3"/>
  <c r="K34" i="3" s="1"/>
  <c r="J33" i="3"/>
  <c r="I33" i="3"/>
  <c r="J32" i="3"/>
  <c r="I32" i="3"/>
  <c r="K32" i="3" s="1"/>
  <c r="D21" i="3"/>
  <c r="B21" i="3"/>
  <c r="B20" i="3"/>
  <c r="E18" i="3"/>
  <c r="G13" i="3"/>
  <c r="E13" i="3"/>
  <c r="D13" i="3"/>
  <c r="C13" i="3"/>
  <c r="G12" i="3"/>
  <c r="E12" i="3"/>
  <c r="D12" i="3"/>
  <c r="C12" i="3"/>
  <c r="G11" i="3"/>
  <c r="E11" i="3"/>
  <c r="D11" i="3"/>
  <c r="C11" i="3"/>
  <c r="G10" i="3"/>
  <c r="E10" i="3"/>
  <c r="D10" i="3"/>
  <c r="C10" i="3"/>
  <c r="E6" i="3"/>
  <c r="D6" i="3"/>
  <c r="C6" i="3"/>
  <c r="E5" i="3"/>
  <c r="D5" i="3"/>
  <c r="C5" i="3"/>
  <c r="E4" i="3"/>
  <c r="D4" i="3"/>
  <c r="C4" i="3"/>
  <c r="E3" i="3"/>
  <c r="D3" i="3"/>
  <c r="C3" i="3"/>
  <c r="H33" i="4" l="1"/>
  <c r="I168" i="4"/>
  <c r="I179" i="4"/>
  <c r="H185" i="4"/>
  <c r="I212" i="4"/>
  <c r="H40" i="4"/>
  <c r="I169" i="4"/>
  <c r="I180" i="4"/>
  <c r="J180" i="4" s="1"/>
  <c r="I220" i="4"/>
  <c r="H32" i="4"/>
  <c r="H41" i="4"/>
  <c r="J181" i="4"/>
  <c r="I181" i="4"/>
  <c r="J143" i="4"/>
  <c r="J142" i="4"/>
  <c r="K132" i="4"/>
  <c r="K141" i="4" s="1"/>
  <c r="J182" i="4"/>
  <c r="I183" i="4"/>
  <c r="J183" i="4" s="1"/>
  <c r="J141" i="4"/>
  <c r="H36" i="4"/>
  <c r="H37" i="4"/>
  <c r="K143" i="4"/>
  <c r="H44" i="4"/>
  <c r="I184" i="4"/>
  <c r="J184" i="4" s="1"/>
  <c r="D48" i="4"/>
  <c r="F11" i="4"/>
  <c r="E48" i="4"/>
  <c r="K64" i="4"/>
  <c r="M105" i="4"/>
  <c r="I141" i="4"/>
  <c r="H220" i="4"/>
  <c r="I52" i="6"/>
  <c r="I62" i="6" s="1"/>
  <c r="H11" i="4"/>
  <c r="G32" i="4"/>
  <c r="G36" i="4"/>
  <c r="G40" i="4"/>
  <c r="G44" i="4"/>
  <c r="H214" i="4"/>
  <c r="I214" i="4" s="1"/>
  <c r="I227" i="4"/>
  <c r="K39" i="3"/>
  <c r="D45" i="4"/>
  <c r="F12" i="4"/>
  <c r="E45" i="4"/>
  <c r="M106" i="4"/>
  <c r="G12" i="4"/>
  <c r="L59" i="4"/>
  <c r="K75" i="4"/>
  <c r="K85" i="4" s="1"/>
  <c r="H142" i="4"/>
  <c r="I182" i="4"/>
  <c r="H209" i="4"/>
  <c r="I209" i="4" s="1"/>
  <c r="K33" i="3"/>
  <c r="H223" i="4"/>
  <c r="I223" i="4" s="1"/>
  <c r="F13" i="4"/>
  <c r="E46" i="4"/>
  <c r="H210" i="4"/>
  <c r="I210" i="4" s="1"/>
  <c r="D46" i="4"/>
  <c r="I85" i="4"/>
  <c r="I143" i="4"/>
  <c r="D47" i="4"/>
  <c r="K62" i="4"/>
  <c r="H218" i="4"/>
  <c r="I218" i="4" s="1"/>
  <c r="F10" i="4"/>
  <c r="H225" i="4"/>
  <c r="I225" i="4" s="1"/>
  <c r="G10" i="4"/>
  <c r="F35" i="4"/>
  <c r="H35" i="4" s="1"/>
  <c r="F39" i="4"/>
  <c r="H39" i="4" s="1"/>
  <c r="F43" i="4"/>
  <c r="H43" i="4" s="1"/>
  <c r="H212" i="4"/>
  <c r="F46" i="4" l="1"/>
  <c r="H46" i="4"/>
  <c r="H47" i="4"/>
  <c r="H45" i="4"/>
  <c r="H48" i="4"/>
  <c r="G47" i="4"/>
  <c r="G46" i="4"/>
  <c r="G45" i="4"/>
  <c r="G48" i="4"/>
  <c r="I185" i="4"/>
  <c r="M116" i="4"/>
  <c r="J179" i="4"/>
  <c r="J185" i="4" s="1"/>
  <c r="F48" i="4"/>
  <c r="F45" i="4"/>
  <c r="F4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9" authorId="0" shapeId="0" xr:uid="{00000000-0006-0000-0300-000002000000}">
      <text>
        <r>
          <rPr>
            <sz val="12"/>
            <color rgb="FF000000"/>
            <rFont val="Times New Roman"/>
            <scheme val="minor"/>
          </rPr>
          <t>======
ID#AAAAr-vsPiM
Nguyen Huy Khanh    (2023-03-29 08:00:07)
he so 7</t>
        </r>
      </text>
    </comment>
    <comment ref="E59" authorId="0" shapeId="0" xr:uid="{00000000-0006-0000-0300-000005000000}">
      <text>
        <r>
          <rPr>
            <sz val="12"/>
            <color rgb="FF000000"/>
            <rFont val="Times New Roman"/>
            <scheme val="minor"/>
          </rPr>
          <t>======
ID#AAAAr-vsPiE
Nguyen Huy Khanh    (2023-03-29 08:00:07)
he so 5</t>
        </r>
      </text>
    </comment>
    <comment ref="F59" authorId="0" shapeId="0" xr:uid="{00000000-0006-0000-0300-000001000000}">
      <text>
        <r>
          <rPr>
            <sz val="12"/>
            <color rgb="FF000000"/>
            <rFont val="Times New Roman"/>
            <scheme val="minor"/>
          </rPr>
          <t>======
ID#AAAAr-vsPiI
Nguyen Huy Khanh    (2023-03-29 08:00:07)
he so 6</t>
        </r>
      </text>
    </comment>
    <comment ref="G59" authorId="0" shapeId="0" xr:uid="{00000000-0006-0000-0300-000003000000}">
      <text>
        <r>
          <rPr>
            <sz val="12"/>
            <color rgb="FF000000"/>
            <rFont val="Times New Roman"/>
            <scheme val="minor"/>
          </rPr>
          <t>======
ID#AAAAr-vsPiQ
Nguyen Huy Khanh    (2023-03-29 08:00:07)
he so 5</t>
        </r>
      </text>
    </comment>
    <comment ref="H59" authorId="0" shapeId="0" xr:uid="{00000000-0006-0000-0300-000004000000}">
      <text>
        <r>
          <rPr>
            <sz val="12"/>
            <color rgb="FF000000"/>
            <rFont val="Times New Roman"/>
            <scheme val="minor"/>
          </rPr>
          <t>======
ID#AAAAr-vsPiU
Nguyen Huy Khanh    (2023-03-29 08:00:07)
he so 7</t>
        </r>
      </text>
    </comment>
    <comment ref="I59" authorId="0" shapeId="0" xr:uid="{00000000-0006-0000-0300-000006000000}">
      <text>
        <r>
          <rPr>
            <sz val="12"/>
            <color rgb="FF000000"/>
            <rFont val="Times New Roman"/>
            <scheme val="minor"/>
          </rPr>
          <t>======
ID#AAAAr-vsPiA
Nguyen Huy Khanh    (2023-03-29 08:00:07)
he so 10</t>
        </r>
      </text>
    </comment>
  </commentList>
  <extLst>
    <ext xmlns:r="http://schemas.openxmlformats.org/officeDocument/2006/relationships" uri="GoogleSheetsCustomDataVersion1">
      <go:sheetsCustomData xmlns:go="http://customooxmlschemas.google.com/" r:id="rId1" roundtripDataSignature="AMtx7mjEDTLw7Kb9PSPes1xzB5Qks7Z+4w=="/>
    </ext>
  </extLst>
</comments>
</file>

<file path=xl/sharedStrings.xml><?xml version="1.0" encoding="utf-8"?>
<sst xmlns="http://schemas.openxmlformats.org/spreadsheetml/2006/main" count="1906" uniqueCount="1321">
  <si>
    <t>BÀI 1:</t>
  </si>
  <si>
    <t>GÕ VÀ ĐỊNH DẠNH THEO MẪU</t>
  </si>
  <si>
    <t>BÀI 2:</t>
  </si>
  <si>
    <t>S
T
T</t>
  </si>
  <si>
    <t>HỌ</t>
  </si>
  <si>
    <t>TÊN</t>
  </si>
  <si>
    <t>NGÀY VÀO CQ</t>
  </si>
  <si>
    <t>CHỨC
VỤ</t>
  </si>
  <si>
    <t>LƯƠNG
CĂN
BẢN</t>
  </si>
  <si>
    <t>NGÀY
CÔNG</t>
  </si>
  <si>
    <t>PHỤ
CẤP
CHỨC VỤ</t>
  </si>
  <si>
    <t>LƯƠNG</t>
  </si>
  <si>
    <t>TẠM
ỨNG</t>
  </si>
  <si>
    <t>CÒN
LẠI</t>
  </si>
  <si>
    <t>Trần Thị</t>
  </si>
  <si>
    <t>Yến</t>
  </si>
  <si>
    <t>NV</t>
  </si>
  <si>
    <t>Nguyễn</t>
  </si>
  <si>
    <t>Thành</t>
  </si>
  <si>
    <t>BV</t>
  </si>
  <si>
    <t>Đoàn</t>
  </si>
  <si>
    <t>An</t>
  </si>
  <si>
    <t>TP</t>
  </si>
  <si>
    <t>Lê</t>
  </si>
  <si>
    <t>Thanh</t>
  </si>
  <si>
    <t>GĐ</t>
  </si>
  <si>
    <t>Hồ</t>
  </si>
  <si>
    <t>Kim</t>
  </si>
  <si>
    <t>PGĐ</t>
  </si>
  <si>
    <t>Trần</t>
  </si>
  <si>
    <t>Thế</t>
  </si>
  <si>
    <t>Nguyễn Văn</t>
  </si>
  <si>
    <t>Sơn</t>
  </si>
  <si>
    <t>KT</t>
  </si>
  <si>
    <t>Nam</t>
  </si>
  <si>
    <t>Hồ Tấn</t>
  </si>
  <si>
    <t>Tài</t>
  </si>
  <si>
    <t>TỔNG CỘNG:</t>
  </si>
  <si>
    <t>TRUNG BÌNH:</t>
  </si>
  <si>
    <t>CAO NHẤT:</t>
  </si>
  <si>
    <t>THẤP NHẤT:</t>
  </si>
  <si>
    <t>định dạng số cho dòng trung bình có dấu phân cách hàng ngàn (dấu phẩy hoặc chấm), có 2 số lẻ</t>
  </si>
  <si>
    <t>định dạng tiền tệ $ cho cột lương căn bản có đau phân cách hàng ngàn</t>
  </si>
  <si>
    <t>định dạng ngày vào cơ quan theo dạng thứ, tháng ngày, năm</t>
  </si>
  <si>
    <t>định dạng các cột phụ cấp, lương, tạm ứng, còn lại theo dịnh dạng VND ở cuối số và có dấu phân cách hàng ngàn</t>
  </si>
  <si>
    <t>BẢNG CỬU CHƯƠNG</t>
  </si>
  <si>
    <t xml:space="preserve">Tại ô B1 hãy lập công thức sao cho khi sao chép sang những ô lân cận </t>
  </si>
  <si>
    <t>(chép ngang tới cột I, chép xuông tới dòng số 10 sẽ tạo thành bảng cửu chương từ 1-9)</t>
  </si>
  <si>
    <t>CÁC PHÉP TOÁN SỐ HỌC</t>
  </si>
  <si>
    <t>x</t>
  </si>
  <si>
    <t>y</t>
  </si>
  <si>
    <t>(x+y)2</t>
  </si>
  <si>
    <t>x2+y2+2xy</t>
  </si>
  <si>
    <t>3xy</t>
  </si>
  <si>
    <t>CÁC HÀM TOÁN HỌC - MATH FUNCTIONS</t>
  </si>
  <si>
    <t>Mod(x,y)</t>
  </si>
  <si>
    <t>Int(x/y)</t>
  </si>
  <si>
    <t>Round(x/y,2)</t>
  </si>
  <si>
    <t>Product(x,y)</t>
  </si>
  <si>
    <t>NewWorld Hotel</t>
  </si>
  <si>
    <t>TỈ GIÁ USD</t>
  </si>
  <si>
    <t>Phiếu Thanh Toán</t>
  </si>
  <si>
    <t>Quí khách</t>
  </si>
  <si>
    <t>Ngày đến</t>
  </si>
  <si>
    <t>Ngày đi</t>
  </si>
  <si>
    <t>Giá/ngày(USD)</t>
  </si>
  <si>
    <t>Thành tiền (VND)</t>
  </si>
  <si>
    <t>Vương Hoàng Em</t>
  </si>
  <si>
    <t>1. Tổng số ngày:</t>
  </si>
  <si>
    <t>2. Số Tuần:</t>
  </si>
  <si>
    <t>và</t>
  </si>
  <si>
    <t>Câu hỏi:</t>
  </si>
  <si>
    <t>1. Tính tổng số ngày</t>
  </si>
  <si>
    <t>2. Tính số tuần</t>
  </si>
  <si>
    <t>3. Tính tổng số tiền phải trả</t>
  </si>
  <si>
    <t>4. định dạng giá/ngày co $ phía trước, tỉ giá và thành tiền có VND ở sau</t>
  </si>
  <si>
    <t>DANH SÁCH THÍ SINH</t>
  </si>
  <si>
    <t>STT</t>
  </si>
  <si>
    <t>MÃ SỐ</t>
  </si>
  <si>
    <t>HỌ VÀ LÓT</t>
  </si>
  <si>
    <t>NĂM SINH</t>
  </si>
  <si>
    <t>LT</t>
  </si>
  <si>
    <t>TH</t>
  </si>
  <si>
    <t>ĐTB1</t>
  </si>
  <si>
    <t>ĐTB2</t>
  </si>
  <si>
    <t>XẾP HẠNG</t>
  </si>
  <si>
    <t>TI201801</t>
  </si>
  <si>
    <t>Huỳnh Thị Thùy</t>
  </si>
  <si>
    <t>Dương</t>
  </si>
  <si>
    <t>DI201802</t>
  </si>
  <si>
    <t>Nguyễn Ái</t>
  </si>
  <si>
    <t>Đức</t>
  </si>
  <si>
    <t>DI201803</t>
  </si>
  <si>
    <t>Lê Thị Hoàng</t>
  </si>
  <si>
    <t>Lan</t>
  </si>
  <si>
    <t>NA201804</t>
  </si>
  <si>
    <t>Võ Cao Yến</t>
  </si>
  <si>
    <t>NA201805</t>
  </si>
  <si>
    <t>Nguyễn Vũ Quang</t>
  </si>
  <si>
    <t>Long</t>
  </si>
  <si>
    <t>DI201806</t>
  </si>
  <si>
    <t>Nguyễn Thị Phương</t>
  </si>
  <si>
    <t>TI201807</t>
  </si>
  <si>
    <t>Nguyễn Thị Hoàng</t>
  </si>
  <si>
    <t>Tiên</t>
  </si>
  <si>
    <t>DI201808</t>
  </si>
  <si>
    <t>Đặng Thanh</t>
  </si>
  <si>
    <t>NA201809</t>
  </si>
  <si>
    <t>Nguyễn Trần Xuân</t>
  </si>
  <si>
    <t>TI201810</t>
  </si>
  <si>
    <t>Phùng Chí</t>
  </si>
  <si>
    <t>Cường</t>
  </si>
  <si>
    <t>1. Tính ĐTB1 với TH hệ số 3, LT hệ số 1, làm tròn 1 số lẻ</t>
  </si>
  <si>
    <t>2. Tính ĐTB2 với TH hệ số 3, LT hệ số 1, làm tròn đến 0.5</t>
  </si>
  <si>
    <t>3. Xếp hạng theo ĐTB1 với cách xếp cao nhất hạng nhất</t>
  </si>
  <si>
    <t>4. Chèn thêm cột năm sinh sau cột năm sinh hiện tại và dùng công thức chuyển năm sinh sang dạng số</t>
  </si>
  <si>
    <t>Phiếu báo điểm</t>
  </si>
  <si>
    <t>Họ và tên:</t>
  </si>
  <si>
    <t>Trần phương Bình</t>
  </si>
  <si>
    <t>Lớp:</t>
  </si>
  <si>
    <t>12D1</t>
  </si>
  <si>
    <t>Môn</t>
  </si>
  <si>
    <t>Văn</t>
  </si>
  <si>
    <t>Toán</t>
  </si>
  <si>
    <t>Lý</t>
  </si>
  <si>
    <t>Hoá</t>
  </si>
  <si>
    <t>Sinh</t>
  </si>
  <si>
    <t>Sử</t>
  </si>
  <si>
    <t>Địa</t>
  </si>
  <si>
    <t>Nngữ</t>
  </si>
  <si>
    <t>Tdục</t>
  </si>
  <si>
    <t>Điểm</t>
  </si>
  <si>
    <t>Điểm Trung Bình:</t>
  </si>
  <si>
    <t>Điểm cao nhất:</t>
  </si>
  <si>
    <t>Điểm thấp nhất:</t>
  </si>
  <si>
    <t>Tổng số môn học:</t>
  </si>
  <si>
    <t>Tổng số điểm:</t>
  </si>
  <si>
    <t>CÁC HÀM THỐNG KÊ (Statistical functions)</t>
  </si>
  <si>
    <t>d</t>
  </si>
  <si>
    <t>b</t>
  </si>
  <si>
    <t>study</t>
  </si>
  <si>
    <t>compare</t>
  </si>
  <si>
    <t>computer</t>
  </si>
  <si>
    <t>some</t>
  </si>
  <si>
    <t>command</t>
  </si>
  <si>
    <t>Learn</t>
  </si>
  <si>
    <t xml:space="preserve">Giá trị lớn nhất </t>
  </si>
  <si>
    <t xml:space="preserve">Giá trị nhỏ nhất </t>
  </si>
  <si>
    <t xml:space="preserve">Giá trị trung bình </t>
  </si>
  <si>
    <t xml:space="preserve">Tổng các giá trị </t>
  </si>
  <si>
    <t xml:space="preserve">Số ô chứa giá trị </t>
  </si>
  <si>
    <t>Số ô trống</t>
  </si>
  <si>
    <t xml:space="preserve">Số ô chứa giá trị chuỗi  </t>
  </si>
  <si>
    <t>Số ô chứa giá trị &gt;50</t>
  </si>
  <si>
    <t>Số ô bắt đầu bằng chữ "com"</t>
  </si>
  <si>
    <t>Tính tổng các ô có giá trị &gt;=50</t>
  </si>
  <si>
    <t>Dùng các hàm luận lý để điền vào các ô trống ?</t>
  </si>
  <si>
    <t>KẾT QUẢ THI TUYỂN</t>
  </si>
  <si>
    <t>Họ Tên</t>
  </si>
  <si>
    <t>Giới tính</t>
  </si>
  <si>
    <t>Trần Văn Nguyên</t>
  </si>
  <si>
    <t>Nguyễn Thị Lê</t>
  </si>
  <si>
    <t>Nữ</t>
  </si>
  <si>
    <t>Trượt</t>
  </si>
  <si>
    <t>Trần Hà My</t>
  </si>
  <si>
    <t>Lê Bá Hoàng</t>
  </si>
  <si>
    <t>Dương Quỳnh Như</t>
  </si>
  <si>
    <t>Trần Mai Phong</t>
  </si>
  <si>
    <t>Lê Thế Anh</t>
  </si>
  <si>
    <t>Số học sinh đậu</t>
  </si>
  <si>
    <t xml:space="preserve">.  </t>
  </si>
  <si>
    <t>Câu hỏi</t>
  </si>
  <si>
    <t>1.Tìm số học sinh thi đậu trong danh sách trên</t>
  </si>
  <si>
    <t>2. Tìm số ô trống trong bảng</t>
  </si>
  <si>
    <t>3. Tìm số ô chứa dữ liệu trong bảng</t>
  </si>
  <si>
    <t>4. Tìm số học sinh Nam trong bảng</t>
  </si>
  <si>
    <t>QUẢN LÝ NHÂN VIÊN</t>
  </si>
  <si>
    <t>Số
Thứ Tự</t>
  </si>
  <si>
    <t>Mã
Nhân Viên</t>
  </si>
  <si>
    <t>Họ Tên
Nhân Viên</t>
  </si>
  <si>
    <t>A01</t>
  </si>
  <si>
    <t>B01</t>
  </si>
  <si>
    <t>A02</t>
  </si>
  <si>
    <t>C02</t>
  </si>
  <si>
    <t>Lê Hữu Hoàng</t>
  </si>
  <si>
    <t>A03</t>
  </si>
  <si>
    <t>Nguyễn Thúy Thanh</t>
  </si>
  <si>
    <t>B02</t>
  </si>
  <si>
    <t>Lê Thúy Hạnh</t>
  </si>
  <si>
    <t>C01</t>
  </si>
  <si>
    <t>Trần Thái Tùng</t>
  </si>
  <si>
    <t>B03</t>
  </si>
  <si>
    <t>Nguyễn Thị Liên</t>
  </si>
  <si>
    <t>A04</t>
  </si>
  <si>
    <t>Lê Thanh Trâm</t>
  </si>
  <si>
    <t>B06</t>
  </si>
  <si>
    <t>Trần Ngọc Tuấn</t>
  </si>
  <si>
    <t>Số nhân viên Nam</t>
  </si>
  <si>
    <t>Số nhân viên Nữ</t>
  </si>
  <si>
    <t>Số nhân viên họ Trần</t>
  </si>
  <si>
    <t>Số nhân viên có chữ lót là Thị</t>
  </si>
  <si>
    <t>Số nhân viên có số cuối cùng của mã nhân viên là 1</t>
  </si>
  <si>
    <t>BẢNG THANH TOÁN LƯƠNG THÁNG 01-2015</t>
  </si>
  <si>
    <t>Phòng
Ban</t>
  </si>
  <si>
    <t>Lương
Cơ Bản</t>
  </si>
  <si>
    <t>Thực 
Lãnh</t>
  </si>
  <si>
    <t>Trần Thế Anh</t>
  </si>
  <si>
    <t>Kinh doanh</t>
  </si>
  <si>
    <t>Lê Thị Thủy</t>
  </si>
  <si>
    <t>Kỹ thuật</t>
  </si>
  <si>
    <t>Trần Thu Hà</t>
  </si>
  <si>
    <t>Kế toán</t>
  </si>
  <si>
    <t>Trương Công Hà</t>
  </si>
  <si>
    <t>Lê Mai Chi</t>
  </si>
  <si>
    <t>Vũ Ngọc Tường</t>
  </si>
  <si>
    <t>Lê Thanh Tùng</t>
  </si>
  <si>
    <t>Tổng lương Kinh doanh</t>
  </si>
  <si>
    <t>Tổng lương kế toán</t>
  </si>
  <si>
    <t>Tổng lương kỹ thuật</t>
  </si>
  <si>
    <t>Câu 1 Tính thực lãnh theo lương cơ bản*5,25; làm tròn đến chữ số hàng nghìn</t>
  </si>
  <si>
    <t>Câu 2: Tính lương của từng phòng Kinh doanh, Kỹ Thuật, Kế toán</t>
  </si>
  <si>
    <t>Bảng dữ liệu</t>
  </si>
  <si>
    <t>thứ hạng 1</t>
  </si>
  <si>
    <t>thứ hạng 2</t>
  </si>
  <si>
    <t>Sắp hạng cho thứ hạng 1 theo cách số lớn nhất hạng nhất</t>
  </si>
  <si>
    <t>Sắp hạng cho thứ hạng 2 theo cách số lớn nhất hạng chót</t>
  </si>
  <si>
    <t>KẾT QUẢ TUYỂN SINH</t>
  </si>
  <si>
    <t>Mã số</t>
  </si>
  <si>
    <t>Họ tên</t>
  </si>
  <si>
    <t>Ngành</t>
  </si>
  <si>
    <t>Tổng điểm</t>
  </si>
  <si>
    <t>Kết quả</t>
  </si>
  <si>
    <t>Học bổng</t>
  </si>
  <si>
    <t>A1VS001</t>
  </si>
  <si>
    <t>Huy Phong</t>
  </si>
  <si>
    <t>LÝ</t>
  </si>
  <si>
    <t>Rot</t>
  </si>
  <si>
    <t/>
  </si>
  <si>
    <t>B2VS102</t>
  </si>
  <si>
    <t>Hoàng Nhã</t>
  </si>
  <si>
    <t>SINH</t>
  </si>
  <si>
    <t>Dau</t>
  </si>
  <si>
    <t>Khong</t>
  </si>
  <si>
    <t>C3MN111</t>
  </si>
  <si>
    <t>Thanh Thế</t>
  </si>
  <si>
    <t>SỬ</t>
  </si>
  <si>
    <t>Co</t>
  </si>
  <si>
    <t>B2007</t>
  </si>
  <si>
    <t>Ngọc Lam</t>
  </si>
  <si>
    <t>A1VX102</t>
  </si>
  <si>
    <t>Kim Chi</t>
  </si>
  <si>
    <t>B1205</t>
  </si>
  <si>
    <t>Phong Lan</t>
  </si>
  <si>
    <t>A3VX3801</t>
  </si>
  <si>
    <t>Hoàng Hà</t>
  </si>
  <si>
    <t>C2109</t>
  </si>
  <si>
    <t>Thành Tứ</t>
  </si>
  <si>
    <t>A2VS002</t>
  </si>
  <si>
    <t>Huy Trần</t>
  </si>
  <si>
    <t>C1901</t>
  </si>
  <si>
    <t>Thế Khanh</t>
  </si>
  <si>
    <t>THỐNG KÊ KẾT QUẢ TUYỂN SINH</t>
  </si>
  <si>
    <t>Tổng số thí sinh dự thi:</t>
  </si>
  <si>
    <t>Tổng điểm theo từng ngành:</t>
  </si>
  <si>
    <t>Tổng số thi sinh không đạt:</t>
  </si>
  <si>
    <t>Số thí sinh được nhận học bổng</t>
  </si>
  <si>
    <t>CÔNG TY XUẤT NHẬP KHẨU Ô TÔ AZ</t>
  </si>
  <si>
    <t>Mã hàng</t>
  </si>
  <si>
    <t>Tên xe</t>
  </si>
  <si>
    <t>Nước lắp ráp</t>
  </si>
  <si>
    <t>Giá xuất xưởng</t>
  </si>
  <si>
    <t>Thuế</t>
  </si>
  <si>
    <t>Giá thành</t>
  </si>
  <si>
    <t>FOESVN</t>
  </si>
  <si>
    <t>FORD ESCAPE</t>
  </si>
  <si>
    <t>VIET NAM</t>
  </si>
  <si>
    <t>FOLAVN</t>
  </si>
  <si>
    <t>FORD LASER</t>
  </si>
  <si>
    <t>FOLANB</t>
  </si>
  <si>
    <t>NHAT BAN</t>
  </si>
  <si>
    <t>MIJOVN</t>
  </si>
  <si>
    <t>MITSUBISHI JOLIE</t>
  </si>
  <si>
    <t>MIJONB</t>
  </si>
  <si>
    <t>MIPAVN</t>
  </si>
  <si>
    <t>MITSUBISHI PAJERO</t>
  </si>
  <si>
    <t>TOCAVN</t>
  </si>
  <si>
    <t>TOYOTA CAMRY</t>
  </si>
  <si>
    <t>TOCONB</t>
  </si>
  <si>
    <t>TOYOTA COROLLA</t>
  </si>
  <si>
    <t>TOZAVN</t>
  </si>
  <si>
    <t>TOYOTA ZACE</t>
  </si>
  <si>
    <t>BẢNG THỐNG KÊ</t>
  </si>
  <si>
    <t>Nhãn hiệu</t>
  </si>
  <si>
    <t>Số lượng</t>
  </si>
  <si>
    <t>TOYOTA</t>
  </si>
  <si>
    <t>FORD</t>
  </si>
  <si>
    <t>MITSUBISHI</t>
  </si>
  <si>
    <t xml:space="preserve">BẢNG THANH TOÁN TIỀN VƯỢT GIỜ </t>
  </si>
  <si>
    <t>Mã ngạch</t>
  </si>
  <si>
    <t xml:space="preserve">Số tiết 
chuẩn </t>
  </si>
  <si>
    <t>Số tiết 
dạy</t>
  </si>
  <si>
    <t>Số tiết 
K. nhiệm</t>
  </si>
  <si>
    <t>T. cộng
số tiết</t>
  </si>
  <si>
    <t>Số tiết
vượt</t>
  </si>
  <si>
    <t>Thành tiền</t>
  </si>
  <si>
    <t xml:space="preserve">Lê Hiếu  Nghĩa </t>
  </si>
  <si>
    <t>Mai văn sang</t>
  </si>
  <si>
    <t>Hồ Cảnh Toàn</t>
  </si>
  <si>
    <t xml:space="preserve">Đặng Hoài Sơn </t>
  </si>
  <si>
    <t>Nguyễn Thị Văn</t>
  </si>
  <si>
    <t>Hồ Ngọc  Ngạn</t>
  </si>
  <si>
    <t xml:space="preserve">Trần Giang Sơn </t>
  </si>
  <si>
    <t>Hồ Ngọc Mến</t>
  </si>
  <si>
    <t>Lý Tam Thanh</t>
  </si>
  <si>
    <t xml:space="preserve">Lê Ngọc Thi </t>
  </si>
  <si>
    <t>Nguyễn Thị Nga</t>
  </si>
  <si>
    <t>Nguyễn Ngọc Lễ</t>
  </si>
  <si>
    <t>Mã
ngạch</t>
  </si>
  <si>
    <t>Số người
vượt tiết</t>
  </si>
  <si>
    <t>Số tiền vượt</t>
  </si>
  <si>
    <t>CÁC PHÉP TOÁN LUẬN LÝ</t>
  </si>
  <si>
    <t>a</t>
  </si>
  <si>
    <t>a&gt;b</t>
  </si>
  <si>
    <t>a&lt;b</t>
  </si>
  <si>
    <t>a&gt;=b</t>
  </si>
  <si>
    <t>a&lt;=b</t>
  </si>
  <si>
    <t>CÁC HÀM LUẬN LÝ - LOGICAL FUNCTIONS</t>
  </si>
  <si>
    <t>c</t>
  </si>
  <si>
    <t>m=a&gt;b</t>
  </si>
  <si>
    <t>n=b&gt;c</t>
  </si>
  <si>
    <t>And(m,n)</t>
  </si>
  <si>
    <t>Or(m,n)</t>
  </si>
  <si>
    <t>And(m,Or(m,n))</t>
  </si>
  <si>
    <t>Điểm thi cuối khóa lớp tin học A</t>
  </si>
  <si>
    <t>Họ và tên</t>
  </si>
  <si>
    <t>Ghi chú</t>
  </si>
  <si>
    <t>Căn bản</t>
  </si>
  <si>
    <t>Windows</t>
  </si>
  <si>
    <t>Word</t>
  </si>
  <si>
    <t>Excel</t>
  </si>
  <si>
    <t>Ngô Thị ánh</t>
  </si>
  <si>
    <t>Nguyễn Văn Toàn</t>
  </si>
  <si>
    <t>Đỗ Thị Thu Nga</t>
  </si>
  <si>
    <t>Hoàng Thị Thu Hằng</t>
  </si>
  <si>
    <t>Phạm Thu Hương</t>
  </si>
  <si>
    <t>Đinh Quốc Khánh</t>
  </si>
  <si>
    <t>Tiêu chuẩn đạt: Có điểm trung bình từ 5 trở lên và điểm môn Căn bản không được dưới 5.</t>
  </si>
  <si>
    <t>Điền chữ "Đỗ" vào cột ghi chú nếu đủ tiêu chuẩn, ngược lại điền chữ "Hỏng".</t>
  </si>
  <si>
    <t>bảng lương nhân viên</t>
  </si>
  <si>
    <t>Ngày công chuẩn:</t>
  </si>
  <si>
    <t>Lương chuẩn:</t>
  </si>
  <si>
    <t>Ngày công</t>
  </si>
  <si>
    <t>Lương</t>
  </si>
  <si>
    <t>Phụ cấp</t>
  </si>
  <si>
    <t>Tổng lương</t>
  </si>
  <si>
    <t>Tạm ứng</t>
  </si>
  <si>
    <t>Còn lại</t>
  </si>
  <si>
    <t>Lê Văn Minh</t>
  </si>
  <si>
    <t>Nguyễn Thị Vân</t>
  </si>
  <si>
    <t>Phạm Thế Bảo</t>
  </si>
  <si>
    <t>Trần Ngọc Hương</t>
  </si>
  <si>
    <t>Cao Thị Thanh</t>
  </si>
  <si>
    <t>Đinh Sỹ Kỳ</t>
  </si>
  <si>
    <t>Quách Văn Sỹ</t>
  </si>
  <si>
    <t>Thái Thị Ngọc</t>
  </si>
  <si>
    <t>Vương Ngọc Khôi</t>
  </si>
  <si>
    <t>Nguyễn Mai Lan</t>
  </si>
  <si>
    <t>Phạm Ngọc Hân</t>
  </si>
  <si>
    <t>Lê Văn Quang</t>
  </si>
  <si>
    <t>Nguyễn Hải Hà</t>
  </si>
  <si>
    <t>Tổng cộng</t>
  </si>
  <si>
    <t>bình quân</t>
  </si>
  <si>
    <t>Cao nhất</t>
  </si>
  <si>
    <t>Thấp nhất</t>
  </si>
  <si>
    <t>1. Lương = Lương chuẩn/Ngày công chuẩn x Ngày công.</t>
  </si>
  <si>
    <t>2. Phụ cấp là 200000 nếu ngày công &gt;=26, là 100000 nếu ngày công &lt;26.</t>
  </si>
  <si>
    <t>3. Tổng lương = Lương + Phụ cấp.</t>
  </si>
  <si>
    <t>4. Tạm ứng = 80% Lương nếu ngày công&gt;=26, là 60% Lương nếu ngày công&lt;26.</t>
  </si>
  <si>
    <t>5. Còn lại = Tổng lương - Tạm ứng.</t>
  </si>
  <si>
    <t>6. Tính các giá trị từ vị trí D45:H48.</t>
  </si>
  <si>
    <t>bảng xếp hạng</t>
  </si>
  <si>
    <t>Họ và Tên</t>
  </si>
  <si>
    <t>Anh</t>
  </si>
  <si>
    <t>ĐTB</t>
  </si>
  <si>
    <t>Loại</t>
  </si>
  <si>
    <t>Xếp hạng</t>
  </si>
  <si>
    <t>Ngô Quốc</t>
  </si>
  <si>
    <t>Việt</t>
  </si>
  <si>
    <t>Ngô Thuý</t>
  </si>
  <si>
    <t>Hằng</t>
  </si>
  <si>
    <t xml:space="preserve">Võ Quốc </t>
  </si>
  <si>
    <t>Dũng</t>
  </si>
  <si>
    <t>Hoàng Kim</t>
  </si>
  <si>
    <t>Nguyễn Dung</t>
  </si>
  <si>
    <t>Trang</t>
  </si>
  <si>
    <t>Đặng Đức</t>
  </si>
  <si>
    <t>1. Tính ĐTB biết Toán hệ số 7, Lý 5, Hoá 6, Sinh 5, Văn 7, Anh 10.</t>
  </si>
  <si>
    <t>2. Cột Loại:</t>
  </si>
  <si>
    <t>_Nếu ĐTB&lt;5: Kém.</t>
  </si>
  <si>
    <t>_Nếu ĐTB&gt;=5 và ĐTB&lt;7: Trung bình.</t>
  </si>
  <si>
    <t>_Nếu ĐTB&gt;=7 và ĐTB&lt;9: Khá.</t>
  </si>
  <si>
    <t>_Nếu ĐTB&gt;=9 và ĐTB&lt;=10: Xuất sắc.</t>
  </si>
  <si>
    <t>3. Xếp hạng căn cứ vào ĐTB.</t>
  </si>
  <si>
    <t>bảng tính tiền lương + thưởng</t>
  </si>
  <si>
    <t>TT</t>
  </si>
  <si>
    <t>phái</t>
  </si>
  <si>
    <t>số con</t>
  </si>
  <si>
    <t>Hệ số</t>
  </si>
  <si>
    <t>Ngày lv</t>
  </si>
  <si>
    <t>loại</t>
  </si>
  <si>
    <t>thưởng</t>
  </si>
  <si>
    <t>pcấp con</t>
  </si>
  <si>
    <t>Tiền lĩnh</t>
  </si>
  <si>
    <t>Nguyễn Chí Khiết</t>
  </si>
  <si>
    <t>Phan Cao Đăng</t>
  </si>
  <si>
    <t>Nguyễn Quế Trà My</t>
  </si>
  <si>
    <t>Trần Hồng Loan</t>
  </si>
  <si>
    <t>Bùi Hồng Hạnh</t>
  </si>
  <si>
    <t>Lê Thanh Dũng</t>
  </si>
  <si>
    <t>Lâm Thuý Hồng</t>
  </si>
  <si>
    <t>Nguyễn Thu Hoài</t>
  </si>
  <si>
    <t>Lê Thành Nhân</t>
  </si>
  <si>
    <t>tổng cộng</t>
  </si>
  <si>
    <t>Biết rằng: Phái: 0 là Nữ, 1 là Nam.</t>
  </si>
  <si>
    <t>1. Cột Loại:</t>
  </si>
  <si>
    <t>_Nếu Ngày LV&gt;=25, xếp loại A.</t>
  </si>
  <si>
    <t>_Nếu Ngày LV&gt;=22 và &lt;=24, xếp loại B.</t>
  </si>
  <si>
    <t>_Nếu Ngày LV&lt;22, xếp loại C.</t>
  </si>
  <si>
    <t>2. Cột Lương = 830.000 x Hệ số.</t>
  </si>
  <si>
    <t>3. Cột Thưởng:</t>
  </si>
  <si>
    <t>_Nếu Loại A thưởng 150000.</t>
  </si>
  <si>
    <t>_Nếu Loại B không được thưởng.</t>
  </si>
  <si>
    <t>_Nếu Loại C phạt 50000.</t>
  </si>
  <si>
    <t>4. Cột Pcấp con:</t>
  </si>
  <si>
    <t>_Nếu là Phái Nữ và có từ 2 con trở lên: 100000.</t>
  </si>
  <si>
    <t>_Nếu là Phái Nữ và có 1 con: 200000.</t>
  </si>
  <si>
    <t>5. Cột Tiền lĩnh = Lương + Thưởng + Pcấp con.</t>
  </si>
  <si>
    <t>6. Tính Tổng cộng.</t>
  </si>
  <si>
    <t>bảng tính lương</t>
  </si>
  <si>
    <t>BLG:</t>
  </si>
  <si>
    <t>Phái</t>
  </si>
  <si>
    <t>Gcảnh</t>
  </si>
  <si>
    <t>hstl</t>
  </si>
  <si>
    <t>NCông</t>
  </si>
  <si>
    <t>Giờ công</t>
  </si>
  <si>
    <t>lcb</t>
  </si>
  <si>
    <t>Thưởng</t>
  </si>
  <si>
    <t>PCGC</t>
  </si>
  <si>
    <t>Còn lĩnh</t>
  </si>
  <si>
    <t>Nguyễn Văn Hà</t>
  </si>
  <si>
    <t>Trần Thu Hương</t>
  </si>
  <si>
    <t>Ngô Văn Hùng</t>
  </si>
  <si>
    <t>Lê Thu Hằng</t>
  </si>
  <si>
    <t>Trần Viết Hưng</t>
  </si>
  <si>
    <t>Vũ Thị Thu Hoài</t>
  </si>
  <si>
    <t>Đặng Thu Trang</t>
  </si>
  <si>
    <t>Phạm Văn Toán</t>
  </si>
  <si>
    <t>Dương Viết Thắng</t>
  </si>
  <si>
    <t>Nguyễn Tiến Long</t>
  </si>
  <si>
    <t>Lê Văn Hoàn</t>
  </si>
  <si>
    <t>Nếu Ncông&gt;26 hoặc Giờ công=208 là loại A. Nếu giờ công=200 là loại B. Nếu Giờ công &lt;200 là loại C.</t>
  </si>
  <si>
    <t>2. Cột Thưởng:</t>
  </si>
  <si>
    <t>Nếu là loại A thưởng 50000. Nếu là loại B không được thưởng. Nếu là loại C phạt 20000.</t>
  </si>
  <si>
    <t>3. Cột PCGC:</t>
  </si>
  <si>
    <t>Nếu là phái Nữ và GCảnh có từ 2 con trở lên thì PCGC là 50000.</t>
  </si>
  <si>
    <t>Nếu là phái Nữ và GCảnh không có con hoặc có 1 con thì PCGC là 30000, ngoài ra không có PCGC.</t>
  </si>
  <si>
    <t>4. LCB = BLG x Hệ số tính lương.</t>
  </si>
  <si>
    <t>5. Còn lĩnh = LCB + Thưởng + PCGC - Tạm ứng</t>
  </si>
  <si>
    <t>Bảng điểm và xếp hạng</t>
  </si>
  <si>
    <t>Năm sinh</t>
  </si>
  <si>
    <t>Winword</t>
  </si>
  <si>
    <t>Thêm</t>
  </si>
  <si>
    <t>Trung bình</t>
  </si>
  <si>
    <t>Trần Ngọc Đông</t>
  </si>
  <si>
    <t>Trần Vũ Anh</t>
  </si>
  <si>
    <t>Triệu Đại Ngọc</t>
  </si>
  <si>
    <t>Lê Thị Minh Hoa</t>
  </si>
  <si>
    <t>Ngô Công Tú</t>
  </si>
  <si>
    <t>Lý Gia Hân</t>
  </si>
  <si>
    <t>Vũ Thanh Tâm</t>
  </si>
  <si>
    <t>Dương Tiến Minh</t>
  </si>
  <si>
    <t>Nguyễn Cộng Hoà</t>
  </si>
  <si>
    <t>Trần Bảo Châu</t>
  </si>
  <si>
    <t>1. Cột Thêm:</t>
  </si>
  <si>
    <t>_Sinh sau năm 1972 thêm 0,75 điểm.</t>
  </si>
  <si>
    <t>_Không sinh sau năm 1972 nhưng là Nữ thêm 0,5 điểm.</t>
  </si>
  <si>
    <t>2. Cột Trung bình = (Windows + Winword + Excel x 3)/5</t>
  </si>
  <si>
    <t>3. Cột Kết quả:</t>
  </si>
  <si>
    <t>_Nếu Trung bình&gt;=10 thì giữ điểm trung bình này làm kết quả.</t>
  </si>
  <si>
    <t>_Nếu Trung bình&lt;10 thì cộng thêm điểm thêm.</t>
  </si>
  <si>
    <t>4. Ghi chú:</t>
  </si>
  <si>
    <t>_Kết quả&lt;10: Thi lại.</t>
  </si>
  <si>
    <t>_Kết quả&gt;=10, &lt;14: Trung bình.</t>
  </si>
  <si>
    <t>_Kết quả&gt;=14, &lt;18: Khá.</t>
  </si>
  <si>
    <t>_Kết quả&gt;=18, &lt;20: Giỏi.</t>
  </si>
  <si>
    <t>_Kết quả=20: Xuất sắc.</t>
  </si>
  <si>
    <t>Chủ hộ</t>
  </si>
  <si>
    <t>Hình thức sử dụng</t>
  </si>
  <si>
    <t>Chỉ số trước</t>
  </si>
  <si>
    <t>Chỉ số sau</t>
  </si>
  <si>
    <t>Điện tiêu thụ</t>
  </si>
  <si>
    <t>Tiền điện</t>
  </si>
  <si>
    <t>Tiền công tơ</t>
  </si>
  <si>
    <t>Tiền phải trả</t>
  </si>
  <si>
    <t>Vân</t>
  </si>
  <si>
    <t>Sản xuất</t>
  </si>
  <si>
    <t>Bình</t>
  </si>
  <si>
    <t>Khánh</t>
  </si>
  <si>
    <t>Tiêu dùng</t>
  </si>
  <si>
    <t>Doanh</t>
  </si>
  <si>
    <t>Thu</t>
  </si>
  <si>
    <t>Quảng</t>
  </si>
  <si>
    <t>1. Tiền công tơ tính như sau:</t>
  </si>
  <si>
    <t>Số hộ</t>
  </si>
  <si>
    <t xml:space="preserve">    Hộ Sản xuất : 20000 đ/tháng.</t>
  </si>
  <si>
    <t xml:space="preserve">    Hộ Kinh doanh : 10000 đ/tháng.</t>
  </si>
  <si>
    <t xml:space="preserve">    Hộ Tiêu dùng : 5000 đ/tháng.</t>
  </si>
  <si>
    <t xml:space="preserve">2. Giá điện: </t>
  </si>
  <si>
    <t xml:space="preserve">    Hộ Sản xuất : 2000 đ/số.</t>
  </si>
  <si>
    <t xml:space="preserve">    Hộ Kinh doanh : 800 đ/số.</t>
  </si>
  <si>
    <t xml:space="preserve">    Hộ Tiêu dùng : 500 đ/số.</t>
  </si>
  <si>
    <t>3. Tổng số tiền = Tiền điện + Tiền công tơ.</t>
  </si>
  <si>
    <t>BẢNG TÍNH TIỀN ĐIỆN</t>
  </si>
  <si>
    <t>Khách Hàng</t>
  </si>
  <si>
    <t>Khu Vực</t>
  </si>
  <si>
    <t>Số Cũ</t>
  </si>
  <si>
    <t>Số Mới</t>
  </si>
  <si>
    <t>Định Mức</t>
  </si>
  <si>
    <t>Tiêu Thụ</t>
  </si>
  <si>
    <t>Tiền Điện</t>
  </si>
  <si>
    <t>Thuê Bảo</t>
  </si>
  <si>
    <t>Phải Trả</t>
  </si>
  <si>
    <t>Vũ</t>
  </si>
  <si>
    <t>Loan</t>
  </si>
  <si>
    <t>Tổng Cộng</t>
  </si>
  <si>
    <t>Kết Quả Tham Khảo</t>
  </si>
  <si>
    <t>Yêu Cầu</t>
  </si>
  <si>
    <t>Câu 1</t>
  </si>
  <si>
    <r>
      <rPr>
        <sz val="12"/>
        <color theme="1"/>
        <rFont val="Times New Roman"/>
      </rPr>
      <t xml:space="preserve">Xác định gía trị cho cột </t>
    </r>
    <r>
      <rPr>
        <b/>
        <sz val="12"/>
        <color rgb="FF0000FF"/>
        <rFont val="Times New Roman"/>
      </rPr>
      <t>Định Mức</t>
    </r>
    <r>
      <rPr>
        <sz val="12"/>
        <color theme="1"/>
        <rFont val="Times New Roman"/>
      </rPr>
      <t>, biết rằng :</t>
    </r>
    <r>
      <rPr>
        <b/>
        <sz val="12"/>
        <color rgb="FF0000FF"/>
        <rFont val="Times New Roman"/>
      </rPr>
      <t xml:space="preserve"> Định Mức </t>
    </r>
    <r>
      <rPr>
        <i/>
        <sz val="12"/>
        <color theme="1"/>
        <rFont val="Times New Roman"/>
      </rPr>
      <t>cho khu vực 1 là 50, khu vực 2 là 100 và khu vực 3 là 150</t>
    </r>
  </si>
  <si>
    <t>Câu 2</t>
  </si>
  <si>
    <r>
      <rPr>
        <sz val="12"/>
        <color theme="1"/>
        <rFont val="Times New Roman"/>
      </rPr>
      <t xml:space="preserve">Tính lượng điện tiêu thụ của mỗi hộ biết rằng </t>
    </r>
    <r>
      <rPr>
        <b/>
        <sz val="12"/>
        <color rgb="FF0000FF"/>
        <rFont val="Times New Roman"/>
      </rPr>
      <t>Tiêu Thụ = Số Mới - Số Cũ</t>
    </r>
  </si>
  <si>
    <t xml:space="preserve">Câu 3 </t>
  </si>
  <si>
    <r>
      <rPr>
        <sz val="12"/>
        <color theme="1"/>
        <rFont val="Times New Roman"/>
      </rPr>
      <t xml:space="preserve">Tính </t>
    </r>
    <r>
      <rPr>
        <b/>
        <sz val="12"/>
        <color rgb="FFFF0000"/>
        <rFont val="Times New Roman"/>
      </rPr>
      <t>Tiền Điện</t>
    </r>
    <r>
      <rPr>
        <sz val="12"/>
        <color theme="1"/>
        <rFont val="Times New Roman"/>
      </rPr>
      <t xml:space="preserve"> biết rằng : </t>
    </r>
    <r>
      <rPr>
        <b/>
        <sz val="12"/>
        <color rgb="FF993366"/>
        <rFont val="Times New Roman"/>
      </rPr>
      <t>Tiêu Điện = Tiêu Thụ * Đơn Giá</t>
    </r>
    <r>
      <rPr>
        <sz val="12"/>
        <color theme="1"/>
        <rFont val="Times New Roman"/>
      </rPr>
      <t>, trong đó:</t>
    </r>
  </si>
  <si>
    <r>
      <rPr>
        <sz val="12"/>
        <color theme="1"/>
        <rFont val="Times New Roman"/>
      </rPr>
      <t xml:space="preserve">     - Nếu số KW </t>
    </r>
    <r>
      <rPr>
        <b/>
        <sz val="12"/>
        <color rgb="FF008000"/>
        <rFont val="Times New Roman"/>
      </rPr>
      <t>Tiêu Thụ &lt;= Số KW Định Mức</t>
    </r>
    <r>
      <rPr>
        <sz val="12"/>
        <color theme="1"/>
        <rFont val="Times New Roman"/>
      </rPr>
      <t xml:space="preserve"> của khu vực mình thi tính gía </t>
    </r>
    <r>
      <rPr>
        <b/>
        <sz val="12"/>
        <color rgb="FF008000"/>
        <rFont val="Times New Roman"/>
      </rPr>
      <t>450 đ/KW</t>
    </r>
  </si>
  <si>
    <r>
      <rPr>
        <sz val="12"/>
        <color theme="1"/>
        <rFont val="Times New Roman"/>
      </rPr>
      <t xml:space="preserve">     - Ngược lại  : cứ mỗi KW vượt định mức tính giá </t>
    </r>
    <r>
      <rPr>
        <b/>
        <sz val="12"/>
        <color rgb="FF008000"/>
        <rFont val="Times New Roman"/>
      </rPr>
      <t>800 đ/KW</t>
    </r>
    <r>
      <rPr>
        <sz val="12"/>
        <color theme="1"/>
        <rFont val="Times New Roman"/>
      </rPr>
      <t xml:space="preserve"> (Số KW trong định mức vẫn tính giá </t>
    </r>
    <r>
      <rPr>
        <b/>
        <sz val="12"/>
        <color rgb="FF008000"/>
        <rFont val="Times New Roman"/>
      </rPr>
      <t>450 đ/KW</t>
    </r>
    <r>
      <rPr>
        <sz val="12"/>
        <color theme="1"/>
        <rFont val="Times New Roman"/>
      </rPr>
      <t>)</t>
    </r>
  </si>
  <si>
    <t xml:space="preserve">Câu 4 </t>
  </si>
  <si>
    <r>
      <rPr>
        <sz val="12"/>
        <color theme="1"/>
        <rFont val="Times New Roman"/>
      </rPr>
      <t xml:space="preserve">Tính </t>
    </r>
    <r>
      <rPr>
        <b/>
        <sz val="12"/>
        <color rgb="FFFF6600"/>
        <rFont val="Times New Roman"/>
      </rPr>
      <t>Thuê Bao = 5% * Tiền Điện</t>
    </r>
  </si>
  <si>
    <t xml:space="preserve">Câu 5 </t>
  </si>
  <si>
    <r>
      <rPr>
        <sz val="12"/>
        <color theme="1"/>
        <rFont val="Times New Roman"/>
      </rPr>
      <t xml:space="preserve">Tính </t>
    </r>
    <r>
      <rPr>
        <b/>
        <sz val="12"/>
        <color rgb="FF993366"/>
        <rFont val="Times New Roman"/>
      </rPr>
      <t>Phải Trả= Tiền Điện + Thuê Bao</t>
    </r>
  </si>
  <si>
    <t xml:space="preserve">Câu 6 </t>
  </si>
  <si>
    <r>
      <rPr>
        <sz val="12"/>
        <color theme="1"/>
        <rFont val="Times New Roman"/>
      </rPr>
      <t xml:space="preserve">Tính </t>
    </r>
    <r>
      <rPr>
        <b/>
        <sz val="12"/>
        <color rgb="FFFF0000"/>
        <rFont val="Times New Roman"/>
      </rPr>
      <t>Tổng Cộng</t>
    </r>
    <r>
      <rPr>
        <sz val="12"/>
        <color theme="1"/>
        <rFont val="Times New Roman"/>
      </rPr>
      <t xml:space="preserve"> cho các cột </t>
    </r>
    <r>
      <rPr>
        <b/>
        <sz val="12"/>
        <color rgb="FF339966"/>
        <rFont val="Times New Roman"/>
      </rPr>
      <t xml:space="preserve">Tiêu Thụ, </t>
    </r>
    <r>
      <rPr>
        <b/>
        <sz val="12"/>
        <color rgb="FF800080"/>
        <rFont val="Times New Roman"/>
      </rPr>
      <t>Tiền Điện</t>
    </r>
    <r>
      <rPr>
        <b/>
        <sz val="12"/>
        <color rgb="FF339966"/>
        <rFont val="Times New Roman"/>
      </rPr>
      <t xml:space="preserve">, </t>
    </r>
    <r>
      <rPr>
        <b/>
        <sz val="12"/>
        <color rgb="FFFF0000"/>
        <rFont val="Times New Roman"/>
      </rPr>
      <t>Thuê Bao</t>
    </r>
    <r>
      <rPr>
        <sz val="12"/>
        <color theme="1"/>
        <rFont val="Times New Roman"/>
      </rPr>
      <t xml:space="preserve"> và </t>
    </r>
    <r>
      <rPr>
        <b/>
        <sz val="12"/>
        <color rgb="FF0000FF"/>
        <rFont val="Times New Roman"/>
      </rPr>
      <t>Phải Trả</t>
    </r>
  </si>
  <si>
    <t xml:space="preserve">Câu 7 </t>
  </si>
  <si>
    <t>Định dạng và kẻ khung cho bảng tính</t>
  </si>
  <si>
    <t>bảng kê hàng xuất</t>
  </si>
  <si>
    <t>Chuyến 18/11/2002</t>
  </si>
  <si>
    <t>Tỷ giá:</t>
  </si>
  <si>
    <t>Mã</t>
  </si>
  <si>
    <t>Tên hàng</t>
  </si>
  <si>
    <t>Kho</t>
  </si>
  <si>
    <t>Đơn giá</t>
  </si>
  <si>
    <t>Trị giá</t>
  </si>
  <si>
    <t>Cộng</t>
  </si>
  <si>
    <t>B001</t>
  </si>
  <si>
    <t>Bàn gỗ</t>
  </si>
  <si>
    <t>HMN</t>
  </si>
  <si>
    <t>B002</t>
  </si>
  <si>
    <t>Bàn sắt</t>
  </si>
  <si>
    <t>SGN</t>
  </si>
  <si>
    <t>B003</t>
  </si>
  <si>
    <t>Bàn tròn</t>
  </si>
  <si>
    <t>CLN</t>
  </si>
  <si>
    <t>B004</t>
  </si>
  <si>
    <t>Bàn oval</t>
  </si>
  <si>
    <t>B005</t>
  </si>
  <si>
    <t>Bàn mica</t>
  </si>
  <si>
    <t>TDC</t>
  </si>
  <si>
    <t>G001</t>
  </si>
  <si>
    <t>Ghế dựa</t>
  </si>
  <si>
    <t>G002</t>
  </si>
  <si>
    <t>Ghế mây</t>
  </si>
  <si>
    <t>G003</t>
  </si>
  <si>
    <t>Ghế xếp</t>
  </si>
  <si>
    <t>G004</t>
  </si>
  <si>
    <t>Ghế bọc</t>
  </si>
  <si>
    <t>G005</t>
  </si>
  <si>
    <t>Ghế xoay</t>
  </si>
  <si>
    <t>CCH</t>
  </si>
  <si>
    <t>G006</t>
  </si>
  <si>
    <t>Ghế đẩu</t>
  </si>
  <si>
    <t>G007</t>
  </si>
  <si>
    <t>Ghế nệm</t>
  </si>
  <si>
    <t>T001</t>
  </si>
  <si>
    <t>Tủ kính</t>
  </si>
  <si>
    <t>T002</t>
  </si>
  <si>
    <t>Tủ gỗ</t>
  </si>
  <si>
    <t>T003</t>
  </si>
  <si>
    <t>Tủ hồ sơ</t>
  </si>
  <si>
    <t>T004</t>
  </si>
  <si>
    <t>Tủ Buffer</t>
  </si>
  <si>
    <t>T005</t>
  </si>
  <si>
    <t>Tủ kem</t>
  </si>
  <si>
    <t>T006</t>
  </si>
  <si>
    <t>Tủ đứng</t>
  </si>
  <si>
    <t>T007</t>
  </si>
  <si>
    <t>Tủ chạm</t>
  </si>
  <si>
    <t>T008</t>
  </si>
  <si>
    <t>Tủ nhựa</t>
  </si>
  <si>
    <t>1. Trị giá = Số lượng x Đơn giá x Tỷ giá.</t>
  </si>
  <si>
    <t>2. Thuế = Trị giá x (Tỷ lệ tùy theo kho + Tỷ lệ tùy theo số lượng). Tính tròn đến hàng đơn vị. Tỷ lệ:</t>
  </si>
  <si>
    <t xml:space="preserve">        Nếu là kho SGN: 5%, CLN: 3%, còn lại là 2%.</t>
  </si>
  <si>
    <t xml:space="preserve">        Nếu số lượng trên 20: 1,5%, còn lại: 1,2%.</t>
  </si>
  <si>
    <t>3. Cộng = Trị giá + Thuế.</t>
  </si>
  <si>
    <t>Điểm TB Trong Năm</t>
  </si>
  <si>
    <t>Đạo Đức</t>
  </si>
  <si>
    <t>Ghi Chú</t>
  </si>
  <si>
    <t>A</t>
  </si>
  <si>
    <t>TB</t>
  </si>
  <si>
    <t>B</t>
  </si>
  <si>
    <t>Tốt</t>
  </si>
  <si>
    <t>C</t>
  </si>
  <si>
    <t>D</t>
  </si>
  <si>
    <t>E</t>
  </si>
  <si>
    <t>F</t>
  </si>
  <si>
    <t>G</t>
  </si>
  <si>
    <t>I</t>
  </si>
  <si>
    <t>H</t>
  </si>
  <si>
    <t>K</t>
  </si>
  <si>
    <t>Điền cột ghi chú theo tiêu chuẩn sau:</t>
  </si>
  <si>
    <t>Những học sinh có đạo đức tốt, có điểm TB từ 4 trở lên hoặc những học sinh có</t>
  </si>
  <si>
    <t>đạo đức TB và có điểm TB từ 5 trở lên thì ghi "Lên lớp", còn lại ghi "Ở lại lớp"</t>
  </si>
  <si>
    <t>GIẢI PHƯƠNG TRÌNH BẬT NHẤT ax+b=0</t>
  </si>
  <si>
    <t>Yêu cầu:</t>
  </si>
  <si>
    <t>Tính nghiệm x</t>
  </si>
  <si>
    <t>GIẢI PHƯƠNG TRÌNH BẬC HAI ax2+bx+c=0</t>
  </si>
  <si>
    <t>x1</t>
  </si>
  <si>
    <t>x2</t>
  </si>
  <si>
    <t xml:space="preserve">Lập công thức tính Delta=b2-4ac dựa vào trị của Delta lập công thức tính nghiệm </t>
  </si>
  <si>
    <t>cho 2 cột x1 và x2</t>
  </si>
  <si>
    <t>CÁC HÀM NGÀY THÁNG THỜI GIAN (DATE / TIME FUNTION)</t>
  </si>
  <si>
    <t>serial</t>
  </si>
  <si>
    <t xml:space="preserve">Ngày 
(2) </t>
  </si>
  <si>
    <t>Tháng 
(3)</t>
  </si>
  <si>
    <t xml:space="preserve">Năm 
(4) </t>
  </si>
  <si>
    <t>Stt ngày trong tuần</t>
  </si>
  <si>
    <t>Tạo lại ngày tháng từ 
(2), (3), (4)</t>
  </si>
  <si>
    <t>Dùng các hàm ngày tháng để điền vào ô trống ?</t>
  </si>
  <si>
    <t>Serial 
number</t>
  </si>
  <si>
    <t>Giây 
(2)</t>
  </si>
  <si>
    <t>Phút 
(3)</t>
  </si>
  <si>
    <t>Giờ 
(4)</t>
  </si>
  <si>
    <t>Tạo lại thời gian từ 
(2),(3),(4)</t>
  </si>
  <si>
    <t>Dùng các hàm thời gian để điền vào ô trống ?</t>
  </si>
  <si>
    <t xml:space="preserve">Loại xe </t>
  </si>
  <si>
    <t>Mã số xe</t>
  </si>
  <si>
    <t>Tên khách hàng</t>
  </si>
  <si>
    <t>Ngày bán</t>
  </si>
  <si>
    <t>Đơn giá
($)</t>
  </si>
  <si>
    <t>Tổng tiền</t>
  </si>
  <si>
    <t>Thời gian bảo hành</t>
  </si>
  <si>
    <t>HE HE</t>
  </si>
  <si>
    <t>D003</t>
  </si>
  <si>
    <t>HI HI</t>
  </si>
  <si>
    <t>A002</t>
  </si>
  <si>
    <t>LẠ LẠ</t>
  </si>
  <si>
    <t>C004</t>
  </si>
  <si>
    <t>KÌ KÌ</t>
  </si>
  <si>
    <t>HAY HAY</t>
  </si>
  <si>
    <t>BỐI BỐI</t>
  </si>
  <si>
    <t>AN AN</t>
  </si>
  <si>
    <t>1. đinh dạng cho cột ngày bán có dạng ngày/tháng/năm</t>
  </si>
  <si>
    <t>2. TÍNH TỔNG TIỀN CHO TỪNG LOẠI XE NHƯ SAU : TỔNG TIỀN= ĐƠN GIÁ +VAT(10%). VỚI NHỮNG KHÁCH HÀNG MUA VÀO QUÍ 1 NĂM 2007 THÌ GIẢM 2% ĐƠN GIÁ</t>
  </si>
  <si>
    <t xml:space="preserve">Ngày </t>
  </si>
  <si>
    <t xml:space="preserve">Thứ </t>
  </si>
  <si>
    <t xml:space="preserve">Số ngày trong tháng </t>
  </si>
  <si>
    <t>Năm nhuận hay không nhuận</t>
  </si>
  <si>
    <t>1. Hãy lập công thức in ra thứ (tiếng Việt) của giá trị ngày.</t>
  </si>
  <si>
    <t>2. Lập công thức in ra số ngày có trong tháng của tháng ở ô B21.</t>
  </si>
  <si>
    <t>3. Lập công thức xác định xem năm của ngày ở ô B21 có phải là năm nhuận?</t>
  </si>
  <si>
    <t>4. Thử gõ các giá trị ngày khác nhau ở ô B21 và kiểm tra kết quả hiện lên ở các ô còn lại</t>
  </si>
  <si>
    <t>CÁC HÀM XỬ LÝ CHUỖI (TEXT FUNTIONS)</t>
  </si>
  <si>
    <t xml:space="preserve">Mặt hàng </t>
  </si>
  <si>
    <t xml:space="preserve">Mã HĐ </t>
  </si>
  <si>
    <t xml:space="preserve">Mã loại </t>
  </si>
  <si>
    <t>STTHĐ</t>
  </si>
  <si>
    <t xml:space="preserve">Đơn giá </t>
  </si>
  <si>
    <t xml:space="preserve">Số lượng </t>
  </si>
  <si>
    <t xml:space="preserve">Giảm giá </t>
  </si>
  <si>
    <t xml:space="preserve">Thành tiền </t>
  </si>
  <si>
    <t>Kaki 2</t>
  </si>
  <si>
    <t>K1252</t>
  </si>
  <si>
    <t>Jean 1</t>
  </si>
  <si>
    <t>J2011</t>
  </si>
  <si>
    <t>Jean 2</t>
  </si>
  <si>
    <t>J0982</t>
  </si>
  <si>
    <t>Kaki 1</t>
  </si>
  <si>
    <t>K5801</t>
  </si>
  <si>
    <t>1. Lập công thức cho cột Mã Loại, biết rằng: Ký tự cuối cùng của Mã HĐ là Mã Loại</t>
  </si>
  <si>
    <t>2. Lập công thức cho cột STT HĐ, biết rằng: 3 ký tự giữa của Mã HĐ là STT của hoá đơn.</t>
  </si>
  <si>
    <t>3. Lập công thức cho cột Mã hàng, biết rằng: ký tự đầu của Mã HĐ là Mã hàng.</t>
  </si>
  <si>
    <t>Bảng Theo Dõi Hàng Hóa</t>
  </si>
  <si>
    <t>Lô hàng</t>
  </si>
  <si>
    <t>Mã NSX</t>
  </si>
  <si>
    <t>Tháng năm</t>
  </si>
  <si>
    <t>Đơn giá (USD)</t>
  </si>
  <si>
    <t>TV09SN200100</t>
  </si>
  <si>
    <t>ML08PN50010</t>
  </si>
  <si>
    <t>TL07TB35050</t>
  </si>
  <si>
    <t>MG09SY400500</t>
  </si>
  <si>
    <t>TV07PN250200</t>
  </si>
  <si>
    <t>VD08SN120150</t>
  </si>
  <si>
    <t>TL08EL50010</t>
  </si>
  <si>
    <t>TL07SP30050</t>
  </si>
  <si>
    <t>Mô tả:</t>
  </si>
  <si>
    <t>-    Mã hàng là hai ký tự đầu của Lô hàng</t>
  </si>
  <si>
    <t>-    Mã NSX là 2 ký tự thứ 5 và 6 của Lô hàng</t>
  </si>
  <si>
    <t>-    Tháng năm: gồm tháng là 2 ký tự thứ 3,4 kết hợp với năm 2007. Vd: TL07TB50 à“07/2007”</t>
  </si>
  <si>
    <t>-    Đơn giá (USD) là 3 ký tự thứ 7, 8,9 của Lô hàng</t>
  </si>
  <si>
    <t>-    Số lượng là các ký tự còn lại của Lô hàng</t>
  </si>
  <si>
    <t>-    Thành tiền = Số lượng * Đơn giá (USD) * 16150. Làm tròn lấy 1 số lẻ.</t>
  </si>
  <si>
    <t>BẢNG CHI TIẾT NHẬP HÀNG HÓA</t>
  </si>
  <si>
    <t>Tháng 01/2007</t>
  </si>
  <si>
    <t>Lô Hàng</t>
  </si>
  <si>
    <t>Mã Xuất Xứ</t>
  </si>
  <si>
    <t>Ngày Nhập</t>
  </si>
  <si>
    <t>Model</t>
  </si>
  <si>
    <t>Số Serial</t>
  </si>
  <si>
    <t>IND-1501-010-L100</t>
  </si>
  <si>
    <t>IND-1501-011-S500</t>
  </si>
  <si>
    <t>TLD-2001-22-L100</t>
  </si>
  <si>
    <t>TLD-2001-23-S500</t>
  </si>
  <si>
    <t>TLD-2001-49-L300</t>
  </si>
  <si>
    <t>TLD-2001-50-L500</t>
  </si>
  <si>
    <t>-    Mã xuất xứ: Là 2 ký tự đầu của Lô hàng</t>
  </si>
  <si>
    <t>-    Ngày nhập: Hai ký tự thứ 5 và 6 là ngày, hai ký tự thứ 7 và 8 là tháng. Phân cách giữa ngày và tháng là dấu “/”. Vd: Lô hàng IND-1501-010-L100, Ngày nhập là 15/01</t>
  </si>
  <si>
    <t>-    Model: Là 4 ký tự cuối của Lô hàng</t>
  </si>
  <si>
    <t>-    Số serial: Từ ký tự thứ 10 trở đi của Lô hàng</t>
  </si>
  <si>
    <t>bảng thanh toán lương</t>
  </si>
  <si>
    <t>Mã NV</t>
  </si>
  <si>
    <t>Phòng</t>
  </si>
  <si>
    <t>Chức vụ</t>
  </si>
  <si>
    <t>PCCV</t>
  </si>
  <si>
    <t>G01</t>
  </si>
  <si>
    <t>Nguyễn Tam Thanh</t>
  </si>
  <si>
    <t>P01</t>
  </si>
  <si>
    <t>Phan Cát Thanh</t>
  </si>
  <si>
    <t>02A</t>
  </si>
  <si>
    <t>Nguyễn Văn Tâm</t>
  </si>
  <si>
    <t>02C</t>
  </si>
  <si>
    <t>Phan Nam Trân</t>
  </si>
  <si>
    <t>PP</t>
  </si>
  <si>
    <t>03A</t>
  </si>
  <si>
    <t>Phan Thiếu Dương</t>
  </si>
  <si>
    <t>02B</t>
  </si>
  <si>
    <t>Phan Thiếu Hiệp</t>
  </si>
  <si>
    <t>01C</t>
  </si>
  <si>
    <t>Nguyễn Bình Dương</t>
  </si>
  <si>
    <t>03B</t>
  </si>
  <si>
    <t>Vũ Thanh Hiền</t>
  </si>
  <si>
    <t>04A</t>
  </si>
  <si>
    <t>03C</t>
  </si>
  <si>
    <t>Lê Vi Ngân</t>
  </si>
  <si>
    <t>1. Căn cứ vào Mã NV để điền tên Phòng</t>
  </si>
  <si>
    <t>_Mã NV có ký tự A là Kế hoạch.</t>
  </si>
  <si>
    <t>_Mã NV có ký tự B là Hành chính.</t>
  </si>
  <si>
    <t>_Mã NV có ký tự C là Kế toán.</t>
  </si>
  <si>
    <t>_Mã NV có ký tự G là Giám đốc.</t>
  </si>
  <si>
    <t>_Mã NV có ký tự P là Phó Giám đốc.</t>
  </si>
  <si>
    <t>2. Điền vào cột PCCV dựa vào cột Chức vụ. Nếu:</t>
  </si>
  <si>
    <t>GĐ: 100.000</t>
  </si>
  <si>
    <t>PGĐ: 80.000</t>
  </si>
  <si>
    <t>TP: 60.000</t>
  </si>
  <si>
    <t>PP: 50.000</t>
  </si>
  <si>
    <t>3. Tính Lương = 290000 x Hệ số.</t>
  </si>
  <si>
    <t>4. Tiền lĩnh = Lương + PCCV.</t>
  </si>
  <si>
    <t>5. Tính Tổng cộng.</t>
  </si>
  <si>
    <t>Tình hình xăng dầu tháng 09 năm 2001</t>
  </si>
  <si>
    <t>Mã CT</t>
  </si>
  <si>
    <t>Đơn vị mua</t>
  </si>
  <si>
    <t>Dầu</t>
  </si>
  <si>
    <t>Xăng</t>
  </si>
  <si>
    <t>D058</t>
  </si>
  <si>
    <t>Xí nghiệp 21</t>
  </si>
  <si>
    <t>021X</t>
  </si>
  <si>
    <t>Cty Hoàng Huy</t>
  </si>
  <si>
    <t>D091</t>
  </si>
  <si>
    <t>Cty Vĩnh Hội</t>
  </si>
  <si>
    <t>980X</t>
  </si>
  <si>
    <t>Xây lắp 22</t>
  </si>
  <si>
    <t>065X</t>
  </si>
  <si>
    <t>Xăng dầu 4</t>
  </si>
  <si>
    <t>D801</t>
  </si>
  <si>
    <t>Xăng dầu 1</t>
  </si>
  <si>
    <t>1. Tách Số lượng riêng cho từng loại nhiên liệu.</t>
  </si>
  <si>
    <t>2. Tính Thành tiền.</t>
  </si>
  <si>
    <t>3. Tính Tổng cộng.</t>
  </si>
  <si>
    <t>Bảng thống kê nhiên liệu 6 tháng cuối năm 1999</t>
  </si>
  <si>
    <t>Hãng SX</t>
  </si>
  <si>
    <t>D00BP</t>
  </si>
  <si>
    <t>D01ES</t>
  </si>
  <si>
    <t>X92SH</t>
  </si>
  <si>
    <t>N4TCA</t>
  </si>
  <si>
    <t>D00TN</t>
  </si>
  <si>
    <t>N06MO</t>
  </si>
  <si>
    <t>N89BP</t>
  </si>
  <si>
    <t>X83TN</t>
  </si>
  <si>
    <t>XĂNG</t>
  </si>
  <si>
    <t>X93ES</t>
  </si>
  <si>
    <t xml:space="preserve">DẦU </t>
  </si>
  <si>
    <t>N02CA</t>
  </si>
  <si>
    <t>NHỚT</t>
  </si>
  <si>
    <t>Bảng thống kê</t>
  </si>
  <si>
    <t>Nhớt</t>
  </si>
  <si>
    <t>1. Điền cột Tên hàng căn cứ vào ký tự đầu của Mã hàng:</t>
  </si>
  <si>
    <t xml:space="preserve">     X: Xăng, D: Dầu, N: Nhớt</t>
  </si>
  <si>
    <t>2. Điền cột Hãng SX căn cứ vào 2 ký tự cuối của Mã hàng:</t>
  </si>
  <si>
    <t xml:space="preserve">     BP: British Petro, MO: Mobil, ES: Esso, SH: Shell, CA: Castrol</t>
  </si>
  <si>
    <t xml:space="preserve">     TN: Trong nước</t>
  </si>
  <si>
    <t>3. Đơn giá của các Mã hàng như sau:</t>
  </si>
  <si>
    <t xml:space="preserve">     Xăng: 4500, Dầu: 1400, Nhớt: 2500</t>
  </si>
  <si>
    <t>4. Đối với Hãng SX là nước ngoài thì Thuế = Nguyên giá x Hệ số thuế</t>
  </si>
  <si>
    <t xml:space="preserve">     trong đó: Nguyên giá = Đơn giá x Số lượng</t>
  </si>
  <si>
    <t xml:space="preserve">   </t>
  </si>
  <si>
    <t>Hệ số thuế với Xăng: 3%, Dầu: 2.5 %, Nhớt: 2 %</t>
  </si>
  <si>
    <t xml:space="preserve">     Các mặt hàng do trong nước SX thì không đánh thuế</t>
  </si>
  <si>
    <t>5. Thành tiền = Nguyên giá + Thuế.</t>
  </si>
  <si>
    <t>6. Điền kết quả vào bảng thống kê.</t>
  </si>
  <si>
    <t>CÁC HÀM DÒ TÌM (LOOKUP FUNCTIONS)</t>
  </si>
  <si>
    <t>LỚP</t>
  </si>
  <si>
    <t xml:space="preserve">Xếp loại lớp </t>
  </si>
  <si>
    <t xml:space="preserve">Xếp loại </t>
  </si>
  <si>
    <t>Hạng</t>
  </si>
  <si>
    <t xml:space="preserve">Yêu cầu: </t>
  </si>
  <si>
    <t xml:space="preserve">Trần Minh </t>
  </si>
  <si>
    <t>1. Lập công thức điền dữ liệu cho cột xếp loại</t>
  </si>
  <si>
    <t xml:space="preserve">Nguyễn Bảo </t>
  </si>
  <si>
    <t>2. Xếp hạng cho các học sinh theo thứ tự từ cao đến thấp</t>
  </si>
  <si>
    <t>Lê Hồng</t>
  </si>
  <si>
    <t xml:space="preserve">Phạm Tuấn </t>
  </si>
  <si>
    <t>Cao Bích</t>
  </si>
  <si>
    <t>Lý Tuấn</t>
  </si>
  <si>
    <t>Phan Công</t>
  </si>
  <si>
    <t>BẢNG XẾP LOẠI</t>
  </si>
  <si>
    <t>BẢNG XL LỚP</t>
  </si>
  <si>
    <t>Xếp Loại</t>
  </si>
  <si>
    <t xml:space="preserve">Yếu </t>
  </si>
  <si>
    <t>Trung Bình</t>
  </si>
  <si>
    <t xml:space="preserve">Khá </t>
  </si>
  <si>
    <t>Giỏi</t>
  </si>
  <si>
    <t>Cho bảng dữ liệu sau:</t>
  </si>
  <si>
    <t>(Chú ý: Cột màu xanh là cột cần nhập công thức tính)</t>
  </si>
  <si>
    <t>BẢNG THANH TOÁN LƯƠNG THÁNG 01-2003</t>
  </si>
  <si>
    <t>Chức
 Vụ</t>
  </si>
  <si>
    <t>Phụ Cấp
Chức Vụ</t>
  </si>
  <si>
    <t>Nguyên</t>
  </si>
  <si>
    <t>My</t>
  </si>
  <si>
    <t>Hoàng</t>
  </si>
  <si>
    <t>Hạnh</t>
  </si>
  <si>
    <t>Chi</t>
  </si>
  <si>
    <t>Hiền</t>
  </si>
  <si>
    <t>Trâm</t>
  </si>
  <si>
    <t>Tùng</t>
  </si>
  <si>
    <t>BẢNG PHÒNG BAN</t>
  </si>
  <si>
    <t>PHỤ CẤP CHỨC VỤ</t>
  </si>
  <si>
    <t>Kinh Doanh</t>
  </si>
  <si>
    <t>1)Căn cứ vào ký tự đầu tiên bên trái của Mã Nhân Viên và BẢNG PHÒNG BAN, hãy điền tên phòng ban cho các nhân viên ở cột Phòng.</t>
  </si>
  <si>
    <t>2)Căn cứ vào số liệu ở cột Chức Vụ và BẢNG PHỤ CẤP CHỨC VỤ, hãy tính tiền Phụ Cấp Chức Vụ cho mỗi nhân viên</t>
  </si>
  <si>
    <t>3)Tính Thực Lãnh cho mỗi nhân viên biết rằng Thực Lãnh = Phụ Cấp Chức Vụ + Lương cơ bản * hệ số lương (hệ số lương = 4.0)</t>
  </si>
  <si>
    <t>KẾT QUẢ THI TUYỂN SINH</t>
  </si>
  <si>
    <t>Số 
Báo Danh</t>
  </si>
  <si>
    <t>Tên 
Thí Sinh</t>
  </si>
  <si>
    <t>Mã 
Trường</t>
  </si>
  <si>
    <t>Diện 
Chính Sách</t>
  </si>
  <si>
    <t>Điểm
ưu tiên</t>
  </si>
  <si>
    <t>Tổng
Điểm</t>
  </si>
  <si>
    <t>Le</t>
  </si>
  <si>
    <t>CLS</t>
  </si>
  <si>
    <t>Viet</t>
  </si>
  <si>
    <t>CTB</t>
  </si>
  <si>
    <t>Hoang</t>
  </si>
  <si>
    <t>D01</t>
  </si>
  <si>
    <t>Thy</t>
  </si>
  <si>
    <t>D02</t>
  </si>
  <si>
    <t>Thai</t>
  </si>
  <si>
    <t>MN</t>
  </si>
  <si>
    <t>Bảng Tra Điểm Thi</t>
  </si>
  <si>
    <t>SBD</t>
  </si>
  <si>
    <t>Phần 1: Câu hỏi</t>
  </si>
  <si>
    <t>1. Dựa vào Số Báo Danh của mỗi thí sinh và tra ở Bảng Tra Điểm Thi hãy xác định giá trị cho các cột điểm Toán, Lý, Hóa</t>
  </si>
  <si>
    <t xml:space="preserve">2.Xác định Điểm ưu tiên cho mỗi thí sinh, biết rằng: </t>
  </si>
  <si>
    <t xml:space="preserve"> - Nếu thuộc diện chính sách là CLS (Con liệt sỹ) thì được 1,5 điểm</t>
  </si>
  <si>
    <t xml:space="preserve"> - Nếu thuộc diện chính sách là CTB (Con thương binh) thì được 1 điểm</t>
  </si>
  <si>
    <t xml:space="preserve"> - Nếu thuộc diện chính sách là MN (Miền núi) thì được 0,5 điểm</t>
  </si>
  <si>
    <t xml:space="preserve"> - Còn ngoài ra không thuộc các diện thì 0 điểm</t>
  </si>
  <si>
    <t>3. Tính Tổng Điểm biết rằng Tổng Điểm = Điểm Toán + Điểm Hoá  + Điểm Lý + Điểm ưu tiên</t>
  </si>
  <si>
    <t>Công ty xuất khẩu Nhà Rồng</t>
  </si>
  <si>
    <t>Bảng phụ A</t>
  </si>
  <si>
    <t>Tổng giá trị xuất khẩu nông sản năm 2000</t>
  </si>
  <si>
    <t xml:space="preserve">Mã </t>
  </si>
  <si>
    <t>Tổng trị giá</t>
  </si>
  <si>
    <t>Ngày</t>
  </si>
  <si>
    <t>Giá/tấn (USD)</t>
  </si>
  <si>
    <t>Số lượng(tấn)</t>
  </si>
  <si>
    <t>Tổng giá trị</t>
  </si>
  <si>
    <t>Ca</t>
  </si>
  <si>
    <t>Cafe</t>
  </si>
  <si>
    <t>Ca04</t>
  </si>
  <si>
    <t>Ba</t>
  </si>
  <si>
    <t>Bắp</t>
  </si>
  <si>
    <t>Ba01</t>
  </si>
  <si>
    <t>Tr</t>
  </si>
  <si>
    <t>Trà</t>
  </si>
  <si>
    <t>Ca03</t>
  </si>
  <si>
    <t>Tr03</t>
  </si>
  <si>
    <t>Bảng phụ B</t>
  </si>
  <si>
    <t>Ba02</t>
  </si>
  <si>
    <t>Tr04</t>
  </si>
  <si>
    <t>Giá</t>
  </si>
  <si>
    <t>Ca02</t>
  </si>
  <si>
    <t>Tr02</t>
  </si>
  <si>
    <t xml:space="preserve">1. Dựa vào hai chữ đầu cột Mã hàng và bảng A để điền vào cột tên hàng </t>
  </si>
  <si>
    <t xml:space="preserve">2. Dựa vào hai chữ cuối cột Mã hàng và bảng B để điền vào cột giá </t>
  </si>
  <si>
    <t>3. Tính cột tổng giá trị theo công thức: (Số lượng * giá) + 5% thuế</t>
  </si>
  <si>
    <t>4. Tính tổng giá trị của Cafe, Trà, Bắp</t>
  </si>
  <si>
    <t>Báo cáo Thuế Tháng 1</t>
  </si>
  <si>
    <t>Mã đăng ký kinh doanh</t>
  </si>
  <si>
    <t>Tên chợ</t>
  </si>
  <si>
    <t>Mặt hàng kinh doanh</t>
  </si>
  <si>
    <t>Tên mặt hàng</t>
  </si>
  <si>
    <t>Vốn kinh doanh</t>
  </si>
  <si>
    <t>Tiền thuế</t>
  </si>
  <si>
    <t>Ngày hết hạn đóng thuế</t>
  </si>
  <si>
    <t>Ngày đóng thực tế</t>
  </si>
  <si>
    <t>Tiền phạt</t>
  </si>
  <si>
    <t>Thuế phải nộp</t>
  </si>
  <si>
    <t>001/DK</t>
  </si>
  <si>
    <t>VKT</t>
  </si>
  <si>
    <t>001/BT</t>
  </si>
  <si>
    <t>QA</t>
  </si>
  <si>
    <t>002/BC</t>
  </si>
  <si>
    <t>004/TD</t>
  </si>
  <si>
    <t>MP</t>
  </si>
  <si>
    <t>004/PN</t>
  </si>
  <si>
    <t>GD</t>
  </si>
  <si>
    <t>002/DK</t>
  </si>
  <si>
    <t>002/TD</t>
  </si>
  <si>
    <t>003/BC</t>
  </si>
  <si>
    <t>002/BT</t>
  </si>
  <si>
    <t>003/TD</t>
  </si>
  <si>
    <t>Bảng 1</t>
  </si>
  <si>
    <t>Bảng 2</t>
  </si>
  <si>
    <t>Mã chợ</t>
  </si>
  <si>
    <t>Mhàng</t>
  </si>
  <si>
    <t>Tỷ suất thuế</t>
  </si>
  <si>
    <t>TD</t>
  </si>
  <si>
    <t>Tân Định</t>
  </si>
  <si>
    <t>Thực phẩm</t>
  </si>
  <si>
    <t>BT</t>
  </si>
  <si>
    <t>Bến Thành</t>
  </si>
  <si>
    <t>Giầy dép</t>
  </si>
  <si>
    <t>BC</t>
  </si>
  <si>
    <t>Bà Chiểu</t>
  </si>
  <si>
    <t>Mỹ phẩm</t>
  </si>
  <si>
    <t>DK</t>
  </si>
  <si>
    <t>Đa Kao</t>
  </si>
  <si>
    <t>Vải Kate</t>
  </si>
  <si>
    <t>PN</t>
  </si>
  <si>
    <t>Phú Nhuận</t>
  </si>
  <si>
    <t>Quần áo</t>
  </si>
  <si>
    <t>Chợ</t>
  </si>
  <si>
    <t>S thuế</t>
  </si>
  <si>
    <t>1. Điền tên chợ và Tên mặt hàng dựa vào Bảng 1 và Bảng 2 theo Mã đăng ký kinh doanh</t>
  </si>
  <si>
    <t xml:space="preserve">    và Mã mặt hàng kinh doanh.</t>
  </si>
  <si>
    <t>2. Tiền thuế = Vốn kinh doanh x Tỷ suất thuế.</t>
  </si>
  <si>
    <t>3. Tiền phạt: Nếu ngày đóng thuế vượt quá hạn 3 ngày thì lấy số ngày quá hạn x 2%.</t>
  </si>
  <si>
    <t>4. Thuế phải nộp = Tiền thuế + Tiền phạt.</t>
  </si>
  <si>
    <t>5. Tính bảng thống kê.</t>
  </si>
  <si>
    <t>Bảng Tính Công</t>
  </si>
  <si>
    <t>Tên nhân viên</t>
  </si>
  <si>
    <t>Khối lượng</t>
  </si>
  <si>
    <t>Tầng</t>
  </si>
  <si>
    <t>Thu nhập</t>
  </si>
  <si>
    <t>V01AD</t>
  </si>
  <si>
    <t>V02AD</t>
  </si>
  <si>
    <t>V03AD</t>
  </si>
  <si>
    <t>V04AD</t>
  </si>
  <si>
    <t>Tổng</t>
  </si>
  <si>
    <t>Bảng đơn giá công</t>
  </si>
  <si>
    <t>Tên NV</t>
  </si>
  <si>
    <t>&lt;=30 Kg</t>
  </si>
  <si>
    <t>&gt;30-60 kg</t>
  </si>
  <si>
    <t>&gt;60 kg</t>
  </si>
  <si>
    <t>01</t>
  </si>
  <si>
    <t>Nghĩa</t>
  </si>
  <si>
    <t>02</t>
  </si>
  <si>
    <t>03</t>
  </si>
  <si>
    <t>04</t>
  </si>
  <si>
    <t>Bảo</t>
  </si>
  <si>
    <t>1. Tên nhân viên: Dựa vào ký tự 2, 3 của Mã NV và tra trong bảng 1.</t>
  </si>
  <si>
    <t>2. Thu nhập: Dựa vào số tầng lầu và khối lượng khuân vác để tra trong bảng đơn giá công.</t>
  </si>
  <si>
    <t>BẢNG THEO DÕI TÌNH HÌNH SẢN XUẤT</t>
  </si>
  <si>
    <t>Nhân
Viên</t>
  </si>
  <si>
    <t>Mã
 Sản Phẩm</t>
  </si>
  <si>
    <t>Tên
Sản Phẩm</t>
  </si>
  <si>
    <t>Số 
Lượng</t>
  </si>
  <si>
    <t>Tiền Công
Lắp Ráp</t>
  </si>
  <si>
    <t>Tiền
Thưởng</t>
  </si>
  <si>
    <t>BĐT</t>
  </si>
  <si>
    <t>BĐX</t>
  </si>
  <si>
    <t>Thuỷ</t>
  </si>
  <si>
    <t>BĐC</t>
  </si>
  <si>
    <t>BĐH</t>
  </si>
  <si>
    <t>BĐG</t>
  </si>
  <si>
    <t>Khanh</t>
  </si>
  <si>
    <t>Bảng Tra Tên Sản Phẩm và Đơn Giá Lắp Ráp</t>
  </si>
  <si>
    <t>Mã 
Sản Phẩm</t>
  </si>
  <si>
    <t>Tên 
Sản Phẩm</t>
  </si>
  <si>
    <t>Đơn Gía
Lắp Ráp</t>
  </si>
  <si>
    <t>Bóng đèn Compact</t>
  </si>
  <si>
    <t>Bóng đèn Huỳnh Quang</t>
  </si>
  <si>
    <t>Bóng đèn Tròn</t>
  </si>
  <si>
    <t>Khác</t>
  </si>
  <si>
    <t>Bóng đèn đặc biệt</t>
  </si>
  <si>
    <r>
      <rPr>
        <sz val="12"/>
        <color theme="1"/>
        <rFont val="Times New Roman"/>
      </rPr>
      <t xml:space="preserve">Hãy điền giá trị cho cột </t>
    </r>
    <r>
      <rPr>
        <b/>
        <sz val="12"/>
        <color theme="1"/>
        <rFont val="Times New Roman"/>
      </rPr>
      <t>Tên Sản Phẩm</t>
    </r>
    <r>
      <rPr>
        <sz val="12"/>
        <color theme="1"/>
        <rFont val="Times New Roman"/>
      </rPr>
      <t xml:space="preserve"> trong </t>
    </r>
    <r>
      <rPr>
        <b/>
        <sz val="12"/>
        <color theme="1"/>
        <rFont val="Times New Roman"/>
      </rPr>
      <t xml:space="preserve">Bảng Theo Dõi Tình Hình Sản Xuất </t>
    </r>
    <r>
      <rPr>
        <sz val="12"/>
        <color theme="1"/>
        <rFont val="Times New Roman"/>
      </rPr>
      <t xml:space="preserve">dựa vào </t>
    </r>
  </si>
  <si>
    <r>
      <rPr>
        <b/>
        <sz val="12"/>
        <color theme="1"/>
        <rFont val="Times New Roman"/>
      </rPr>
      <t>Mã Sản Phẩm</t>
    </r>
    <r>
      <rPr>
        <sz val="12"/>
        <color theme="1"/>
        <rFont val="Times New Roman"/>
      </rPr>
      <t xml:space="preserve"> và tra trong </t>
    </r>
    <r>
      <rPr>
        <b/>
        <sz val="12"/>
        <color theme="1"/>
        <rFont val="Times New Roman"/>
      </rPr>
      <t>Bảng Tra Tên Sản Phẩm và Đơn Giá Lắp Ráp</t>
    </r>
    <r>
      <rPr>
        <sz val="12"/>
        <color theme="1"/>
        <rFont val="Times New Roman"/>
      </rPr>
      <t>, biết rằng:</t>
    </r>
  </si>
  <si>
    <r>
      <rPr>
        <i/>
        <sz val="12"/>
        <color theme="1"/>
        <rFont val="Times New Roman"/>
      </rPr>
      <t xml:space="preserve">Trường hợp tra có </t>
    </r>
    <r>
      <rPr>
        <b/>
        <sz val="12"/>
        <color theme="1"/>
        <rFont val="Times New Roman"/>
      </rPr>
      <t xml:space="preserve">Mã Sản Phẩm </t>
    </r>
    <r>
      <rPr>
        <sz val="12"/>
        <color theme="1"/>
        <rFont val="Times New Roman"/>
      </rPr>
      <t>trong</t>
    </r>
    <r>
      <rPr>
        <i/>
        <sz val="12"/>
        <color theme="1"/>
        <rFont val="Times New Roman"/>
      </rPr>
      <t xml:space="preserve"> </t>
    </r>
    <r>
      <rPr>
        <b/>
        <sz val="12"/>
        <color theme="1"/>
        <rFont val="Times New Roman"/>
      </rPr>
      <t>Bảng Tra</t>
    </r>
    <r>
      <rPr>
        <i/>
        <sz val="12"/>
        <color theme="1"/>
        <rFont val="Times New Roman"/>
      </rPr>
      <t xml:space="preserve"> thì lấy giá trị </t>
    </r>
    <r>
      <rPr>
        <b/>
        <sz val="12"/>
        <color theme="1"/>
        <rFont val="Times New Roman"/>
      </rPr>
      <t>Tên Sản Phẩm</t>
    </r>
    <r>
      <rPr>
        <i/>
        <sz val="12"/>
        <color theme="1"/>
        <rFont val="Times New Roman"/>
      </rPr>
      <t xml:space="preserve"> tương ứng, </t>
    </r>
  </si>
  <si>
    <r>
      <rPr>
        <i/>
        <sz val="12"/>
        <color theme="1"/>
        <rFont val="Times New Roman"/>
      </rPr>
      <t xml:space="preserve">nếu không có thì quy vào loại </t>
    </r>
    <r>
      <rPr>
        <b/>
        <sz val="12"/>
        <color theme="1"/>
        <rFont val="Times New Roman"/>
      </rPr>
      <t>KHÁC</t>
    </r>
    <r>
      <rPr>
        <i/>
        <sz val="12"/>
        <color theme="1"/>
        <rFont val="Times New Roman"/>
      </rPr>
      <t xml:space="preserve"> và lấy </t>
    </r>
    <r>
      <rPr>
        <b/>
        <sz val="12"/>
        <color theme="1"/>
        <rFont val="Times New Roman"/>
      </rPr>
      <t>Tên Sản Phẩm</t>
    </r>
    <r>
      <rPr>
        <i/>
        <sz val="12"/>
        <color theme="1"/>
        <rFont val="Times New Roman"/>
      </rPr>
      <t xml:space="preserve"> là </t>
    </r>
    <r>
      <rPr>
        <b/>
        <sz val="12"/>
        <color theme="1"/>
        <rFont val="Times New Roman"/>
      </rPr>
      <t>Bóng đèn đặc biệt.</t>
    </r>
  </si>
  <si>
    <r>
      <rPr>
        <sz val="12"/>
        <color theme="1"/>
        <rFont val="Times New Roman"/>
      </rPr>
      <t xml:space="preserve">Tính </t>
    </r>
    <r>
      <rPr>
        <b/>
        <sz val="12"/>
        <color theme="1"/>
        <rFont val="Times New Roman"/>
      </rPr>
      <t>Tiền Công Lắp Ráp</t>
    </r>
    <r>
      <rPr>
        <sz val="12"/>
        <color theme="1"/>
        <rFont val="Times New Roman"/>
      </rPr>
      <t xml:space="preserve"> = </t>
    </r>
    <r>
      <rPr>
        <b/>
        <sz val="12"/>
        <color theme="1"/>
        <rFont val="Times New Roman"/>
      </rPr>
      <t>Số Lượng</t>
    </r>
    <r>
      <rPr>
        <sz val="12"/>
        <color theme="1"/>
        <rFont val="Times New Roman"/>
      </rPr>
      <t xml:space="preserve"> * </t>
    </r>
    <r>
      <rPr>
        <b/>
        <sz val="12"/>
        <color theme="1"/>
        <rFont val="Times New Roman"/>
      </rPr>
      <t>Đơn Giá Lắp Ráp</t>
    </r>
    <r>
      <rPr>
        <sz val="12"/>
        <color theme="1"/>
        <rFont val="Times New Roman"/>
      </rPr>
      <t xml:space="preserve">, trong đó </t>
    </r>
    <r>
      <rPr>
        <b/>
        <sz val="12"/>
        <color theme="1"/>
        <rFont val="Times New Roman"/>
      </rPr>
      <t>Đơn Giá Lắp Ráp</t>
    </r>
    <r>
      <rPr>
        <sz val="12"/>
        <color theme="1"/>
        <rFont val="Times New Roman"/>
      </rPr>
      <t xml:space="preserve"> cho mỗi loại sản phẩm</t>
    </r>
  </si>
  <si>
    <r>
      <rPr>
        <sz val="12"/>
        <color theme="1"/>
        <rFont val="Times New Roman"/>
      </rPr>
      <t xml:space="preserve">thi dựa vào </t>
    </r>
    <r>
      <rPr>
        <b/>
        <sz val="12"/>
        <color theme="1"/>
        <rFont val="Times New Roman"/>
      </rPr>
      <t>Tên Sản Phẩm</t>
    </r>
    <r>
      <rPr>
        <sz val="12"/>
        <color theme="1"/>
        <rFont val="Times New Roman"/>
      </rPr>
      <t xml:space="preserve"> trong </t>
    </r>
    <r>
      <rPr>
        <b/>
        <sz val="12"/>
        <color theme="1"/>
        <rFont val="Times New Roman"/>
      </rPr>
      <t xml:space="preserve">Bảng Theo Dõi Tình Hình Sản Xuất </t>
    </r>
    <r>
      <rPr>
        <sz val="12"/>
        <color theme="1"/>
        <rFont val="Times New Roman"/>
      </rPr>
      <t xml:space="preserve">và tra trong </t>
    </r>
    <r>
      <rPr>
        <b/>
        <sz val="12"/>
        <color theme="1"/>
        <rFont val="Times New Roman"/>
      </rPr>
      <t>Bảng Tra</t>
    </r>
  </si>
  <si>
    <t>Câu 3</t>
  </si>
  <si>
    <t>Sắp hạng theo tiền công lắp ráp từ cao xuống thấp</t>
  </si>
  <si>
    <t>Câu 4</t>
  </si>
  <si>
    <r>
      <rPr>
        <sz val="12"/>
        <color theme="1"/>
        <rFont val="Times New Roman"/>
      </rPr>
      <t xml:space="preserve">Tính </t>
    </r>
    <r>
      <rPr>
        <b/>
        <sz val="12"/>
        <color theme="1"/>
        <rFont val="Times New Roman"/>
      </rPr>
      <t>Tiền Thưởng</t>
    </r>
    <r>
      <rPr>
        <sz val="12"/>
        <color theme="1"/>
        <rFont val="Times New Roman"/>
      </rPr>
      <t xml:space="preserve"> cho mỗi nhân viên biết rằng :</t>
    </r>
  </si>
  <si>
    <r>
      <rPr>
        <sz val="12"/>
        <color theme="1"/>
        <rFont val="Times New Roman"/>
      </rPr>
      <t xml:space="preserve">- Thưởng </t>
    </r>
    <r>
      <rPr>
        <b/>
        <sz val="12"/>
        <color theme="1"/>
        <rFont val="Times New Roman"/>
      </rPr>
      <t>100000</t>
    </r>
    <r>
      <rPr>
        <sz val="12"/>
        <color theme="1"/>
        <rFont val="Times New Roman"/>
      </rPr>
      <t xml:space="preserve"> cho nhân viên nào có mức </t>
    </r>
    <r>
      <rPr>
        <b/>
        <sz val="12"/>
        <color theme="1"/>
        <rFont val="Times New Roman"/>
      </rPr>
      <t>Tiền Công Lắp Ráp cao nhất</t>
    </r>
    <r>
      <rPr>
        <sz val="12"/>
        <color theme="1"/>
        <rFont val="Times New Roman"/>
      </rPr>
      <t xml:space="preserve"> </t>
    </r>
  </si>
  <si>
    <r>
      <rPr>
        <sz val="12"/>
        <color theme="1"/>
        <rFont val="Times New Roman"/>
      </rPr>
      <t xml:space="preserve">- Thưởng </t>
    </r>
    <r>
      <rPr>
        <b/>
        <sz val="12"/>
        <color theme="1"/>
        <rFont val="Times New Roman"/>
      </rPr>
      <t>50000</t>
    </r>
    <r>
      <rPr>
        <sz val="12"/>
        <color theme="1"/>
        <rFont val="Times New Roman"/>
      </rPr>
      <t xml:space="preserve"> cho nhân viên nào đạt được mức </t>
    </r>
    <r>
      <rPr>
        <b/>
        <sz val="12"/>
        <color theme="1"/>
        <rFont val="Times New Roman"/>
      </rPr>
      <t>Tiền Công Lắp Ráp</t>
    </r>
    <r>
      <rPr>
        <sz val="12"/>
        <color theme="1"/>
        <rFont val="Times New Roman"/>
      </rPr>
      <t xml:space="preserve"> cao </t>
    </r>
    <r>
      <rPr>
        <b/>
        <sz val="12"/>
        <color theme="1"/>
        <rFont val="Times New Roman"/>
      </rPr>
      <t>kế tiếp</t>
    </r>
    <r>
      <rPr>
        <sz val="12"/>
        <color theme="1"/>
        <rFont val="Times New Roman"/>
      </rPr>
      <t xml:space="preserve"> </t>
    </r>
  </si>
  <si>
    <t>- Các trường hợp còn lại thì không thưởng</t>
  </si>
  <si>
    <t>BẢNG THỐNG KÊ TIÊU THỤ SẢN PHẨM</t>
  </si>
  <si>
    <t>Mã SP</t>
  </si>
  <si>
    <t>Đại Lý</t>
  </si>
  <si>
    <t>Tên Hàng - Tên Hãng Sản Xuất</t>
  </si>
  <si>
    <t>Đơn Giá</t>
  </si>
  <si>
    <t>Số Lượng</t>
  </si>
  <si>
    <t>Thành Tiền</t>
  </si>
  <si>
    <t>CDR-SS</t>
  </si>
  <si>
    <t>KEY-DE</t>
  </si>
  <si>
    <t>HNN</t>
  </si>
  <si>
    <t>MOU-IM</t>
  </si>
  <si>
    <t>DNA</t>
  </si>
  <si>
    <t>KEY-SS</t>
  </si>
  <si>
    <t>CDR-DE</t>
  </si>
  <si>
    <t>BẢNG TRA TÊN HÀNG, TÊN HÃNG SẢN XUẤT VÀ ĐƠN GIÁ</t>
  </si>
  <si>
    <t>Mã Hãng - Tên Hãng Sản Xuất</t>
  </si>
  <si>
    <t>SS</t>
  </si>
  <si>
    <t>IM</t>
  </si>
  <si>
    <t>DE</t>
  </si>
  <si>
    <t>Mã Hàng</t>
  </si>
  <si>
    <t>Tên Hàng</t>
  </si>
  <si>
    <t>SamSung</t>
  </si>
  <si>
    <t>IBM</t>
  </si>
  <si>
    <t>Dell</t>
  </si>
  <si>
    <t>CDR</t>
  </si>
  <si>
    <t>CDRom</t>
  </si>
  <si>
    <t>KEY</t>
  </si>
  <si>
    <t>Keyboard</t>
  </si>
  <si>
    <t>MOU</t>
  </si>
  <si>
    <t>Mouse</t>
  </si>
  <si>
    <r>
      <rPr>
        <sz val="12"/>
        <color theme="1"/>
        <rFont val="Times New Roman"/>
      </rPr>
      <t xml:space="preserve">Căn cứ vào </t>
    </r>
    <r>
      <rPr>
        <b/>
        <i/>
        <sz val="12"/>
        <color theme="1"/>
        <rFont val="Times New Roman"/>
      </rPr>
      <t xml:space="preserve">3 ký tự bên trái </t>
    </r>
    <r>
      <rPr>
        <sz val="12"/>
        <color theme="1"/>
        <rFont val="Times New Roman"/>
      </rPr>
      <t xml:space="preserve">và </t>
    </r>
    <r>
      <rPr>
        <b/>
        <i/>
        <sz val="12"/>
        <color theme="1"/>
        <rFont val="Times New Roman"/>
      </rPr>
      <t xml:space="preserve">2 ký tự bên phải </t>
    </r>
    <r>
      <rPr>
        <sz val="12"/>
        <color theme="1"/>
        <rFont val="Times New Roman"/>
      </rPr>
      <t xml:space="preserve">của </t>
    </r>
    <r>
      <rPr>
        <b/>
        <sz val="12"/>
        <color theme="1"/>
        <rFont val="Times New Roman"/>
      </rPr>
      <t>Mã SP</t>
    </r>
    <r>
      <rPr>
        <sz val="12"/>
        <color theme="1"/>
        <rFont val="Times New Roman"/>
      </rPr>
      <t xml:space="preserve"> trong </t>
    </r>
    <r>
      <rPr>
        <b/>
        <sz val="12"/>
        <color theme="1"/>
        <rFont val="Times New Roman"/>
      </rPr>
      <t>Bảng 1</t>
    </r>
    <r>
      <rPr>
        <sz val="12"/>
        <color theme="1"/>
        <rFont val="Times New Roman"/>
      </rPr>
      <t>,</t>
    </r>
  </si>
  <si>
    <r>
      <rPr>
        <sz val="12"/>
        <color theme="1"/>
        <rFont val="Times New Roman"/>
      </rPr>
      <t xml:space="preserve">hãy tra trong </t>
    </r>
    <r>
      <rPr>
        <b/>
        <sz val="12"/>
        <color theme="1"/>
        <rFont val="Times New Roman"/>
      </rPr>
      <t>Bảng 2</t>
    </r>
    <r>
      <rPr>
        <sz val="12"/>
        <color theme="1"/>
        <rFont val="Times New Roman"/>
      </rPr>
      <t xml:space="preserve"> để điền giá trị cho cột </t>
    </r>
    <r>
      <rPr>
        <b/>
        <sz val="12"/>
        <color theme="1"/>
        <rFont val="Times New Roman"/>
      </rPr>
      <t>Tên Hàng - Tên Hãng Sản Xuất</t>
    </r>
    <r>
      <rPr>
        <sz val="12"/>
        <color theme="1"/>
        <rFont val="Times New Roman"/>
      </rPr>
      <t>.</t>
    </r>
  </si>
  <si>
    <t>Ví dụ : Mã SP là CDR-SS thì có Tên Hàng - Tên Hãng Sản Xuất là : CDRom - Sam Sung</t>
  </si>
  <si>
    <r>
      <rPr>
        <sz val="12"/>
        <color theme="1"/>
        <rFont val="Times New Roman"/>
      </rPr>
      <t xml:space="preserve">Hãy điền </t>
    </r>
    <r>
      <rPr>
        <b/>
        <sz val="12"/>
        <color theme="1"/>
        <rFont val="Times New Roman"/>
      </rPr>
      <t xml:space="preserve">Đơn Giá </t>
    </r>
    <r>
      <rPr>
        <sz val="12"/>
        <color theme="1"/>
        <rFont val="Times New Roman"/>
      </rPr>
      <t xml:space="preserve">cho mỗi mặt hàng dựa vào </t>
    </r>
    <r>
      <rPr>
        <b/>
        <sz val="12"/>
        <color theme="1"/>
        <rFont val="Times New Roman"/>
      </rPr>
      <t>Mã SP</t>
    </r>
    <r>
      <rPr>
        <sz val="12"/>
        <color theme="1"/>
        <rFont val="Times New Roman"/>
      </rPr>
      <t xml:space="preserve"> ở </t>
    </r>
    <r>
      <rPr>
        <b/>
        <sz val="12"/>
        <color theme="1"/>
        <rFont val="Times New Roman"/>
      </rPr>
      <t>Bảng 1</t>
    </r>
    <r>
      <rPr>
        <sz val="12"/>
        <color theme="1"/>
        <rFont val="Times New Roman"/>
      </rPr>
      <t xml:space="preserve"> và tra ở </t>
    </r>
    <r>
      <rPr>
        <b/>
        <sz val="12"/>
        <color theme="1"/>
        <rFont val="Times New Roman"/>
      </rPr>
      <t>Bảng 2</t>
    </r>
    <r>
      <rPr>
        <sz val="12"/>
        <color theme="1"/>
        <rFont val="Times New Roman"/>
      </rPr>
      <t>.</t>
    </r>
  </si>
  <si>
    <r>
      <rPr>
        <sz val="12"/>
        <color theme="1"/>
        <rFont val="Times New Roman"/>
      </rPr>
      <t xml:space="preserve">Tính </t>
    </r>
    <r>
      <rPr>
        <b/>
        <sz val="12"/>
        <color theme="1"/>
        <rFont val="Times New Roman"/>
      </rPr>
      <t>Thành Tiền</t>
    </r>
    <r>
      <rPr>
        <sz val="12"/>
        <color theme="1"/>
        <rFont val="Times New Roman"/>
      </rPr>
      <t xml:space="preserve"> = </t>
    </r>
    <r>
      <rPr>
        <b/>
        <sz val="12"/>
        <color theme="1"/>
        <rFont val="Times New Roman"/>
      </rPr>
      <t>Số Lượng *</t>
    </r>
    <r>
      <rPr>
        <sz val="12"/>
        <color theme="1"/>
        <rFont val="Times New Roman"/>
      </rPr>
      <t xml:space="preserve"> </t>
    </r>
    <r>
      <rPr>
        <b/>
        <sz val="12"/>
        <color theme="1"/>
        <rFont val="Times New Roman"/>
      </rPr>
      <t>Đơn Giá</t>
    </r>
    <r>
      <rPr>
        <sz val="12"/>
        <color theme="1"/>
        <rFont val="Times New Roman"/>
      </rPr>
      <t>.</t>
    </r>
  </si>
  <si>
    <t>BẢNG THỐNG KÊ TIÊU THỤ GẠO</t>
  </si>
  <si>
    <t>KD-NĐ</t>
  </si>
  <si>
    <t>QX-TH</t>
  </si>
  <si>
    <t>BH -TB</t>
  </si>
  <si>
    <t>KD-TH</t>
  </si>
  <si>
    <t>BH-NĐ</t>
  </si>
  <si>
    <t>BH-TH</t>
  </si>
  <si>
    <t>Mã gạo - Tên tỉnh sản xuất</t>
  </si>
  <si>
    <t>NĐ</t>
  </si>
  <si>
    <t>Nam Định</t>
  </si>
  <si>
    <t>Thanh Hóa</t>
  </si>
  <si>
    <t>Thái Bình</t>
  </si>
  <si>
    <t>KD</t>
  </si>
  <si>
    <t>Khang Dân</t>
  </si>
  <si>
    <t>QX</t>
  </si>
  <si>
    <t>Q5</t>
  </si>
  <si>
    <t>BH</t>
  </si>
  <si>
    <t>Bắc Hương</t>
  </si>
  <si>
    <r>
      <rPr>
        <sz val="12"/>
        <color theme="1"/>
        <rFont val="Times New Roman"/>
      </rPr>
      <t xml:space="preserve">Căn cứ vào </t>
    </r>
    <r>
      <rPr>
        <b/>
        <i/>
        <sz val="12"/>
        <color rgb="FF0000FF"/>
        <rFont val="Times New Roman"/>
      </rPr>
      <t xml:space="preserve">3 ký tự bên trái </t>
    </r>
    <r>
      <rPr>
        <sz val="12"/>
        <color theme="1"/>
        <rFont val="Times New Roman"/>
      </rPr>
      <t xml:space="preserve">và </t>
    </r>
    <r>
      <rPr>
        <b/>
        <i/>
        <sz val="12"/>
        <color rgb="FF0000FF"/>
        <rFont val="Times New Roman"/>
      </rPr>
      <t xml:space="preserve">2 ký tự bên phải </t>
    </r>
    <r>
      <rPr>
        <sz val="12"/>
        <color theme="1"/>
        <rFont val="Times New Roman"/>
      </rPr>
      <t xml:space="preserve">của </t>
    </r>
    <r>
      <rPr>
        <b/>
        <sz val="12"/>
        <color rgb="FF800080"/>
        <rFont val="Times New Roman"/>
      </rPr>
      <t>Mã SP</t>
    </r>
    <r>
      <rPr>
        <sz val="12"/>
        <color theme="1"/>
        <rFont val="Times New Roman"/>
      </rPr>
      <t xml:space="preserve"> trong </t>
    </r>
    <r>
      <rPr>
        <b/>
        <sz val="12"/>
        <color rgb="FFFF0000"/>
        <rFont val="Times New Roman"/>
      </rPr>
      <t>Bảng 1</t>
    </r>
    <r>
      <rPr>
        <sz val="12"/>
        <color rgb="FFFF0000"/>
        <rFont val="Times New Roman"/>
      </rPr>
      <t>,</t>
    </r>
  </si>
  <si>
    <r>
      <rPr>
        <sz val="12"/>
        <color theme="1"/>
        <rFont val="Times New Roman"/>
      </rPr>
      <t xml:space="preserve">hãy tra trong </t>
    </r>
    <r>
      <rPr>
        <b/>
        <sz val="12"/>
        <color rgb="FFFF0000"/>
        <rFont val="Times New Roman"/>
      </rPr>
      <t>Bảng 2</t>
    </r>
    <r>
      <rPr>
        <sz val="12"/>
        <color theme="1"/>
        <rFont val="Times New Roman"/>
      </rPr>
      <t xml:space="preserve"> để điền giá trị cho cột </t>
    </r>
    <r>
      <rPr>
        <b/>
        <sz val="12"/>
        <color rgb="FF800000"/>
        <rFont val="Times New Roman"/>
      </rPr>
      <t>Tên Hàng - Tên Hãng Sản Xuất</t>
    </r>
    <r>
      <rPr>
        <sz val="12"/>
        <color theme="1"/>
        <rFont val="Times New Roman"/>
      </rPr>
      <t>.</t>
    </r>
  </si>
  <si>
    <t>ví dụ KD-NĐ tức là gạo Khang Dân - Nam Định</t>
  </si>
  <si>
    <r>
      <rPr>
        <sz val="12"/>
        <color theme="1"/>
        <rFont val="Times New Roman"/>
      </rPr>
      <t xml:space="preserve">Hãy điền </t>
    </r>
    <r>
      <rPr>
        <b/>
        <sz val="12"/>
        <color rgb="FFFF0000"/>
        <rFont val="Times New Roman"/>
      </rPr>
      <t xml:space="preserve">Đơn Giá </t>
    </r>
    <r>
      <rPr>
        <sz val="12"/>
        <color theme="1"/>
        <rFont val="Times New Roman"/>
      </rPr>
      <t xml:space="preserve">cho mỗi mặt hàng dựa vào </t>
    </r>
    <r>
      <rPr>
        <b/>
        <sz val="12"/>
        <color rgb="FF993366"/>
        <rFont val="Times New Roman"/>
      </rPr>
      <t>Mã SP</t>
    </r>
    <r>
      <rPr>
        <sz val="12"/>
        <color theme="1"/>
        <rFont val="Times New Roman"/>
      </rPr>
      <t xml:space="preserve"> ở </t>
    </r>
    <r>
      <rPr>
        <b/>
        <sz val="12"/>
        <color rgb="FF0000FF"/>
        <rFont val="Times New Roman"/>
      </rPr>
      <t>Bảng 1</t>
    </r>
    <r>
      <rPr>
        <sz val="12"/>
        <color theme="1"/>
        <rFont val="Times New Roman"/>
      </rPr>
      <t xml:space="preserve"> và tra ở </t>
    </r>
    <r>
      <rPr>
        <b/>
        <sz val="12"/>
        <color rgb="FF0000FF"/>
        <rFont val="Times New Roman"/>
      </rPr>
      <t>Bảng 2</t>
    </r>
    <r>
      <rPr>
        <sz val="12"/>
        <color theme="1"/>
        <rFont val="Times New Roman"/>
      </rPr>
      <t>.</t>
    </r>
  </si>
  <si>
    <r>
      <rPr>
        <sz val="12"/>
        <color theme="1"/>
        <rFont val="Times New Roman"/>
      </rPr>
      <t xml:space="preserve">Tính </t>
    </r>
    <r>
      <rPr>
        <b/>
        <sz val="12"/>
        <color rgb="FFFF0000"/>
        <rFont val="Times New Roman"/>
      </rPr>
      <t>Thành Tiền</t>
    </r>
    <r>
      <rPr>
        <sz val="12"/>
        <color theme="1"/>
        <rFont val="Times New Roman"/>
      </rPr>
      <t xml:space="preserve"> = </t>
    </r>
    <r>
      <rPr>
        <b/>
        <sz val="12"/>
        <color rgb="FF000080"/>
        <rFont val="Times New Roman"/>
      </rPr>
      <t>Số Lượng *</t>
    </r>
    <r>
      <rPr>
        <sz val="12"/>
        <color theme="1"/>
        <rFont val="Times New Roman"/>
      </rPr>
      <t xml:space="preserve"> </t>
    </r>
    <r>
      <rPr>
        <b/>
        <sz val="12"/>
        <color rgb="FF993366"/>
        <rFont val="Times New Roman"/>
      </rPr>
      <t>Đơn Giá</t>
    </r>
    <r>
      <rPr>
        <sz val="12"/>
        <color theme="1"/>
        <rFont val="Times New Roman"/>
      </rPr>
      <t>.</t>
    </r>
  </si>
  <si>
    <t>BÁO CÁO DOANH THU BÁN XĂNG</t>
  </si>
  <si>
    <t>Chuyên Chở</t>
  </si>
  <si>
    <t>XL1</t>
  </si>
  <si>
    <t>DS1</t>
  </si>
  <si>
    <t>NS3</t>
  </si>
  <si>
    <t>DL1</t>
  </si>
  <si>
    <t>XS2</t>
  </si>
  <si>
    <t>XS1</t>
  </si>
  <si>
    <t>BẢNG TRA THÔNG TIN</t>
  </si>
  <si>
    <t>Mã 
Hàng Hoá</t>
  </si>
  <si>
    <t>Tên 
Hàng Hoá</t>
  </si>
  <si>
    <t>Mã 
Chuyên Chở</t>
  </si>
  <si>
    <t>Phần Trăm
Chuyên Chở</t>
  </si>
  <si>
    <t>X</t>
  </si>
  <si>
    <t>N</t>
  </si>
  <si>
    <t>Giá Sĩ</t>
  </si>
  <si>
    <t>Giá Lẻ</t>
  </si>
  <si>
    <r>
      <rPr>
        <sz val="12"/>
        <color theme="1"/>
        <rFont val="Times New Roman"/>
      </rPr>
      <t xml:space="preserve">Điền các số liệu cho cột </t>
    </r>
    <r>
      <rPr>
        <b/>
        <sz val="12"/>
        <color theme="1"/>
        <rFont val="Times New Roman"/>
      </rPr>
      <t>Tên Hàng</t>
    </r>
    <r>
      <rPr>
        <sz val="12"/>
        <color theme="1"/>
        <rFont val="Times New Roman"/>
      </rPr>
      <t xml:space="preserve"> dựa vào ký tự đầu tiên bên trái của </t>
    </r>
    <r>
      <rPr>
        <b/>
        <sz val="12"/>
        <color theme="1"/>
        <rFont val="Times New Roman"/>
      </rPr>
      <t>Mã Hàng</t>
    </r>
    <r>
      <rPr>
        <sz val="12"/>
        <color theme="1"/>
        <rFont val="Times New Roman"/>
      </rPr>
      <t xml:space="preserve"> và tra trong </t>
    </r>
    <r>
      <rPr>
        <b/>
        <sz val="12"/>
        <color theme="1"/>
        <rFont val="Times New Roman"/>
      </rPr>
      <t>Bảng Tra Thông Tin</t>
    </r>
  </si>
  <si>
    <r>
      <rPr>
        <sz val="12"/>
        <color theme="1"/>
        <rFont val="Times New Roman"/>
      </rPr>
      <t xml:space="preserve">Tính </t>
    </r>
    <r>
      <rPr>
        <b/>
        <sz val="12"/>
        <color theme="1"/>
        <rFont val="Times New Roman"/>
      </rPr>
      <t>Thành Tiền= Số Lượng * Đơn Giá</t>
    </r>
    <r>
      <rPr>
        <sz val="12"/>
        <color theme="1"/>
        <rFont val="Times New Roman"/>
      </rPr>
      <t xml:space="preserve">, biết rằng </t>
    </r>
    <r>
      <rPr>
        <b/>
        <sz val="12"/>
        <color theme="1"/>
        <rFont val="Times New Roman"/>
      </rPr>
      <t>Đơn Giá</t>
    </r>
    <r>
      <rPr>
        <sz val="12"/>
        <color theme="1"/>
        <rFont val="Times New Roman"/>
      </rPr>
      <t xml:space="preserve"> được tra theo </t>
    </r>
    <r>
      <rPr>
        <b/>
        <sz val="12"/>
        <color theme="1"/>
        <rFont val="Times New Roman"/>
      </rPr>
      <t>Bảng Tra Thông Tin</t>
    </r>
  </si>
  <si>
    <r>
      <rPr>
        <sz val="12"/>
        <color theme="1"/>
        <rFont val="Times New Roman"/>
      </rPr>
      <t xml:space="preserve">và </t>
    </r>
    <r>
      <rPr>
        <b/>
        <i/>
        <sz val="12"/>
        <color theme="1"/>
        <rFont val="Times New Roman"/>
      </rPr>
      <t xml:space="preserve">ký tự giữa </t>
    </r>
    <r>
      <rPr>
        <sz val="12"/>
        <color theme="1"/>
        <rFont val="Times New Roman"/>
      </rPr>
      <t xml:space="preserve">trong </t>
    </r>
    <r>
      <rPr>
        <b/>
        <sz val="12"/>
        <color theme="1"/>
        <rFont val="Times New Roman"/>
      </rPr>
      <t>Mã Hàng</t>
    </r>
    <r>
      <rPr>
        <sz val="12"/>
        <color theme="1"/>
        <rFont val="Times New Roman"/>
      </rPr>
      <t xml:space="preserve"> quy định </t>
    </r>
    <r>
      <rPr>
        <b/>
        <sz val="12"/>
        <color theme="1"/>
        <rFont val="Times New Roman"/>
      </rPr>
      <t>Gía Lẽ</t>
    </r>
    <r>
      <rPr>
        <b/>
        <i/>
        <sz val="12"/>
        <color theme="1"/>
        <rFont val="Times New Roman"/>
      </rPr>
      <t xml:space="preserve"> </t>
    </r>
    <r>
      <rPr>
        <b/>
        <sz val="12"/>
        <color theme="1"/>
        <rFont val="Times New Roman"/>
      </rPr>
      <t>(L)</t>
    </r>
    <r>
      <rPr>
        <sz val="12"/>
        <color theme="1"/>
        <rFont val="Times New Roman"/>
      </rPr>
      <t xml:space="preserve"> hay </t>
    </r>
    <r>
      <rPr>
        <b/>
        <sz val="12"/>
        <color theme="1"/>
        <rFont val="Times New Roman"/>
      </rPr>
      <t xml:space="preserve">Gía Sĩ (S) </t>
    </r>
    <r>
      <rPr>
        <sz val="12"/>
        <color theme="1"/>
        <rFont val="Times New Roman"/>
      </rPr>
      <t>cho từng mặt hàng</t>
    </r>
  </si>
  <si>
    <r>
      <rPr>
        <sz val="12"/>
        <color theme="1"/>
        <rFont val="Times New Roman"/>
      </rPr>
      <t xml:space="preserve">Tính </t>
    </r>
    <r>
      <rPr>
        <b/>
        <sz val="12"/>
        <color theme="1"/>
        <rFont val="Times New Roman"/>
      </rPr>
      <t>Chuyên Chở = Thành Tiền * Phần Trăm Chuyên Chở</t>
    </r>
    <r>
      <rPr>
        <sz val="12"/>
        <color theme="1"/>
        <rFont val="Times New Roman"/>
      </rPr>
      <t xml:space="preserve">, trong đó </t>
    </r>
    <r>
      <rPr>
        <b/>
        <sz val="12"/>
        <color theme="1"/>
        <rFont val="Times New Roman"/>
      </rPr>
      <t>Phần Trăm Chuyên Chở</t>
    </r>
    <r>
      <rPr>
        <sz val="12"/>
        <color theme="1"/>
        <rFont val="Times New Roman"/>
      </rPr>
      <t xml:space="preserve"> của từng  </t>
    </r>
  </si>
  <si>
    <r>
      <rPr>
        <sz val="12"/>
        <color theme="1"/>
        <rFont val="Times New Roman"/>
      </rPr>
      <t xml:space="preserve">loại mặt hàng thì dựa vào </t>
    </r>
    <r>
      <rPr>
        <b/>
        <i/>
        <sz val="12"/>
        <color theme="1"/>
        <rFont val="Times New Roman"/>
      </rPr>
      <t xml:space="preserve">ký tự đầu tiên bên phải </t>
    </r>
    <r>
      <rPr>
        <sz val="12"/>
        <color theme="1"/>
        <rFont val="Times New Roman"/>
      </rPr>
      <t xml:space="preserve">của </t>
    </r>
    <r>
      <rPr>
        <b/>
        <sz val="12"/>
        <color theme="1"/>
        <rFont val="Times New Roman"/>
      </rPr>
      <t>Mã Hàng</t>
    </r>
    <r>
      <rPr>
        <sz val="12"/>
        <color theme="1"/>
        <rFont val="Times New Roman"/>
      </rPr>
      <t xml:space="preserve"> và tra theo </t>
    </r>
    <r>
      <rPr>
        <b/>
        <sz val="12"/>
        <color theme="1"/>
        <rFont val="Times New Roman"/>
      </rPr>
      <t>Bảng Tra Thông Tin</t>
    </r>
  </si>
  <si>
    <r>
      <rPr>
        <sz val="12"/>
        <color theme="1"/>
        <rFont val="Times New Roman"/>
      </rPr>
      <t xml:space="preserve">Tính </t>
    </r>
    <r>
      <rPr>
        <b/>
        <sz val="12"/>
        <color theme="1"/>
        <rFont val="Times New Roman"/>
      </rPr>
      <t>Phải Trả = Thanh Tiền + Chuyên Chở</t>
    </r>
    <r>
      <rPr>
        <sz val="12"/>
        <color theme="1"/>
        <rFont val="Times New Roman"/>
      </rPr>
      <t xml:space="preserve"> và tính </t>
    </r>
    <r>
      <rPr>
        <b/>
        <sz val="12"/>
        <color theme="1"/>
        <rFont val="Times New Roman"/>
      </rPr>
      <t>Tổng Cộng</t>
    </r>
    <r>
      <rPr>
        <sz val="12"/>
        <color theme="1"/>
        <rFont val="Times New Roman"/>
      </rPr>
      <t xml:space="preserve"> cho các cột </t>
    </r>
    <r>
      <rPr>
        <b/>
        <sz val="12"/>
        <color theme="1"/>
        <rFont val="Times New Roman"/>
      </rPr>
      <t>Số Lượng, Thành Tiền</t>
    </r>
    <r>
      <rPr>
        <sz val="12"/>
        <color theme="1"/>
        <rFont val="Times New Roman"/>
      </rPr>
      <t xml:space="preserve">,  </t>
    </r>
  </si>
  <si>
    <r>
      <rPr>
        <b/>
        <sz val="12"/>
        <color theme="1"/>
        <rFont val="Times New Roman"/>
      </rPr>
      <t>Chuyên Chở</t>
    </r>
    <r>
      <rPr>
        <sz val="12"/>
        <color theme="1"/>
        <rFont val="Times New Roman"/>
      </rPr>
      <t xml:space="preserve"> và </t>
    </r>
    <r>
      <rPr>
        <b/>
        <sz val="12"/>
        <color theme="1"/>
        <rFont val="Times New Roman"/>
      </rPr>
      <t>Phải Trả</t>
    </r>
  </si>
  <si>
    <t>BẢNG CHI TIẾT THÔNG TIN KHÁCH HÀNG CỦA 1  KHÁCH SẠN</t>
  </si>
  <si>
    <t xml:space="preserve">Họ </t>
  </si>
  <si>
    <t>Tên</t>
  </si>
  <si>
    <t xml:space="preserve">Ngày đến </t>
  </si>
  <si>
    <t>Tiền ăn</t>
  </si>
  <si>
    <t>ĐGT</t>
  </si>
  <si>
    <t>ĐGN</t>
  </si>
  <si>
    <t>L1A-F3</t>
  </si>
  <si>
    <t>1, Ghép họ và tên cho cột Họ tên, chuyển sang chữ hoa.</t>
  </si>
  <si>
    <t>L2A-F1</t>
  </si>
  <si>
    <t>HD: dùng dấu &amp; để ghép và hàm UPPER</t>
  </si>
  <si>
    <t>L1A-F2</t>
  </si>
  <si>
    <t>2. Lập công thức tính số liệu cho cột tiện ăn, biết : Tiền ăn = số ngày ở* đơn giá khẩu phần ăn</t>
  </si>
  <si>
    <t>Huỳnh</t>
  </si>
  <si>
    <t>Biết 2 ký tự cuối của Mã số là Mã Phần ăn</t>
  </si>
  <si>
    <t>Đình</t>
  </si>
  <si>
    <t>L1B-F3</t>
  </si>
  <si>
    <t>HD: Dùng hàm Hlookup, với trị dò là Mã Phần An, bảng dò là biểu giá khẩu phần ăn</t>
  </si>
  <si>
    <t>Phan</t>
  </si>
  <si>
    <t>Phúc</t>
  </si>
  <si>
    <t>L2B-F2</t>
  </si>
  <si>
    <t xml:space="preserve">3. Thêm cột Số Tuần vào bên trái cột ĐGT. Lập công thức cho cột số tuần, </t>
  </si>
  <si>
    <t>Hà Bảo</t>
  </si>
  <si>
    <t>biết số tuần là số ngày ở được đổi ra tuần lễ (không tính các ngày lẻ)</t>
  </si>
  <si>
    <t>Phạm</t>
  </si>
  <si>
    <t>L2B-F3</t>
  </si>
  <si>
    <t>HD: Dùng hàm Int để bỏ phần lẻ sau khi chia số ngày ở cho 7</t>
  </si>
  <si>
    <t>Quốc</t>
  </si>
  <si>
    <t>L1B-F1</t>
  </si>
  <si>
    <t>4. Lập công thức cho cột ĐGT (Đơn Giá Tuần)</t>
  </si>
  <si>
    <t>Bùi Thế</t>
  </si>
  <si>
    <t>Sự</t>
  </si>
  <si>
    <t>L1B-F2</t>
  </si>
  <si>
    <t>HD: Dùng hàm Vlookup với trị dò là 3 ký tự đầu bên trái của Mã số, Bảng dò là Biểu giá phòng</t>
  </si>
  <si>
    <t>5. Thêm cột số ngày lẻ vào bên trái cột ĐGN. Lập công thức cho cột số ngày lẻ biết</t>
  </si>
  <si>
    <t>Số ngày lẻ là số ngày ở còn lại sau khi đã đổi ra tuần</t>
  </si>
  <si>
    <t>BIỂU GIÁ PHÒNG</t>
  </si>
  <si>
    <t>HD: Dùng hàm Mod lấy về số dư  của phép chia số ngày ở cho 7</t>
  </si>
  <si>
    <t>Loại phòng</t>
  </si>
  <si>
    <t>6. Lập công thức cho cột ĐGN (Đơn Giá Ngày)</t>
  </si>
  <si>
    <t>L1A</t>
  </si>
  <si>
    <t>L1B</t>
  </si>
  <si>
    <t>7. Chèn thêm cột tiền phòng vào bên trái cột tổng cộng</t>
  </si>
  <si>
    <t>L2A</t>
  </si>
  <si>
    <t>Tính Tiền phòng = ĐGT* Số Tuần + ĐGN * Số ngày lẻ. Định dạng có dấu phân cách hàng ngàn và có chữ VNĐ phía sau</t>
  </si>
  <si>
    <t>L2B</t>
  </si>
  <si>
    <t>HD: Dùng format - cell để định dạng</t>
  </si>
  <si>
    <t>8. Thêm cột giảm giá vào bên trái cột tổng cộng. Tính Cột giảm giá biết</t>
  </si>
  <si>
    <t>Nếu số ngày ở từ 15 ngày trở lên thì giảm giá 10% Tiền phòng</t>
  </si>
  <si>
    <t>BIỂU GIÁ KHẨU PHẦN ĂN</t>
  </si>
  <si>
    <t>Nếu số tháng đến trong tháng 4 thì giảm giá 5% Tiền phòng</t>
  </si>
  <si>
    <t>Mã phần ăn</t>
  </si>
  <si>
    <t>F1</t>
  </si>
  <si>
    <t>F2</t>
  </si>
  <si>
    <t>F3</t>
  </si>
  <si>
    <t>Còn lại không giảm</t>
  </si>
  <si>
    <t>HD: Dùng if lồng kết hợp hàm month để lấy tháng</t>
  </si>
  <si>
    <t>9. Tính cột tổng cộng bằng = Tiền ăn + Tiền Phòng - Giảm Giá. Làm tròn đến số hàng ngàn.</t>
  </si>
  <si>
    <t>BẢNG THỐNG KÊ 1</t>
  </si>
  <si>
    <t>BẢNG THỐNG KÊ 2</t>
  </si>
  <si>
    <t>HD: Dùng hàm ROUND để làm tròn</t>
  </si>
  <si>
    <t>Doanh thu</t>
  </si>
  <si>
    <t>10. Lập công thức tính doanh thu theo từng phòng ở Bảng Thống kê</t>
  </si>
  <si>
    <t>HD: Dùng hàm SUMIF</t>
  </si>
  <si>
    <t>11. Lập công thức đếm số người chi trả tổng cộng &gt;3000000 ở Bảng Thống kê</t>
  </si>
  <si>
    <t>HD: Dùng hàm COUNTIF</t>
  </si>
  <si>
    <t>12, Định dạng ngày đến và ngày đi theo dạng ngày-tháng-năm</t>
  </si>
  <si>
    <t>13. Sắp xếp bảng chi tiết khách hàng theo mã số tăng dần, nếu trùng thì sắp theo tổng cộng giảm dần</t>
  </si>
  <si>
    <t>HD: Dùng DATA - SORT</t>
  </si>
  <si>
    <t>ĐIỂM CHUẨN</t>
  </si>
  <si>
    <t>ĐIỂM HỌC BỔNG</t>
  </si>
  <si>
    <t>Mã ngành</t>
  </si>
  <si>
    <t>Tên ngành</t>
  </si>
  <si>
    <t>Điểm tuyển</t>
  </si>
  <si>
    <t>ĐIỂM TAY NGHỀ</t>
  </si>
  <si>
    <t>HOẶC ĐẠT DANH HIỆU KHÁC</t>
  </si>
  <si>
    <t>Mã loại</t>
  </si>
  <si>
    <t>Tên loại</t>
  </si>
  <si>
    <t>Điểm cộng thêm</t>
  </si>
  <si>
    <t>ĐIỂM ƯU TIÊN THEO KHU VỰC</t>
  </si>
  <si>
    <t>Học sinh giỏi cấp toàn quốc</t>
  </si>
  <si>
    <t>Mã khu vực</t>
  </si>
  <si>
    <t>Tên khu vực</t>
  </si>
  <si>
    <t>Học sinh giỏi cấp tỉnh</t>
  </si>
  <si>
    <t>VS</t>
  </si>
  <si>
    <t>Vùng sâu</t>
  </si>
  <si>
    <t>Đạt kì thi tay nghề</t>
  </si>
  <si>
    <t>VX</t>
  </si>
  <si>
    <t>Vùng xa</t>
  </si>
  <si>
    <t>Miền núi</t>
  </si>
  <si>
    <t>KẾT QỦA TUYỂN SINH</t>
  </si>
  <si>
    <t>Số thí sinh từng ngành:</t>
  </si>
  <si>
    <t>Tổng điểm thí sinh đạt</t>
  </si>
  <si>
    <t>2. Tính tổng điểm thí sinh đạt được biết rằng:</t>
  </si>
  <si>
    <t>Tổng điểm = tổng 3 cột điểm + điểm ưu tiên theo khu vực + điểm ưu tiên tay nghể 
hoặc đạt các danh hiệu khác</t>
  </si>
  <si>
    <t>Trong đó:</t>
  </si>
  <si>
    <t>- Thí sinh thi ngành nào thì cột điểm ngành đó sẽ được tính hệ số 2</t>
  </si>
  <si>
    <t>- Thí sinh được hưởng điểm ưu tiên theo khu vực nếu có mã 
số trùng với bảng điểm ưu tiên theo khu vực, ngược lại thì lấy 0.</t>
  </si>
  <si>
    <t>- Thí sinh được hưởng điểm ưu tiên tay nghề hoặc đạt danh hiệu học sinh giỏi tùy theo kí tự thứ hai 
tính từ trái trong mã số so với bảng điểm ưu tiên theo tay nghề bên trên.</t>
  </si>
  <si>
    <t>4. Xét học bổng cho từng thí sinh dựa vào điểm tổng cộng và bảng tiêu chuẩn học bổng 
tương ứng với từng ngành (chỉ xét cho những thí sinh có kết quả “đậu” mà thôi).</t>
  </si>
  <si>
    <t>5. Tính tổng số thí sinh có trong danh sách.</t>
  </si>
  <si>
    <t>6. Thống kê số thí sinh theo từng ngành, tổng số thí sinh không đạt và số thí sinh được nhận học bổng, Tổng điểm thí sinh đạt</t>
  </si>
  <si>
    <t>7, Xếp hạng cho thí sinh (cao điểm hạng nhất)</t>
  </si>
  <si>
    <t>8. Định dạng cột tổng điểm co 1 số lẻ</t>
  </si>
  <si>
    <r>
      <rPr>
        <b/>
        <u/>
        <sz val="12"/>
        <color theme="1"/>
        <rFont val="Arial"/>
      </rPr>
      <t>Lưu ý</t>
    </r>
    <r>
      <rPr>
        <u/>
        <sz val="12"/>
        <color theme="1"/>
        <rFont val="Arial"/>
      </rPr>
      <t>:</t>
    </r>
  </si>
  <si>
    <t>2 ký tự đầu trong Mã Hàng cho biết Mã hiệu.</t>
  </si>
  <si>
    <t xml:space="preserve">ký tự 3,4 cho biết Mã loại. </t>
  </si>
  <si>
    <t>2 ký tự cuối cho biết nước lắp ráp.</t>
  </si>
  <si>
    <r>
      <rPr>
        <b/>
        <u/>
        <sz val="12"/>
        <color theme="1"/>
        <rFont val="Arial"/>
      </rPr>
      <t>Yêu cầu</t>
    </r>
    <r>
      <rPr>
        <u/>
        <sz val="12"/>
        <color theme="1"/>
        <rFont val="Arial"/>
      </rPr>
      <t>:</t>
    </r>
  </si>
  <si>
    <t>1.Nhập và định dạng bảng tính đã cho theo mẫu</t>
  </si>
  <si>
    <t xml:space="preserve">2.Tên xe: gồm hiệu xe và loại xe. Hiệu xe căn cứ vào 2 ký tự đầu của mã hàng tra trong bảng 1, loại xe </t>
  </si>
  <si>
    <t>căn cứ vào ký tự 3, 4 trong mã hàng tra trong bảng 2 và được thể hiện như sau:</t>
  </si>
  <si>
    <t>ví dụ: FOLA-&gt; FORD LASER</t>
  </si>
  <si>
    <t>3.Nước lắp ráp: căn cứ vào 2 ký tự cuối của mã hàng, nếu VN thì ghi là Việt Nam, nếu NB thì ghi là Nhật Bản.</t>
  </si>
  <si>
    <t>4.Giá xuất xưởng căn cứ vào Mã lọai và nước lắp ráp, dò tìm trong bảng 2</t>
  </si>
  <si>
    <t>5.Thuế: nếu xe được lắp ráp ở Viện Nam thì không có thuế ngược lại thuế bằng 10% giá xuất xưởng</t>
  </si>
  <si>
    <t>Mã hiệu</t>
  </si>
  <si>
    <t>TO</t>
  </si>
  <si>
    <t>FO</t>
  </si>
  <si>
    <t>MI</t>
  </si>
  <si>
    <t>6.Giá thành= giá xuất xưởng + thuế, định dạng dấu phân cách hàng nghìn</t>
  </si>
  <si>
    <t>7.Thống kê số lượng và giá thành theo từng nhãn xe vào bảng thống kê</t>
  </si>
  <si>
    <t>Loại xe</t>
  </si>
  <si>
    <t>VN</t>
  </si>
  <si>
    <t>NB</t>
  </si>
  <si>
    <t>CO</t>
  </si>
  <si>
    <t>COROLLA</t>
  </si>
  <si>
    <t>CA</t>
  </si>
  <si>
    <t>CAMRY</t>
  </si>
  <si>
    <t>ZA</t>
  </si>
  <si>
    <t>ZACE</t>
  </si>
  <si>
    <t>LA</t>
  </si>
  <si>
    <t>LASER</t>
  </si>
  <si>
    <t>ES</t>
  </si>
  <si>
    <t>ESCAPE</t>
  </si>
  <si>
    <t>BẢNG CHI TIẾT NHẬP XUẤT HÀNG HOÁ QUÍ IV/2003</t>
  </si>
  <si>
    <t>Đơn vị</t>
  </si>
  <si>
    <t>DBH-DB-N</t>
  </si>
  <si>
    <t>kg</t>
  </si>
  <si>
    <t>1. Điền thông tin vào cột Tên hàng</t>
  </si>
  <si>
    <t>GTL-TB-N</t>
  </si>
  <si>
    <t>dựa vào 3 ký tự đầu của Mã hàng vào bảng 1</t>
  </si>
  <si>
    <t>DBH-TB-X</t>
  </si>
  <si>
    <t>2. Điền thông tin vào cột loại dựa vào 2 ký tự thứ 5</t>
  </si>
  <si>
    <t>GTL-DB-X</t>
  </si>
  <si>
    <t xml:space="preserve">                   </t>
  </si>
  <si>
    <t>và thứ 6 của Mã hàng, nếu là ĐB thì loại là Đặc Biệt</t>
  </si>
  <si>
    <t>DQN-TB-N</t>
  </si>
  <si>
    <t>nếu là TB thì loại là Trung bình</t>
  </si>
  <si>
    <t>GNT-DB-X</t>
  </si>
  <si>
    <t>3. Điền thông tin vào cột Đơn Giá dựa vào 3 ký tự đầu và ký tự cuối của Mã hàng và bảng 2 biết rằng:</t>
  </si>
  <si>
    <t>DQN-DB-N</t>
  </si>
  <si>
    <t xml:space="preserve">_ Nếu ký tự cuối của Mã hàng là N( nhập) thì đơn giá thực </t>
  </si>
  <si>
    <t>DBH-DB-X</t>
  </si>
  <si>
    <t>của mặt hàng đó thấp hơn đơn giá cho trong bàng 2 là 5%</t>
  </si>
  <si>
    <t>GNT-TB-N</t>
  </si>
  <si>
    <t xml:space="preserve">_Nếu ký tự cuối của Mã hàng là X( Xuất) thì đơn giá thực </t>
  </si>
  <si>
    <t>DQN-TB-X</t>
  </si>
  <si>
    <t>của mặt hàng đó cao hơn đơn giá cho trong bàng 2 là 10%</t>
  </si>
  <si>
    <t>4. Điền thông tin vào cột thuế biết rằng:</t>
  </si>
  <si>
    <t>Bảng2: Đơn giá</t>
  </si>
  <si>
    <t>Thống kê</t>
  </si>
  <si>
    <t>_ Nếu mặt hàng là nhập thì thuế của 1 kg sẽ bằng 0.2% đơn giá thực</t>
  </si>
  <si>
    <t>3 ký tự đầu</t>
  </si>
  <si>
    <t>DB</t>
  </si>
  <si>
    <t xml:space="preserve">Nhập </t>
  </si>
  <si>
    <t>Xuất</t>
  </si>
  <si>
    <t>_ Nếu mặt hàng là xuất thì thuế của 1 kg sẽ bằng 0.5% đơn giá thực</t>
  </si>
  <si>
    <t>DBH</t>
  </si>
  <si>
    <t>Dường Biên Hoà</t>
  </si>
  <si>
    <t>Dường</t>
  </si>
  <si>
    <t>5. Tính cột Thành tiền, biết rằng: Thành tiền=số lượng * đơn giá - Thuế</t>
  </si>
  <si>
    <t>DQN</t>
  </si>
  <si>
    <t>Dường Quảng Nam</t>
  </si>
  <si>
    <t>Gạo</t>
  </si>
  <si>
    <t>6. Thống kê lần lượt xem tổng số tiền bỏ ra để nhập Đường , nhập Gạo và tổng số tiền thu vào để xuất Đường , xuất Gạo là bao nhiêu; điền vào bảng Thống kê</t>
  </si>
  <si>
    <t>GTL</t>
  </si>
  <si>
    <t>Gạo Thái Lan</t>
  </si>
  <si>
    <t>GNT</t>
  </si>
  <si>
    <t>Gạo Nếp Thơm</t>
  </si>
  <si>
    <t>VEÕ CAÙC BIEÅU ÑOÀ CHO CAÙC BAÛNG SOÁ LIEÄU SAU</t>
  </si>
  <si>
    <t xml:space="preserve">TÌNH HÌNH DOANH THU CUÛA CAÙC COÂNG TY </t>
  </si>
  <si>
    <t>Ñôn vò tính (Trieäu ñoàng)</t>
  </si>
  <si>
    <t>Cty Hoaøn Phuùc</t>
  </si>
  <si>
    <t>Cty Quoác Gia</t>
  </si>
  <si>
    <t>Cty Höng Thònh</t>
  </si>
  <si>
    <t>TÌNH HÌNH XUAÁT KHAÅU CUÛA COÂNG TY</t>
  </si>
  <si>
    <t>Ñôn vò tính: USD</t>
  </si>
  <si>
    <t>Caø pheâ</t>
  </si>
  <si>
    <t>Haûi saûn</t>
  </si>
  <si>
    <t>Luùa gaïo</t>
  </si>
  <si>
    <t>Yeâu caàu: Töï giaûi</t>
  </si>
  <si>
    <t>Số Tuần</t>
  </si>
  <si>
    <t>Số Ngày Lẻ</t>
  </si>
  <si>
    <t>Tiền phòng</t>
  </si>
  <si>
    <t>Giảm giá</t>
  </si>
  <si>
    <t>Số người &gt;3000000</t>
  </si>
  <si>
    <r>
      <t>Yêu cầu</t>
    </r>
    <r>
      <rPr>
        <sz val="12"/>
        <rFont val="Arial"/>
        <family val="2"/>
      </rPr>
      <t>:</t>
    </r>
  </si>
  <si>
    <r>
      <t>1. Dựa vào mã số thí sinh và bảng điểm chuẩn để điền tên ngành cho cột “</t>
    </r>
    <r>
      <rPr>
        <b/>
        <sz val="12"/>
        <rFont val="Arial"/>
        <family val="2"/>
      </rPr>
      <t>Ngành</t>
    </r>
    <r>
      <rPr>
        <sz val="12"/>
        <rFont val="Arial"/>
        <family val="2"/>
      </rPr>
      <t>”</t>
    </r>
  </si>
  <si>
    <r>
      <t>3. Cho biết kết quả “</t>
    </r>
    <r>
      <rPr>
        <b/>
        <sz val="12"/>
        <rFont val="Arial"/>
        <family val="2"/>
      </rPr>
      <t>đậu</t>
    </r>
    <r>
      <rPr>
        <sz val="12"/>
        <rFont val="Arial"/>
        <family val="2"/>
      </rPr>
      <t>” hoặc “</t>
    </r>
    <r>
      <rPr>
        <b/>
        <sz val="12"/>
        <rFont val="Arial"/>
        <family val="2"/>
      </rPr>
      <t>rớt</t>
    </r>
    <r>
      <rPr>
        <sz val="12"/>
        <rFont val="Arial"/>
        <family val="2"/>
      </rPr>
      <t>” dựa trên tổng điểm và điểm chuẩn của từng ngành. 
Trong đó, không được phép có 1 cột điểm từ 3 điểm trở xuống.</t>
    </r>
  </si>
  <si>
    <t>MICOVN</t>
  </si>
  <si>
    <t>MILAVN</t>
  </si>
  <si>
    <t>MICONB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</si>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</sst>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F800]dddd\,\ mmmm\ dd\,\ yyyy"/>
    <numFmt numFmtId="165" formatCode="&quot;$&quot;#,##0"/>
    <numFmt numFmtId="166" formatCode="#,##0\ &quot;VND&quot;"/>
    <numFmt numFmtId="167" formatCode="#,##0.0"/>
    <numFmt numFmtId="168" formatCode="0.0"/>
    <numFmt numFmtId="169" formatCode="0\ &quot;USD&quot;"/>
    <numFmt numFmtId="170" formatCode="dd\-mm"/>
    <numFmt numFmtId="171" formatCode="#,##0\ [$®ång]"/>
    <numFmt numFmtId="172" formatCode="0;[Red]0"/>
    <numFmt numFmtId="176" formatCode="[$-1010000]d/m/yyyy;@"/>
  </numFmts>
  <fonts count="94" x14ac:knownFonts="1">
    <font>
      <sz val="12"/>
      <color rgb="FF000000"/>
      <name val="Times New Roman"/>
      <scheme val="minor"/>
    </font>
    <font>
      <sz val="12"/>
      <color theme="1"/>
      <name val="Times New Roman"/>
    </font>
    <font>
      <b/>
      <sz val="12"/>
      <color rgb="FF0000FF"/>
      <name val="Times New Roman"/>
    </font>
    <font>
      <b/>
      <sz val="12"/>
      <color theme="1"/>
      <name val="Times New Roman"/>
    </font>
    <font>
      <b/>
      <sz val="12"/>
      <color rgb="FFFF0000"/>
      <name val="Times New Roman"/>
    </font>
    <font>
      <sz val="12"/>
      <name val="Times New Roman"/>
    </font>
    <font>
      <b/>
      <sz val="18"/>
      <color rgb="FFFF0000"/>
      <name val="Times New Roman"/>
    </font>
    <font>
      <sz val="10"/>
      <color theme="1"/>
      <name val="Times New Roman"/>
    </font>
    <font>
      <b/>
      <sz val="14"/>
      <color rgb="FFFF0000"/>
      <name val="Times New Roman"/>
    </font>
    <font>
      <sz val="12"/>
      <color rgb="FFFF0000"/>
      <name val="Times New Roman"/>
    </font>
    <font>
      <sz val="12"/>
      <color rgb="FFFFFF00"/>
      <name val="Times New Roman"/>
    </font>
    <font>
      <sz val="12"/>
      <color rgb="FF0000FF"/>
      <name val="Times New Roman"/>
    </font>
    <font>
      <b/>
      <sz val="12"/>
      <color rgb="FF0070C0"/>
      <name val="Times New Roman"/>
    </font>
    <font>
      <sz val="12"/>
      <color theme="1"/>
      <name val="Times New Roman"/>
      <scheme val="minor"/>
    </font>
    <font>
      <b/>
      <sz val="12"/>
      <color rgb="FF333399"/>
      <name val="Times New Roman"/>
    </font>
    <font>
      <b/>
      <sz val="12"/>
      <color theme="1"/>
      <name val="Arial"/>
    </font>
    <font>
      <sz val="12"/>
      <color theme="1"/>
      <name val="Arial"/>
    </font>
    <font>
      <sz val="12"/>
      <color rgb="FF000080"/>
      <name val="Times New Roman"/>
    </font>
    <font>
      <b/>
      <sz val="14"/>
      <color theme="1"/>
      <name val="Times New Roman"/>
    </font>
    <font>
      <i/>
      <sz val="12"/>
      <color rgb="FFFF0000"/>
      <name val="Times New Roman"/>
    </font>
    <font>
      <b/>
      <sz val="10"/>
      <color theme="1"/>
      <name val="Times New Roman"/>
    </font>
    <font>
      <b/>
      <i/>
      <sz val="12"/>
      <color rgb="FFFF0000"/>
      <name val="Times New Roman"/>
    </font>
    <font>
      <sz val="10"/>
      <color rgb="FF0000FF"/>
      <name val="Times New Roman"/>
    </font>
    <font>
      <b/>
      <i/>
      <u/>
      <sz val="12"/>
      <color theme="1"/>
      <name val="Times New Roman"/>
    </font>
    <font>
      <sz val="11"/>
      <color theme="1"/>
      <name val="Times New Roman"/>
    </font>
    <font>
      <b/>
      <sz val="11"/>
      <color rgb="FF993366"/>
      <name val="Times New Roman"/>
    </font>
    <font>
      <b/>
      <sz val="12"/>
      <color rgb="FF993366"/>
      <name val="Times New Roman"/>
    </font>
    <font>
      <b/>
      <sz val="11"/>
      <color rgb="FFFF6600"/>
      <name val="Times New Roman"/>
    </font>
    <font>
      <b/>
      <sz val="11"/>
      <color rgb="FFFF0000"/>
      <name val="Times New Roman"/>
    </font>
    <font>
      <b/>
      <sz val="11"/>
      <color rgb="FF993300"/>
      <name val="Times New Roman"/>
    </font>
    <font>
      <b/>
      <sz val="12"/>
      <color rgb="FF000080"/>
      <name val="Times New Roman"/>
    </font>
    <font>
      <sz val="14"/>
      <color theme="1"/>
      <name val="Times New Roman"/>
    </font>
    <font>
      <sz val="12"/>
      <color rgb="FF800080"/>
      <name val="Times New Roman"/>
    </font>
    <font>
      <sz val="12"/>
      <color rgb="FF3366FF"/>
      <name val="Times New Roman"/>
    </font>
    <font>
      <sz val="12"/>
      <color rgb="FF008000"/>
      <name val="Times New Roman"/>
    </font>
    <font>
      <b/>
      <sz val="14"/>
      <color rgb="FF004080"/>
      <name val="Arial"/>
    </font>
    <font>
      <b/>
      <sz val="10"/>
      <color rgb="FFFFFFFF"/>
      <name val="Arial"/>
    </font>
    <font>
      <sz val="10"/>
      <color rgb="FF004080"/>
      <name val="Arial"/>
    </font>
    <font>
      <b/>
      <sz val="11"/>
      <color rgb="FF000000"/>
      <name val="Arial"/>
    </font>
    <font>
      <sz val="11"/>
      <color rgb="FF000000"/>
      <name val="Arial"/>
    </font>
    <font>
      <b/>
      <sz val="12"/>
      <color rgb="FF0000FF"/>
      <name val="Tahoma"/>
    </font>
    <font>
      <b/>
      <sz val="10"/>
      <color rgb="FF0000FF"/>
      <name val="Tahoma"/>
    </font>
    <font>
      <sz val="10"/>
      <color rgb="FF004080"/>
      <name val="Tahoma"/>
    </font>
    <font>
      <b/>
      <sz val="11"/>
      <color rgb="FF000000"/>
      <name val="Calibri"/>
    </font>
    <font>
      <sz val="11"/>
      <color rgb="FF000000"/>
      <name val="Calibri"/>
    </font>
    <font>
      <i/>
      <sz val="12"/>
      <color theme="1"/>
      <name val="Times New Roman"/>
    </font>
    <font>
      <sz val="12"/>
      <color rgb="FF000000"/>
      <name val="Times New Roman"/>
    </font>
    <font>
      <b/>
      <u/>
      <sz val="12"/>
      <color rgb="FF0000FF"/>
      <name val="Times New Roman"/>
    </font>
    <font>
      <sz val="12"/>
      <color theme="1"/>
      <name val="Cambria"/>
    </font>
    <font>
      <b/>
      <sz val="14"/>
      <color rgb="FFFF0000"/>
      <name val="Cambria"/>
    </font>
    <font>
      <b/>
      <sz val="12"/>
      <color theme="1"/>
      <name val="Cambria"/>
    </font>
    <font>
      <b/>
      <sz val="16"/>
      <color rgb="FF1F497D"/>
      <name val="Times New Roman"/>
    </font>
    <font>
      <sz val="12"/>
      <color rgb="FF1F497D"/>
      <name val="Times New Roman"/>
    </font>
    <font>
      <b/>
      <u/>
      <sz val="11"/>
      <color theme="10"/>
      <name val="Calibri"/>
    </font>
    <font>
      <b/>
      <sz val="12"/>
      <color rgb="FF800080"/>
      <name val="Times New Roman"/>
    </font>
    <font>
      <sz val="12"/>
      <color theme="1"/>
      <name val="Calibri"/>
    </font>
    <font>
      <b/>
      <sz val="12"/>
      <color rgb="FFFFFF00"/>
      <name val="Times New Roman"/>
    </font>
    <font>
      <b/>
      <sz val="9"/>
      <color theme="1"/>
      <name val="Times New Roman"/>
    </font>
    <font>
      <b/>
      <sz val="14"/>
      <color rgb="FF0000FF"/>
      <name val="Times New Roman"/>
    </font>
    <font>
      <b/>
      <sz val="12"/>
      <color rgb="FF800000"/>
      <name val="Times New Roman"/>
    </font>
    <font>
      <b/>
      <sz val="12"/>
      <color rgb="FF339966"/>
      <name val="Times New Roman"/>
    </font>
    <font>
      <sz val="12"/>
      <color rgb="FF003366"/>
      <name val="Times New Roman"/>
    </font>
    <font>
      <b/>
      <i/>
      <sz val="12"/>
      <color rgb="FF993366"/>
      <name val="Times New Roman"/>
    </font>
    <font>
      <b/>
      <sz val="12"/>
      <color rgb="FF993300"/>
      <name val="Times New Roman"/>
    </font>
    <font>
      <i/>
      <sz val="12"/>
      <color rgb="FF333399"/>
      <name val="Times New Roman"/>
    </font>
    <font>
      <b/>
      <sz val="14"/>
      <color rgb="FF993366"/>
      <name val="Times New Roman"/>
    </font>
    <font>
      <b/>
      <sz val="12"/>
      <color rgb="FF008000"/>
      <name val="Times New Roman"/>
    </font>
    <font>
      <b/>
      <sz val="13"/>
      <color rgb="FFFF0000"/>
      <name val="Times New Roman"/>
    </font>
    <font>
      <b/>
      <sz val="12"/>
      <color rgb="FF003366"/>
      <name val="Times New Roman"/>
    </font>
    <font>
      <b/>
      <u/>
      <sz val="12"/>
      <color theme="1"/>
      <name val="Arial"/>
    </font>
    <font>
      <b/>
      <sz val="14"/>
      <color theme="1"/>
      <name val="Cambria"/>
    </font>
    <font>
      <sz val="10"/>
      <color theme="1"/>
      <name val="Cambria"/>
    </font>
    <font>
      <b/>
      <sz val="10"/>
      <color theme="1"/>
      <name val="Cambria"/>
    </font>
    <font>
      <b/>
      <sz val="12"/>
      <color rgb="FFFF0000"/>
      <name val="Cambria"/>
    </font>
    <font>
      <sz val="12"/>
      <color rgb="FF0000FF"/>
      <name val="Cambria"/>
    </font>
    <font>
      <b/>
      <sz val="12"/>
      <color rgb="FFFF6600"/>
      <name val="Times New Roman"/>
    </font>
    <font>
      <b/>
      <i/>
      <sz val="12"/>
      <color theme="1"/>
      <name val="Times New Roman"/>
    </font>
    <font>
      <b/>
      <i/>
      <sz val="12"/>
      <color rgb="FF0000FF"/>
      <name val="Times New Roman"/>
    </font>
    <font>
      <u/>
      <sz val="12"/>
      <color theme="1"/>
      <name val="Arial"/>
    </font>
    <font>
      <sz val="12"/>
      <color theme="1"/>
      <name val="Times New Roman"/>
      <family val="1"/>
    </font>
    <font>
      <sz val="12"/>
      <name val="VNI-Times"/>
    </font>
    <font>
      <b/>
      <sz val="14"/>
      <color indexed="10"/>
      <name val="Times New Roman"/>
      <family val="1"/>
      <charset val="163"/>
      <scheme val="major"/>
    </font>
    <font>
      <b/>
      <sz val="12"/>
      <name val="Times New Roman"/>
      <family val="1"/>
      <charset val="163"/>
      <scheme val="major"/>
    </font>
    <font>
      <sz val="12"/>
      <name val="Times New Roman"/>
      <family val="1"/>
      <charset val="163"/>
      <scheme val="major"/>
    </font>
    <font>
      <sz val="10"/>
      <name val="Arial"/>
      <family val="2"/>
      <charset val="163"/>
    </font>
    <font>
      <b/>
      <sz val="10"/>
      <name val="Arial"/>
      <family val="2"/>
    </font>
    <font>
      <sz val="12"/>
      <name val="Arial"/>
      <family val="2"/>
    </font>
    <font>
      <sz val="10"/>
      <name val="Arial"/>
      <family val="2"/>
    </font>
    <font>
      <b/>
      <sz val="14"/>
      <name val="Arial"/>
      <family val="2"/>
    </font>
    <font>
      <b/>
      <sz val="12"/>
      <name val="Arial"/>
      <family val="2"/>
    </font>
    <font>
      <b/>
      <u/>
      <sz val="12"/>
      <name val="Arial"/>
      <family val="2"/>
    </font>
    <font>
      <sz val="10"/>
      <color theme="1"/>
      <name val="Cambria"/>
      <family val="1"/>
    </font>
    <font>
      <b/>
      <sz val="8"/>
      <color rgb="FF212121"/>
      <name val="Segoe UI"/>
      <family val="2"/>
    </font>
    <font>
      <sz val="12"/>
      <color rgb="FFFF0000"/>
      <name val="Times New Roman"/>
      <family val="1"/>
    </font>
  </fonts>
  <fills count="28">
    <fill>
      <patternFill patternType="none"/>
    </fill>
    <fill>
      <patternFill patternType="gray125"/>
    </fill>
    <fill>
      <patternFill patternType="solid">
        <fgColor rgb="FFFF99CC"/>
        <bgColor rgb="FFFF99CC"/>
      </patternFill>
    </fill>
    <fill>
      <patternFill patternType="solid">
        <fgColor rgb="FF00FF00"/>
        <bgColor rgb="FF00FF00"/>
      </patternFill>
    </fill>
    <fill>
      <patternFill patternType="solid">
        <fgColor rgb="FF00FFFF"/>
        <bgColor rgb="FF00FFFF"/>
      </patternFill>
    </fill>
    <fill>
      <patternFill patternType="solid">
        <fgColor rgb="FFCCFFFF"/>
        <bgColor rgb="FFCCFFFF"/>
      </patternFill>
    </fill>
    <fill>
      <patternFill patternType="solid">
        <fgColor rgb="FFB8CCE4"/>
        <bgColor rgb="FFB8CCE4"/>
      </patternFill>
    </fill>
    <fill>
      <patternFill patternType="solid">
        <fgColor rgb="FFB6DDE8"/>
        <bgColor rgb="FFB6DDE8"/>
      </patternFill>
    </fill>
    <fill>
      <patternFill patternType="solid">
        <fgColor rgb="FFCCFFCC"/>
        <bgColor rgb="FFCCFFCC"/>
      </patternFill>
    </fill>
    <fill>
      <patternFill patternType="solid">
        <fgColor rgb="FFFFFFCC"/>
        <bgColor rgb="FFFFFFCC"/>
      </patternFill>
    </fill>
    <fill>
      <patternFill patternType="solid">
        <fgColor rgb="FF0000FF"/>
        <bgColor rgb="FF0000FF"/>
      </patternFill>
    </fill>
    <fill>
      <patternFill patternType="solid">
        <fgColor rgb="FF339966"/>
        <bgColor rgb="FF339966"/>
      </patternFill>
    </fill>
    <fill>
      <patternFill patternType="solid">
        <fgColor rgb="FFFFFF99"/>
        <bgColor rgb="FFFFFF99"/>
      </patternFill>
    </fill>
    <fill>
      <patternFill patternType="solid">
        <fgColor rgb="FFE5DFEC"/>
        <bgColor rgb="FFE5DFEC"/>
      </patternFill>
    </fill>
    <fill>
      <patternFill patternType="solid">
        <fgColor rgb="FFFFFF00"/>
        <bgColor rgb="FFFFFF00"/>
      </patternFill>
    </fill>
    <fill>
      <patternFill patternType="solid">
        <fgColor rgb="FF92D050"/>
        <bgColor rgb="FF92D050"/>
      </patternFill>
    </fill>
    <fill>
      <patternFill patternType="solid">
        <fgColor rgb="FFFABF8F"/>
        <bgColor rgb="FFFABF8F"/>
      </patternFill>
    </fill>
    <fill>
      <patternFill patternType="solid">
        <fgColor rgb="FFFBD4B4"/>
        <bgColor rgb="FFFBD4B4"/>
      </patternFill>
    </fill>
    <fill>
      <patternFill patternType="solid">
        <fgColor rgb="FF92CDDC"/>
        <bgColor rgb="FF92CDDC"/>
      </patternFill>
    </fill>
    <fill>
      <patternFill patternType="solid">
        <fgColor rgb="FF000080"/>
        <bgColor rgb="FF000080"/>
      </patternFill>
    </fill>
    <fill>
      <patternFill patternType="solid">
        <fgColor rgb="FFFFFFFF"/>
        <bgColor rgb="FFFFFFFF"/>
      </patternFill>
    </fill>
    <fill>
      <patternFill patternType="solid">
        <fgColor rgb="FFE6E6E6"/>
        <bgColor rgb="FFE6E6E6"/>
      </patternFill>
    </fill>
    <fill>
      <patternFill patternType="solid">
        <fgColor rgb="FFC0C0C0"/>
        <bgColor rgb="FFC0C0C0"/>
      </patternFill>
    </fill>
    <fill>
      <patternFill patternType="solid">
        <fgColor rgb="FF33CCCC"/>
        <bgColor rgb="FF33CCCC"/>
      </patternFill>
    </fill>
    <fill>
      <patternFill patternType="solid">
        <fgColor indexed="42"/>
        <bgColor indexed="64"/>
      </patternFill>
    </fill>
    <fill>
      <patternFill patternType="solid">
        <fgColor indexed="26"/>
        <bgColor indexed="64"/>
      </patternFill>
    </fill>
    <fill>
      <patternFill patternType="solid">
        <fgColor rgb="FFFFFF00"/>
        <bgColor indexed="64"/>
      </patternFill>
    </fill>
    <fill>
      <patternFill patternType="solid">
        <fgColor indexed="22"/>
        <bgColor indexed="64"/>
      </patternFill>
    </fill>
  </fills>
  <borders count="148">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medium">
        <color rgb="FF003366"/>
      </bottom>
      <diagonal/>
    </border>
    <border>
      <left style="medium">
        <color rgb="FF003366"/>
      </left>
      <right style="medium">
        <color rgb="FF003366"/>
      </right>
      <top style="medium">
        <color rgb="FF003366"/>
      </top>
      <bottom style="medium">
        <color rgb="FF003366"/>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rgb="FF800000"/>
      </bottom>
      <diagonal/>
    </border>
    <border>
      <left style="medium">
        <color rgb="FF800000"/>
      </left>
      <right style="medium">
        <color rgb="FF800000"/>
      </right>
      <top style="medium">
        <color rgb="FF800000"/>
      </top>
      <bottom style="medium">
        <color rgb="FF800000"/>
      </bottom>
      <diagonal/>
    </border>
    <border>
      <left style="double">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double">
        <color rgb="FF000000"/>
      </right>
      <top style="double">
        <color rgb="FF000000"/>
      </top>
      <bottom/>
      <diagonal/>
    </border>
    <border>
      <left style="double">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diagonal/>
    </border>
    <border>
      <left style="double">
        <color rgb="FF000000"/>
      </left>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double">
        <color rgb="FF000000"/>
      </bottom>
      <diagonal/>
    </border>
    <border>
      <left/>
      <right style="thin">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medium">
        <color rgb="FF000080"/>
      </left>
      <right style="medium">
        <color rgb="FF000080"/>
      </right>
      <top style="medium">
        <color rgb="FF000080"/>
      </top>
      <bottom style="medium">
        <color rgb="FF000080"/>
      </bottom>
      <diagonal/>
    </border>
    <border>
      <left style="medium">
        <color rgb="FF800080"/>
      </left>
      <right style="medium">
        <color rgb="FF800080"/>
      </right>
      <top style="medium">
        <color rgb="FF800080"/>
      </top>
      <bottom style="medium">
        <color rgb="FF800080"/>
      </bottom>
      <diagonal/>
    </border>
    <border>
      <left style="medium">
        <color rgb="FF000080"/>
      </left>
      <right/>
      <top style="medium">
        <color rgb="FF000080"/>
      </top>
      <bottom style="medium">
        <color rgb="FF000080"/>
      </bottom>
      <diagonal/>
    </border>
    <border>
      <left/>
      <right style="medium">
        <color rgb="FF000080"/>
      </right>
      <top style="medium">
        <color rgb="FF000080"/>
      </top>
      <bottom style="medium">
        <color rgb="FF000080"/>
      </bottom>
      <diagonal/>
    </border>
    <border>
      <left/>
      <right/>
      <top/>
      <bottom style="medium">
        <color rgb="FF000080"/>
      </bottom>
      <diagonal/>
    </border>
    <border>
      <left/>
      <right/>
      <top/>
      <bottom style="medium">
        <color rgb="FF000000"/>
      </bottom>
      <diagonal/>
    </border>
    <border>
      <left style="medium">
        <color rgb="FF000000"/>
      </left>
      <right style="medium">
        <color rgb="FFFFFFFF"/>
      </right>
      <top style="medium">
        <color rgb="FF000000"/>
      </top>
      <bottom style="medium">
        <color rgb="FF000080"/>
      </bottom>
      <diagonal/>
    </border>
    <border>
      <left style="medium">
        <color rgb="FFECE9D8"/>
      </left>
      <right style="medium">
        <color rgb="FFFFFFFF"/>
      </right>
      <top style="medium">
        <color rgb="FF000000"/>
      </top>
      <bottom style="medium">
        <color rgb="FF000080"/>
      </bottom>
      <diagonal/>
    </border>
    <border>
      <left style="medium">
        <color rgb="FFECE9D8"/>
      </left>
      <right style="medium">
        <color rgb="FF000000"/>
      </right>
      <top style="medium">
        <color rgb="FF000000"/>
      </top>
      <bottom style="medium">
        <color rgb="FF000080"/>
      </bottom>
      <diagonal/>
    </border>
    <border>
      <left style="medium">
        <color rgb="FF000000"/>
      </left>
      <right style="medium">
        <color rgb="FF000080"/>
      </right>
      <top style="medium">
        <color rgb="FFECE9D8"/>
      </top>
      <bottom style="dotted">
        <color rgb="FF000080"/>
      </bottom>
      <diagonal/>
    </border>
    <border>
      <left style="medium">
        <color rgb="FFECE9D8"/>
      </left>
      <right style="medium">
        <color rgb="FF000080"/>
      </right>
      <top style="medium">
        <color rgb="FFECE9D8"/>
      </top>
      <bottom style="dotted">
        <color rgb="FF000080"/>
      </bottom>
      <diagonal/>
    </border>
    <border>
      <left style="medium">
        <color rgb="FFECE9D8"/>
      </left>
      <right style="medium">
        <color rgb="FF000000"/>
      </right>
      <top style="medium">
        <color rgb="FFECE9D8"/>
      </top>
      <bottom style="dotted">
        <color rgb="FF000080"/>
      </bottom>
      <diagonal/>
    </border>
    <border>
      <left style="medium">
        <color rgb="FF000000"/>
      </left>
      <right style="medium">
        <color rgb="FF000080"/>
      </right>
      <top style="medium">
        <color rgb="FFECE9D8"/>
      </top>
      <bottom style="medium">
        <color rgb="FF000000"/>
      </bottom>
      <diagonal/>
    </border>
    <border>
      <left style="medium">
        <color rgb="FF000000"/>
      </left>
      <right/>
      <top style="medium">
        <color rgb="FF000000"/>
      </top>
      <bottom style="medium">
        <color rgb="FFECE9D8"/>
      </bottom>
      <diagonal/>
    </border>
    <border>
      <left/>
      <right/>
      <top style="medium">
        <color rgb="FF000000"/>
      </top>
      <bottom style="medium">
        <color rgb="FFECE9D8"/>
      </bottom>
      <diagonal/>
    </border>
    <border>
      <left/>
      <right style="medium">
        <color rgb="FF000000"/>
      </right>
      <top style="medium">
        <color rgb="FF000000"/>
      </top>
      <bottom style="medium">
        <color rgb="FFECE9D8"/>
      </bottom>
      <diagonal/>
    </border>
    <border>
      <left style="medium">
        <color rgb="FF000000"/>
      </left>
      <right/>
      <top style="medium">
        <color rgb="FFECE9D8"/>
      </top>
      <bottom style="medium">
        <color rgb="FF000000"/>
      </bottom>
      <diagonal/>
    </border>
    <border>
      <left/>
      <right/>
      <top style="medium">
        <color rgb="FFECE9D8"/>
      </top>
      <bottom style="medium">
        <color rgb="FF000000"/>
      </bottom>
      <diagonal/>
    </border>
    <border>
      <left/>
      <right style="medium">
        <color rgb="FF000000"/>
      </right>
      <top style="medium">
        <color rgb="FFECE9D8"/>
      </top>
      <bottom style="medium">
        <color rgb="FF000000"/>
      </bottom>
      <diagonal/>
    </border>
    <border>
      <left style="medium">
        <color rgb="FF000000"/>
      </left>
      <right style="medium">
        <color rgb="FF000000"/>
      </right>
      <top style="medium">
        <color rgb="FFECE9D8"/>
      </top>
      <bottom style="medium">
        <color rgb="FF000000"/>
      </bottom>
      <diagonal/>
    </border>
    <border>
      <left style="medium">
        <color rgb="FFECE9D8"/>
      </left>
      <right style="medium">
        <color rgb="FF000000"/>
      </right>
      <top style="medium">
        <color rgb="FFECE9D8"/>
      </top>
      <bottom style="medium">
        <color rgb="FF000000"/>
      </bottom>
      <diagonal/>
    </border>
    <border>
      <left style="medium">
        <color rgb="FF000000"/>
      </left>
      <right style="medium">
        <color rgb="FF000000"/>
      </right>
      <top style="medium">
        <color rgb="FFECE9D8"/>
      </top>
      <bottom style="dotted">
        <color rgb="FF000000"/>
      </bottom>
      <diagonal/>
    </border>
    <border>
      <left style="medium">
        <color rgb="FFECE9D8"/>
      </left>
      <right style="medium">
        <color rgb="FF000000"/>
      </right>
      <top style="medium">
        <color rgb="FFECE9D8"/>
      </top>
      <bottom style="dotted">
        <color rgb="FF000000"/>
      </bottom>
      <diagonal/>
    </border>
    <border>
      <left style="thin">
        <color rgb="FF000000"/>
      </left>
      <right style="thin">
        <color rgb="FF000000"/>
      </right>
      <top style="double">
        <color rgb="FF000000"/>
      </top>
      <bottom/>
      <diagonal/>
    </border>
    <border>
      <left/>
      <right style="double">
        <color rgb="FF000000"/>
      </right>
      <top style="double">
        <color rgb="FF000000"/>
      </top>
      <bottom style="thin">
        <color rgb="FF000000"/>
      </bottom>
      <diagonal/>
    </border>
    <border>
      <left style="thin">
        <color rgb="FF000000"/>
      </left>
      <right style="thin">
        <color rgb="FF000000"/>
      </right>
      <top/>
      <bottom style="double">
        <color rgb="FF000000"/>
      </bottom>
      <diagonal/>
    </border>
    <border>
      <left/>
      <right/>
      <top/>
      <bottom style="double">
        <color rgb="FF000000"/>
      </bottom>
      <diagonal/>
    </border>
    <border>
      <left style="thin">
        <color rgb="FF000000"/>
      </left>
      <right style="double">
        <color rgb="FF000000"/>
      </right>
      <top style="thin">
        <color rgb="FF000000"/>
      </top>
      <bottom style="thin">
        <color rgb="FF000000"/>
      </bottom>
      <diagonal/>
    </border>
    <border>
      <left style="double">
        <color rgb="FF000000"/>
      </left>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style="medium">
        <color rgb="FF000000"/>
      </top>
      <bottom/>
      <diagonal/>
    </border>
    <border>
      <left style="thin">
        <color rgb="FF000000"/>
      </left>
      <right style="thin">
        <color rgb="FF000000"/>
      </right>
      <top style="medium">
        <color rgb="FF000000"/>
      </top>
      <bottom/>
      <diagonal/>
    </border>
    <border>
      <left/>
      <right style="double">
        <color rgb="FF000000"/>
      </right>
      <top style="medium">
        <color rgb="FF000000"/>
      </top>
      <bottom/>
      <diagonal/>
    </border>
    <border>
      <left style="double">
        <color rgb="FF000000"/>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double">
        <color rgb="FF000000"/>
      </right>
      <top style="hair">
        <color rgb="FF000000"/>
      </top>
      <bottom style="hair">
        <color rgb="FF000000"/>
      </bottom>
      <diagonal/>
    </border>
    <border>
      <left/>
      <right style="double">
        <color rgb="FF000000"/>
      </right>
      <top/>
      <bottom style="double">
        <color rgb="FF000000"/>
      </bottom>
      <diagonal/>
    </border>
    <border>
      <left style="thin">
        <color rgb="FF003300"/>
      </left>
      <right/>
      <top style="thin">
        <color rgb="FF003300"/>
      </top>
      <bottom style="thin">
        <color rgb="FF003300"/>
      </bottom>
      <diagonal/>
    </border>
    <border>
      <left/>
      <right/>
      <top style="thin">
        <color rgb="FF003300"/>
      </top>
      <bottom style="thin">
        <color rgb="FF003300"/>
      </bottom>
      <diagonal/>
    </border>
    <border>
      <left/>
      <right style="thin">
        <color rgb="FF003300"/>
      </right>
      <top style="thin">
        <color rgb="FF003300"/>
      </top>
      <bottom style="thin">
        <color rgb="FF003300"/>
      </bottom>
      <diagonal/>
    </border>
    <border>
      <left style="thin">
        <color rgb="FF003300"/>
      </left>
      <right style="thin">
        <color rgb="FF003300"/>
      </right>
      <top style="thin">
        <color rgb="FF003300"/>
      </top>
      <bottom style="thin">
        <color rgb="FF003300"/>
      </bottom>
      <diagonal/>
    </border>
    <border>
      <left style="medium">
        <color rgb="FF003300"/>
      </left>
      <right/>
      <top style="medium">
        <color rgb="FF003300"/>
      </top>
      <bottom style="medium">
        <color rgb="FF003300"/>
      </bottom>
      <diagonal/>
    </border>
    <border>
      <left/>
      <right/>
      <top style="medium">
        <color rgb="FF003300"/>
      </top>
      <bottom style="medium">
        <color rgb="FF003300"/>
      </bottom>
      <diagonal/>
    </border>
    <border>
      <left/>
      <right style="medium">
        <color rgb="FF003300"/>
      </right>
      <top style="medium">
        <color rgb="FF003300"/>
      </top>
      <bottom style="medium">
        <color rgb="FF003300"/>
      </bottom>
      <diagonal/>
    </border>
    <border>
      <left style="medium">
        <color rgb="FF003300"/>
      </left>
      <right style="medium">
        <color rgb="FF003300"/>
      </right>
      <top style="medium">
        <color rgb="FF003300"/>
      </top>
      <bottom style="medium">
        <color rgb="FF003300"/>
      </bottom>
      <diagonal/>
    </border>
    <border>
      <left/>
      <right/>
      <top/>
      <bottom style="medium">
        <color indexed="32"/>
      </bottom>
      <diagonal/>
    </border>
    <border>
      <left style="medium">
        <color indexed="32"/>
      </left>
      <right style="medium">
        <color indexed="32"/>
      </right>
      <top style="medium">
        <color indexed="32"/>
      </top>
      <bottom style="medium">
        <color indexed="32"/>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style="medium">
        <color indexed="32"/>
      </left>
      <right/>
      <top style="medium">
        <color indexed="32"/>
      </top>
      <bottom/>
      <diagonal/>
    </border>
    <border>
      <left/>
      <right style="medium">
        <color indexed="32"/>
      </right>
      <top style="medium">
        <color indexed="32"/>
      </top>
      <bottom/>
      <diagonal/>
    </border>
    <border>
      <left style="medium">
        <color indexed="32"/>
      </left>
      <right/>
      <top/>
      <bottom/>
      <diagonal/>
    </border>
    <border>
      <left/>
      <right style="medium">
        <color indexed="32"/>
      </right>
      <top/>
      <bottom/>
      <diagonal/>
    </border>
    <border>
      <left style="medium">
        <color indexed="32"/>
      </left>
      <right/>
      <top/>
      <bottom style="medium">
        <color indexed="32"/>
      </bottom>
      <diagonal/>
    </border>
    <border>
      <left/>
      <right style="medium">
        <color indexed="32"/>
      </right>
      <top/>
      <bottom style="medium">
        <color indexed="32"/>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80" fillId="0" borderId="12"/>
    <xf numFmtId="0" fontId="84" fillId="0" borderId="12"/>
  </cellStyleXfs>
  <cellXfs count="619">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3" xfId="0" applyFont="1" applyFill="1" applyBorder="1" applyAlignment="1">
      <alignment horizontal="center"/>
    </xf>
    <xf numFmtId="0" fontId="3" fillId="3" borderId="3" xfId="0" applyFont="1" applyFill="1" applyBorder="1"/>
    <xf numFmtId="0" fontId="3" fillId="3" borderId="1" xfId="0" applyFont="1" applyFill="1" applyBorder="1"/>
    <xf numFmtId="164" fontId="3" fillId="3" borderId="1" xfId="0" applyNumberFormat="1" applyFont="1" applyFill="1" applyBorder="1"/>
    <xf numFmtId="165" fontId="3" fillId="3" borderId="1" xfId="0" applyNumberFormat="1" applyFont="1" applyFill="1" applyBorder="1"/>
    <xf numFmtId="166" fontId="2" fillId="4" borderId="1" xfId="0" applyNumberFormat="1" applyFont="1" applyFill="1" applyBorder="1" applyAlignment="1">
      <alignment horizontal="right"/>
    </xf>
    <xf numFmtId="164" fontId="3" fillId="3" borderId="3" xfId="0" applyNumberFormat="1" applyFont="1" applyFill="1" applyBorder="1"/>
    <xf numFmtId="165" fontId="3" fillId="3" borderId="3" xfId="0" applyNumberFormat="1" applyFont="1" applyFill="1" applyBorder="1"/>
    <xf numFmtId="166" fontId="2" fillId="4" borderId="3" xfId="0" applyNumberFormat="1" applyFont="1" applyFill="1" applyBorder="1" applyAlignment="1">
      <alignment horizontal="right"/>
    </xf>
    <xf numFmtId="0" fontId="3" fillId="3" borderId="3" xfId="0" applyFont="1" applyFill="1" applyBorder="1" applyAlignment="1">
      <alignment horizontal="left"/>
    </xf>
    <xf numFmtId="0" fontId="4" fillId="4" borderId="3" xfId="0" applyFont="1" applyFill="1" applyBorder="1" applyAlignment="1">
      <alignment horizontal="right"/>
    </xf>
    <xf numFmtId="43" fontId="4" fillId="4" borderId="3" xfId="0" applyNumberFormat="1" applyFont="1" applyFill="1" applyBorder="1" applyAlignment="1">
      <alignment horizontal="right"/>
    </xf>
    <xf numFmtId="0" fontId="6" fillId="0" borderId="0" xfId="0" applyFont="1"/>
    <xf numFmtId="0" fontId="1" fillId="0" borderId="0" xfId="0" applyFont="1" applyAlignment="1">
      <alignment wrapText="1"/>
    </xf>
    <xf numFmtId="0" fontId="7" fillId="0" borderId="0" xfId="0" applyFont="1"/>
    <xf numFmtId="0" fontId="7" fillId="0" borderId="3" xfId="0" applyFont="1" applyBorder="1"/>
    <xf numFmtId="0" fontId="7" fillId="6" borderId="3" xfId="0" applyFont="1" applyFill="1" applyBorder="1"/>
    <xf numFmtId="0" fontId="7" fillId="7" borderId="3" xfId="0" applyFont="1" applyFill="1" applyBorder="1"/>
    <xf numFmtId="0" fontId="8" fillId="0" borderId="0" xfId="0" applyFont="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9" borderId="11"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1" fillId="9" borderId="11" xfId="0" applyFont="1" applyFill="1" applyBorder="1"/>
    <xf numFmtId="0" fontId="9" fillId="0" borderId="0" xfId="0" applyFont="1" applyAlignment="1">
      <alignment horizontal="center"/>
    </xf>
    <xf numFmtId="0" fontId="10" fillId="11" borderId="12" xfId="0" applyFont="1" applyFill="1" applyBorder="1"/>
    <xf numFmtId="0" fontId="1" fillId="0" borderId="3" xfId="0" applyFont="1" applyBorder="1" applyAlignment="1">
      <alignment horizontal="center"/>
    </xf>
    <xf numFmtId="14" fontId="1" fillId="0" borderId="3" xfId="0" applyNumberFormat="1" applyFont="1" applyBorder="1" applyAlignment="1">
      <alignment horizontal="center"/>
    </xf>
    <xf numFmtId="165" fontId="1" fillId="0" borderId="3" xfId="0" applyNumberFormat="1" applyFont="1" applyBorder="1" applyAlignment="1">
      <alignment horizontal="center"/>
    </xf>
    <xf numFmtId="166" fontId="11" fillId="12" borderId="3" xfId="0" applyNumberFormat="1" applyFont="1" applyFill="1" applyBorder="1" applyAlignment="1">
      <alignment horizontal="center"/>
    </xf>
    <xf numFmtId="166" fontId="11" fillId="12" borderId="12" xfId="0" applyNumberFormat="1" applyFont="1" applyFill="1" applyBorder="1" applyAlignment="1">
      <alignment horizontal="center"/>
    </xf>
    <xf numFmtId="0" fontId="1" fillId="0" borderId="3" xfId="0" applyFont="1" applyBorder="1"/>
    <xf numFmtId="0" fontId="11" fillId="12" borderId="3" xfId="0" applyFont="1" applyFill="1" applyBorder="1" applyAlignment="1">
      <alignment horizontal="center"/>
    </xf>
    <xf numFmtId="0" fontId="3" fillId="0" borderId="3" xfId="0" applyFont="1" applyBorder="1" applyAlignment="1">
      <alignment horizontal="center"/>
    </xf>
    <xf numFmtId="0" fontId="3" fillId="13" borderId="3" xfId="0" applyFont="1" applyFill="1" applyBorder="1" applyAlignment="1">
      <alignment horizontal="center"/>
    </xf>
    <xf numFmtId="49" fontId="1" fillId="0" borderId="3" xfId="0" applyNumberFormat="1" applyFont="1" applyBorder="1"/>
    <xf numFmtId="1" fontId="1" fillId="0" borderId="3" xfId="0" applyNumberFormat="1" applyFont="1" applyBorder="1"/>
    <xf numFmtId="0" fontId="1" fillId="13" borderId="3" xfId="0" applyFont="1" applyFill="1" applyBorder="1"/>
    <xf numFmtId="0" fontId="1" fillId="14" borderId="3" xfId="0" applyFont="1" applyFill="1" applyBorder="1" applyAlignment="1">
      <alignment horizontal="center"/>
    </xf>
    <xf numFmtId="0" fontId="1" fillId="14" borderId="3" xfId="0" applyFont="1" applyFill="1" applyBorder="1"/>
    <xf numFmtId="0" fontId="1" fillId="15" borderId="3" xfId="0" applyFont="1" applyFill="1" applyBorder="1"/>
    <xf numFmtId="0" fontId="1" fillId="15" borderId="12" xfId="0" applyFont="1" applyFill="1" applyBorder="1"/>
    <xf numFmtId="0" fontId="4" fillId="0" borderId="3" xfId="0" applyFont="1" applyBorder="1"/>
    <xf numFmtId="0" fontId="1" fillId="0" borderId="3" xfId="0" applyFont="1" applyBorder="1" applyAlignment="1">
      <alignment horizontal="left" vertical="center"/>
    </xf>
    <xf numFmtId="0" fontId="1" fillId="7" borderId="3" xfId="0" applyFont="1" applyFill="1" applyBorder="1" applyAlignment="1">
      <alignment horizontal="center"/>
    </xf>
    <xf numFmtId="0" fontId="13" fillId="0" borderId="0" xfId="0" applyFont="1"/>
    <xf numFmtId="0" fontId="14" fillId="0" borderId="3" xfId="0" applyFont="1" applyBorder="1" applyAlignment="1">
      <alignment horizontal="center" vertical="center" wrapText="1"/>
    </xf>
    <xf numFmtId="0" fontId="1" fillId="0" borderId="3" xfId="0" applyFont="1" applyBorder="1" applyAlignment="1">
      <alignment horizontal="center" vertical="center"/>
    </xf>
    <xf numFmtId="0" fontId="1" fillId="7" borderId="12" xfId="0" applyFont="1" applyFill="1" applyBorder="1"/>
    <xf numFmtId="3" fontId="1" fillId="0" borderId="3" xfId="0" applyNumberFormat="1" applyFont="1" applyBorder="1" applyAlignment="1">
      <alignment vertical="center"/>
    </xf>
    <xf numFmtId="3" fontId="1" fillId="18" borderId="3" xfId="0" applyNumberFormat="1" applyFont="1" applyFill="1" applyBorder="1" applyAlignment="1">
      <alignment horizontal="center" vertical="center"/>
    </xf>
    <xf numFmtId="3" fontId="1" fillId="7" borderId="12" xfId="0" applyNumberFormat="1" applyFont="1" applyFill="1" applyBorder="1"/>
    <xf numFmtId="0" fontId="3" fillId="17" borderId="3" xfId="0" applyFont="1" applyFill="1" applyBorder="1"/>
    <xf numFmtId="0" fontId="1" fillId="7" borderId="3" xfId="0" applyFont="1" applyFill="1" applyBorder="1"/>
    <xf numFmtId="0" fontId="3" fillId="0" borderId="3" xfId="0" applyFont="1" applyBorder="1" applyAlignment="1">
      <alignment horizontal="center" vertical="center"/>
    </xf>
    <xf numFmtId="0" fontId="3" fillId="0" borderId="3" xfId="0" applyFont="1" applyBorder="1" applyAlignment="1">
      <alignment horizontal="center" wrapText="1"/>
    </xf>
    <xf numFmtId="0" fontId="7" fillId="11" borderId="3" xfId="0" applyFont="1" applyFill="1" applyBorder="1" applyAlignment="1">
      <alignment horizontal="center"/>
    </xf>
    <xf numFmtId="0" fontId="7" fillId="14" borderId="3" xfId="0" applyFont="1" applyFill="1" applyBorder="1"/>
    <xf numFmtId="0" fontId="15" fillId="0" borderId="3" xfId="0" applyFont="1" applyBorder="1" applyAlignment="1">
      <alignment horizontal="center" vertical="center" wrapText="1"/>
    </xf>
    <xf numFmtId="3" fontId="16" fillId="0" borderId="3" xfId="0" applyNumberFormat="1" applyFont="1" applyBorder="1"/>
    <xf numFmtId="0" fontId="16" fillId="14" borderId="3" xfId="0" applyFont="1" applyFill="1" applyBorder="1"/>
    <xf numFmtId="0" fontId="17" fillId="8" borderId="21" xfId="0" applyFont="1" applyFill="1" applyBorder="1" applyAlignment="1">
      <alignment horizontal="center"/>
    </xf>
    <xf numFmtId="0" fontId="17" fillId="12" borderId="21" xfId="0" applyFont="1" applyFill="1" applyBorder="1" applyAlignment="1">
      <alignment horizontal="center"/>
    </xf>
    <xf numFmtId="0" fontId="18" fillId="0" borderId="0" xfId="0" applyFont="1" applyAlignment="1">
      <alignment horizontal="center" vertical="center"/>
    </xf>
    <xf numFmtId="0" fontId="3" fillId="0" borderId="28" xfId="0" applyFont="1" applyBorder="1" applyAlignment="1">
      <alignment horizontal="center" vertical="center"/>
    </xf>
    <xf numFmtId="0" fontId="1" fillId="0" borderId="30" xfId="0" applyFont="1" applyBorder="1"/>
    <xf numFmtId="0" fontId="1" fillId="0" borderId="19" xfId="0" applyFont="1" applyBorder="1" applyAlignment="1">
      <alignment horizontal="center"/>
    </xf>
    <xf numFmtId="0" fontId="19" fillId="14" borderId="31" xfId="0" applyFont="1" applyFill="1" applyBorder="1"/>
    <xf numFmtId="0" fontId="1" fillId="0" borderId="32" xfId="0" applyFont="1" applyBorder="1"/>
    <xf numFmtId="0" fontId="1" fillId="0" borderId="33" xfId="0" applyFont="1" applyBorder="1"/>
    <xf numFmtId="0" fontId="1" fillId="0" borderId="28" xfId="0" applyFont="1" applyBorder="1" applyAlignment="1">
      <alignment horizontal="center"/>
    </xf>
    <xf numFmtId="0" fontId="11" fillId="0" borderId="0" xfId="0" applyFont="1"/>
    <xf numFmtId="0" fontId="1" fillId="0" borderId="0" xfId="0" applyFont="1" applyAlignment="1">
      <alignment vertical="center"/>
    </xf>
    <xf numFmtId="0" fontId="1" fillId="0" borderId="3" xfId="0" applyFont="1" applyBorder="1" applyAlignment="1">
      <alignment vertical="center"/>
    </xf>
    <xf numFmtId="1" fontId="1" fillId="0" borderId="3" xfId="0" applyNumberFormat="1" applyFont="1" applyBorder="1" applyAlignment="1">
      <alignment vertical="center"/>
    </xf>
    <xf numFmtId="0" fontId="1" fillId="0" borderId="18" xfId="0" applyFont="1" applyBorder="1" applyAlignment="1">
      <alignment vertical="center"/>
    </xf>
    <xf numFmtId="3" fontId="1" fillId="0" borderId="18" xfId="0" applyNumberFormat="1" applyFont="1" applyBorder="1" applyAlignment="1">
      <alignment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1" fillId="0" borderId="30" xfId="0" applyFont="1" applyBorder="1" applyAlignment="1">
      <alignment horizontal="center" vertical="center"/>
    </xf>
    <xf numFmtId="0" fontId="1" fillId="0" borderId="19" xfId="0" applyFont="1" applyBorder="1" applyAlignment="1">
      <alignment vertical="center"/>
    </xf>
    <xf numFmtId="0" fontId="1" fillId="0" borderId="19" xfId="0" applyFont="1" applyBorder="1" applyAlignment="1">
      <alignment horizontal="center" vertical="center"/>
    </xf>
    <xf numFmtId="3" fontId="19" fillId="0" borderId="19" xfId="0" applyNumberFormat="1" applyFont="1" applyBorder="1" applyAlignment="1">
      <alignment vertical="center"/>
    </xf>
    <xf numFmtId="3" fontId="19" fillId="0" borderId="37" xfId="0" applyNumberFormat="1" applyFont="1" applyBorder="1" applyAlignment="1">
      <alignment vertical="center"/>
    </xf>
    <xf numFmtId="0" fontId="1" fillId="0" borderId="32" xfId="0" applyFont="1" applyBorder="1" applyAlignment="1">
      <alignment horizontal="center" vertical="center"/>
    </xf>
    <xf numFmtId="0" fontId="1" fillId="0" borderId="38" xfId="0" applyFont="1" applyBorder="1" applyAlignment="1">
      <alignment horizontal="center" vertical="center"/>
    </xf>
    <xf numFmtId="0" fontId="1" fillId="0" borderId="18" xfId="0" applyFont="1" applyBorder="1" applyAlignment="1">
      <alignment horizontal="center" vertical="center"/>
    </xf>
    <xf numFmtId="3" fontId="21" fillId="0" borderId="40" xfId="0" applyNumberFormat="1" applyFont="1" applyBorder="1" applyAlignment="1">
      <alignment horizontal="center" vertical="center"/>
    </xf>
    <xf numFmtId="0" fontId="11" fillId="0" borderId="0" xfId="0" applyFont="1" applyAlignment="1">
      <alignment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3" fontId="1" fillId="0" borderId="19" xfId="0" applyNumberFormat="1" applyFont="1" applyBorder="1" applyAlignment="1">
      <alignment horizontal="center" vertical="center"/>
    </xf>
    <xf numFmtId="167" fontId="1" fillId="0" borderId="19" xfId="0" applyNumberFormat="1" applyFont="1" applyBorder="1" applyAlignment="1">
      <alignment horizontal="center" vertical="center"/>
    </xf>
    <xf numFmtId="167" fontId="19" fillId="0" borderId="19" xfId="0" applyNumberFormat="1" applyFont="1" applyBorder="1" applyAlignment="1">
      <alignment horizontal="center" vertical="center"/>
    </xf>
    <xf numFmtId="2" fontId="19" fillId="0" borderId="19" xfId="0" applyNumberFormat="1" applyFont="1" applyBorder="1" applyAlignment="1">
      <alignment horizontal="center" vertical="center"/>
    </xf>
    <xf numFmtId="0" fontId="19" fillId="0" borderId="37" xfId="0" applyFont="1" applyBorder="1" applyAlignment="1">
      <alignment horizontal="center" vertical="center"/>
    </xf>
    <xf numFmtId="167" fontId="1" fillId="0" borderId="3" xfId="0" applyNumberFormat="1" applyFont="1" applyBorder="1" applyAlignment="1">
      <alignment horizontal="center" vertical="center"/>
    </xf>
    <xf numFmtId="3" fontId="1" fillId="0" borderId="3" xfId="0" applyNumberFormat="1" applyFont="1" applyBorder="1" applyAlignment="1">
      <alignment horizontal="center" vertical="center"/>
    </xf>
    <xf numFmtId="0" fontId="1" fillId="0" borderId="33" xfId="0" applyFont="1" applyBorder="1" applyAlignment="1">
      <alignment horizontal="center" vertical="center"/>
    </xf>
    <xf numFmtId="0" fontId="1" fillId="0" borderId="28" xfId="0" applyFont="1" applyBorder="1" applyAlignment="1">
      <alignment vertical="center"/>
    </xf>
    <xf numFmtId="167" fontId="1" fillId="0" borderId="28" xfId="0" applyNumberFormat="1" applyFont="1" applyBorder="1" applyAlignment="1">
      <alignment horizontal="center" vertical="center"/>
    </xf>
    <xf numFmtId="3" fontId="1" fillId="0" borderId="28" xfId="0" applyNumberFormat="1" applyFont="1" applyBorder="1" applyAlignment="1">
      <alignment horizontal="center" vertical="center"/>
    </xf>
    <xf numFmtId="0" fontId="20" fillId="0" borderId="34"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36" xfId="0" applyFont="1" applyBorder="1" applyAlignment="1">
      <alignment horizontal="center" vertical="center" wrapText="1"/>
    </xf>
    <xf numFmtId="0" fontId="19" fillId="0" borderId="19" xfId="0" applyFont="1" applyBorder="1" applyAlignment="1">
      <alignment horizontal="center" vertical="center" shrinkToFit="1"/>
    </xf>
    <xf numFmtId="3" fontId="19" fillId="0" borderId="19" xfId="0" applyNumberFormat="1" applyFont="1" applyBorder="1" applyAlignment="1">
      <alignment horizontal="center" vertical="center"/>
    </xf>
    <xf numFmtId="3" fontId="19" fillId="0" borderId="37" xfId="0" applyNumberFormat="1" applyFont="1" applyBorder="1" applyAlignment="1">
      <alignment horizontal="center" vertical="center"/>
    </xf>
    <xf numFmtId="3" fontId="21" fillId="0" borderId="35" xfId="0" applyNumberFormat="1" applyFont="1" applyBorder="1" applyAlignment="1">
      <alignment vertical="center"/>
    </xf>
    <xf numFmtId="0" fontId="1" fillId="0" borderId="18" xfId="0" applyFont="1" applyBorder="1" applyAlignment="1">
      <alignment horizontal="right" vertical="center"/>
    </xf>
    <xf numFmtId="3" fontId="1" fillId="0" borderId="18" xfId="0" applyNumberFormat="1" applyFont="1" applyBorder="1" applyAlignment="1">
      <alignment horizontal="right" vertical="center"/>
    </xf>
    <xf numFmtId="0" fontId="20" fillId="0" borderId="34" xfId="0" applyFont="1" applyBorder="1" applyAlignment="1">
      <alignment horizontal="center" vertical="center"/>
    </xf>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0" xfId="0" applyFont="1" applyAlignment="1">
      <alignment horizontal="center" vertical="center"/>
    </xf>
    <xf numFmtId="2" fontId="1" fillId="0" borderId="19" xfId="0" applyNumberFormat="1" applyFont="1" applyBorder="1" applyAlignment="1">
      <alignment horizontal="center" vertical="center"/>
    </xf>
    <xf numFmtId="0" fontId="19" fillId="0" borderId="19" xfId="0" applyFont="1" applyBorder="1" applyAlignment="1">
      <alignment horizontal="center" vertical="center"/>
    </xf>
    <xf numFmtId="3" fontId="1" fillId="0" borderId="19" xfId="0" applyNumberFormat="1" applyFont="1" applyBorder="1" applyAlignment="1">
      <alignment vertical="center"/>
    </xf>
    <xf numFmtId="2" fontId="1" fillId="0" borderId="3" xfId="0" applyNumberFormat="1" applyFont="1" applyBorder="1" applyAlignment="1">
      <alignment horizontal="center" vertical="center"/>
    </xf>
    <xf numFmtId="2" fontId="1" fillId="0" borderId="18" xfId="0" applyNumberFormat="1" applyFont="1" applyBorder="1" applyAlignment="1">
      <alignment horizontal="center" vertical="center"/>
    </xf>
    <xf numFmtId="3" fontId="21" fillId="0" borderId="36" xfId="0" applyNumberFormat="1" applyFont="1" applyBorder="1" applyAlignment="1">
      <alignment vertical="center"/>
    </xf>
    <xf numFmtId="0" fontId="22" fillId="0" borderId="0" xfId="0" applyFont="1" applyAlignment="1">
      <alignment vertical="center"/>
    </xf>
    <xf numFmtId="0" fontId="3" fillId="0" borderId="0" xfId="0" applyFont="1" applyAlignment="1">
      <alignment horizontal="center" vertical="center" wrapText="1"/>
    </xf>
    <xf numFmtId="1" fontId="1" fillId="0" borderId="19" xfId="0" applyNumberFormat="1" applyFont="1" applyBorder="1" applyAlignment="1">
      <alignment horizontal="center" vertical="center"/>
    </xf>
    <xf numFmtId="168" fontId="19" fillId="0" borderId="19" xfId="0" applyNumberFormat="1" applyFont="1" applyBorder="1" applyAlignment="1">
      <alignment horizontal="center" vertical="center"/>
    </xf>
    <xf numFmtId="1" fontId="1" fillId="0" borderId="3" xfId="0" applyNumberFormat="1" applyFont="1" applyBorder="1" applyAlignment="1">
      <alignment horizontal="center" vertical="center"/>
    </xf>
    <xf numFmtId="1" fontId="1" fillId="0" borderId="18" xfId="0" applyNumberFormat="1" applyFont="1" applyBorder="1" applyAlignment="1">
      <alignment horizontal="center" vertical="center"/>
    </xf>
    <xf numFmtId="1" fontId="19" fillId="0" borderId="40" xfId="0" applyNumberFormat="1" applyFont="1" applyBorder="1" applyAlignment="1">
      <alignment horizontal="center" vertical="center"/>
    </xf>
    <xf numFmtId="1" fontId="19" fillId="0" borderId="3" xfId="0" applyNumberFormat="1" applyFont="1" applyBorder="1" applyAlignment="1">
      <alignment horizontal="center" vertical="center"/>
    </xf>
    <xf numFmtId="1" fontId="19" fillId="0" borderId="28" xfId="0" applyNumberFormat="1" applyFont="1" applyBorder="1" applyAlignment="1">
      <alignment horizontal="center" vertical="center"/>
    </xf>
    <xf numFmtId="0" fontId="19" fillId="0" borderId="19" xfId="0" applyFont="1" applyBorder="1" applyAlignment="1">
      <alignment vertical="center"/>
    </xf>
    <xf numFmtId="0" fontId="19" fillId="0" borderId="32" xfId="0" applyFont="1" applyBorder="1" applyAlignment="1">
      <alignment horizontal="center" vertical="center"/>
    </xf>
    <xf numFmtId="0" fontId="1" fillId="0" borderId="28" xfId="0" applyFont="1" applyBorder="1" applyAlignment="1">
      <alignment horizontal="center" vertical="center"/>
    </xf>
    <xf numFmtId="0" fontId="23" fillId="0" borderId="0" xfId="0" applyFont="1" applyAlignment="1">
      <alignment vertical="center"/>
    </xf>
    <xf numFmtId="0" fontId="1" fillId="0" borderId="30" xfId="0" applyFont="1" applyBorder="1" applyAlignment="1">
      <alignment vertical="center"/>
    </xf>
    <xf numFmtId="0" fontId="1" fillId="0" borderId="32" xfId="0" applyFont="1" applyBorder="1" applyAlignment="1">
      <alignment vertical="center"/>
    </xf>
    <xf numFmtId="0" fontId="1" fillId="0" borderId="33" xfId="0" applyFont="1" applyBorder="1" applyAlignment="1">
      <alignment vertical="center"/>
    </xf>
    <xf numFmtId="0" fontId="24" fillId="0" borderId="0" xfId="0" applyFont="1" applyAlignment="1">
      <alignment vertical="center"/>
    </xf>
    <xf numFmtId="0" fontId="25" fillId="0" borderId="0" xfId="0" applyFont="1" applyAlignment="1">
      <alignment horizontal="center" vertical="center"/>
    </xf>
    <xf numFmtId="0" fontId="26" fillId="0" borderId="3" xfId="0" applyFont="1" applyBorder="1" applyAlignment="1">
      <alignment horizontal="center" vertical="center"/>
    </xf>
    <xf numFmtId="0" fontId="24" fillId="0" borderId="0" xfId="0" applyFont="1" applyAlignment="1">
      <alignment horizontal="center" vertical="center"/>
    </xf>
    <xf numFmtId="0" fontId="28" fillId="0" borderId="3" xfId="0" applyFont="1" applyBorder="1" applyAlignment="1">
      <alignment vertical="center"/>
    </xf>
    <xf numFmtId="0" fontId="27" fillId="0" borderId="0" xfId="0" applyFont="1" applyAlignment="1">
      <alignment horizontal="center" vertical="center"/>
    </xf>
    <xf numFmtId="3" fontId="28" fillId="0" borderId="3" xfId="0" applyNumberFormat="1" applyFont="1" applyBorder="1" applyAlignment="1">
      <alignment vertical="center"/>
    </xf>
    <xf numFmtId="0" fontId="2" fillId="0" borderId="0" xfId="0" applyFont="1" applyAlignment="1">
      <alignment horizontal="center" vertical="center"/>
    </xf>
    <xf numFmtId="0" fontId="30" fillId="0" borderId="0" xfId="0" applyFont="1" applyAlignment="1">
      <alignment horizontal="center" vertical="center"/>
    </xf>
    <xf numFmtId="0" fontId="3" fillId="0" borderId="40" xfId="0" applyFont="1" applyBorder="1" applyAlignment="1">
      <alignment horizontal="right" vertical="center"/>
    </xf>
    <xf numFmtId="0" fontId="18" fillId="0" borderId="40" xfId="0" applyFont="1" applyBorder="1" applyAlignment="1">
      <alignment horizontal="center" vertical="center"/>
    </xf>
    <xf numFmtId="0" fontId="1" fillId="0" borderId="40" xfId="0" applyFont="1" applyBorder="1" applyAlignment="1">
      <alignment vertical="center"/>
    </xf>
    <xf numFmtId="0" fontId="1" fillId="0" borderId="49" xfId="0" applyFont="1" applyBorder="1" applyAlignment="1">
      <alignment vertical="center"/>
    </xf>
    <xf numFmtId="0" fontId="3" fillId="0" borderId="33" xfId="0" applyFont="1" applyBorder="1" applyAlignment="1">
      <alignment horizontal="center" vertical="center"/>
    </xf>
    <xf numFmtId="0" fontId="3" fillId="0" borderId="50" xfId="0" applyFont="1" applyBorder="1" applyAlignment="1">
      <alignment horizontal="center" vertical="center"/>
    </xf>
    <xf numFmtId="3" fontId="19" fillId="14" borderId="1" xfId="0" applyNumberFormat="1" applyFont="1" applyFill="1" applyBorder="1" applyAlignment="1">
      <alignment horizontal="right" vertical="center"/>
    </xf>
    <xf numFmtId="3" fontId="19" fillId="14" borderId="31" xfId="0" applyNumberFormat="1" applyFont="1" applyFill="1" applyBorder="1" applyAlignment="1">
      <alignment horizontal="right" vertical="center"/>
    </xf>
    <xf numFmtId="3" fontId="21" fillId="0" borderId="35" xfId="0" applyNumberFormat="1" applyFont="1" applyBorder="1" applyAlignment="1">
      <alignment horizontal="right" vertical="center"/>
    </xf>
    <xf numFmtId="3" fontId="21" fillId="0" borderId="36" xfId="0" applyNumberFormat="1" applyFont="1" applyBorder="1" applyAlignment="1">
      <alignment horizontal="right" vertical="center"/>
    </xf>
    <xf numFmtId="0" fontId="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xf>
    <xf numFmtId="0" fontId="1" fillId="0" borderId="51" xfId="0" applyFont="1" applyBorder="1" applyAlignment="1">
      <alignment horizontal="center" vertical="center"/>
    </xf>
    <xf numFmtId="0" fontId="1" fillId="0" borderId="51" xfId="0" applyFont="1" applyBorder="1" applyAlignment="1">
      <alignment horizontal="center" vertical="center" wrapText="1"/>
    </xf>
    <xf numFmtId="0" fontId="1" fillId="8" borderId="51" xfId="0" applyFont="1" applyFill="1" applyBorder="1" applyAlignment="1">
      <alignment horizontal="center" vertical="center"/>
    </xf>
    <xf numFmtId="0" fontId="11" fillId="12" borderId="1" xfId="0" applyFont="1" applyFill="1" applyBorder="1"/>
    <xf numFmtId="0" fontId="8" fillId="0" borderId="0" xfId="0" applyFont="1"/>
    <xf numFmtId="0" fontId="1" fillId="8" borderId="52" xfId="0" applyFont="1" applyFill="1" applyBorder="1" applyAlignment="1">
      <alignment horizontal="center"/>
    </xf>
    <xf numFmtId="0" fontId="1" fillId="9" borderId="52" xfId="0" applyFont="1" applyFill="1" applyBorder="1" applyAlignment="1">
      <alignment horizontal="center"/>
    </xf>
    <xf numFmtId="0" fontId="3" fillId="5" borderId="12" xfId="0" applyFont="1" applyFill="1" applyBorder="1"/>
    <xf numFmtId="0" fontId="1" fillId="5" borderId="12" xfId="0" applyFont="1" applyFill="1" applyBorder="1"/>
    <xf numFmtId="0" fontId="3" fillId="8" borderId="52" xfId="0" applyFont="1" applyFill="1" applyBorder="1" applyAlignment="1">
      <alignment horizontal="center"/>
    </xf>
    <xf numFmtId="0" fontId="3" fillId="8" borderId="52" xfId="0" applyFont="1" applyFill="1" applyBorder="1"/>
    <xf numFmtId="0" fontId="1" fillId="8" borderId="52" xfId="0" applyFont="1" applyFill="1" applyBorder="1"/>
    <xf numFmtId="0" fontId="1" fillId="9" borderId="52" xfId="0" applyFont="1" applyFill="1" applyBorder="1"/>
    <xf numFmtId="0" fontId="1" fillId="8" borderId="53" xfId="0" applyFont="1" applyFill="1" applyBorder="1" applyAlignment="1">
      <alignment horizontal="center" vertical="center"/>
    </xf>
    <xf numFmtId="0" fontId="1" fillId="8" borderId="53" xfId="0" applyFont="1" applyFill="1" applyBorder="1" applyAlignment="1">
      <alignment horizontal="center" vertical="center" wrapText="1"/>
    </xf>
    <xf numFmtId="0" fontId="1" fillId="8" borderId="53" xfId="0" applyFont="1" applyFill="1" applyBorder="1" applyAlignment="1">
      <alignment horizontal="center"/>
    </xf>
    <xf numFmtId="1" fontId="1" fillId="9" borderId="53" xfId="0" applyNumberFormat="1" applyFont="1" applyFill="1" applyBorder="1" applyAlignment="1">
      <alignment horizontal="center"/>
    </xf>
    <xf numFmtId="0" fontId="1" fillId="9" borderId="53" xfId="0" applyFont="1" applyFill="1" applyBorder="1" applyAlignment="1">
      <alignment horizontal="center"/>
    </xf>
    <xf numFmtId="14" fontId="1" fillId="9" borderId="53" xfId="0" applyNumberFormat="1" applyFont="1" applyFill="1" applyBorder="1" applyAlignment="1">
      <alignment horizontal="center"/>
    </xf>
    <xf numFmtId="1" fontId="1" fillId="0" borderId="0" xfId="0" applyNumberFormat="1" applyFont="1"/>
    <xf numFmtId="0" fontId="30" fillId="0" borderId="0" xfId="0" applyFont="1"/>
    <xf numFmtId="0" fontId="1" fillId="8" borderId="52" xfId="0" applyFont="1" applyFill="1" applyBorder="1" applyAlignment="1">
      <alignment horizontal="center" wrapText="1"/>
    </xf>
    <xf numFmtId="14" fontId="1" fillId="8" borderId="52" xfId="0" applyNumberFormat="1" applyFont="1" applyFill="1" applyBorder="1" applyAlignment="1">
      <alignment horizontal="center"/>
    </xf>
    <xf numFmtId="0" fontId="9" fillId="14" borderId="52" xfId="0" applyFont="1" applyFill="1" applyBorder="1" applyAlignment="1">
      <alignment horizontal="center"/>
    </xf>
    <xf numFmtId="14" fontId="1" fillId="0" borderId="0" xfId="0" applyNumberFormat="1" applyFont="1"/>
    <xf numFmtId="14" fontId="3" fillId="5" borderId="12" xfId="0" applyNumberFormat="1" applyFont="1" applyFill="1" applyBorder="1"/>
    <xf numFmtId="0" fontId="32" fillId="9" borderId="52" xfId="0" applyFont="1" applyFill="1" applyBorder="1" applyAlignment="1">
      <alignment horizontal="center"/>
    </xf>
    <xf numFmtId="0" fontId="33" fillId="9" borderId="52" xfId="0" applyFont="1" applyFill="1" applyBorder="1" applyAlignment="1">
      <alignment horizontal="center"/>
    </xf>
    <xf numFmtId="0" fontId="9" fillId="9" borderId="52" xfId="0" applyFont="1" applyFill="1" applyBorder="1"/>
    <xf numFmtId="0" fontId="34" fillId="9" borderId="52" xfId="0" applyFont="1" applyFill="1" applyBorder="1"/>
    <xf numFmtId="0" fontId="36" fillId="19" borderId="58" xfId="0" applyFont="1" applyFill="1" applyBorder="1" applyAlignment="1">
      <alignment horizontal="center" vertical="center"/>
    </xf>
    <xf numFmtId="0" fontId="36" fillId="19" borderId="59" xfId="0" applyFont="1" applyFill="1" applyBorder="1" applyAlignment="1">
      <alignment horizontal="center" vertical="center"/>
    </xf>
    <xf numFmtId="0" fontId="36" fillId="19" borderId="59" xfId="0" applyFont="1" applyFill="1" applyBorder="1" applyAlignment="1">
      <alignment horizontal="center" vertical="center" wrapText="1"/>
    </xf>
    <xf numFmtId="0" fontId="36" fillId="19" borderId="60" xfId="0" applyFont="1" applyFill="1" applyBorder="1" applyAlignment="1">
      <alignment horizontal="center" vertical="center" wrapText="1"/>
    </xf>
    <xf numFmtId="0" fontId="37" fillId="20" borderId="61" xfId="0" applyFont="1" applyFill="1" applyBorder="1" applyAlignment="1">
      <alignment vertical="center"/>
    </xf>
    <xf numFmtId="0" fontId="37" fillId="20" borderId="62" xfId="0" applyFont="1" applyFill="1" applyBorder="1" applyAlignment="1">
      <alignment horizontal="center" vertical="center"/>
    </xf>
    <xf numFmtId="14" fontId="37" fillId="20" borderId="62" xfId="0" applyNumberFormat="1" applyFont="1" applyFill="1" applyBorder="1" applyAlignment="1">
      <alignment horizontal="center" vertical="center"/>
    </xf>
    <xf numFmtId="169" fontId="37" fillId="20" borderId="63" xfId="0" applyNumberFormat="1" applyFont="1" applyFill="1" applyBorder="1" applyAlignment="1">
      <alignment horizontal="center" vertical="center"/>
    </xf>
    <xf numFmtId="0" fontId="37" fillId="21" borderId="61" xfId="0" applyFont="1" applyFill="1" applyBorder="1" applyAlignment="1">
      <alignment vertical="center"/>
    </xf>
    <xf numFmtId="0" fontId="37" fillId="21" borderId="64" xfId="0" applyFont="1" applyFill="1" applyBorder="1" applyAlignment="1">
      <alignment vertical="center"/>
    </xf>
    <xf numFmtId="0" fontId="38" fillId="0" borderId="0" xfId="0" applyFont="1"/>
    <xf numFmtId="0" fontId="39" fillId="0" borderId="0" xfId="0" applyFont="1"/>
    <xf numFmtId="0" fontId="41" fillId="22" borderId="71" xfId="0" applyFont="1" applyFill="1" applyBorder="1" applyAlignment="1">
      <alignment horizontal="center" vertical="center"/>
    </xf>
    <xf numFmtId="0" fontId="41" fillId="22" borderId="72" xfId="0" applyFont="1" applyFill="1" applyBorder="1" applyAlignment="1">
      <alignment horizontal="center" vertical="center"/>
    </xf>
    <xf numFmtId="0" fontId="42" fillId="20" borderId="73" xfId="0" applyFont="1" applyFill="1" applyBorder="1" applyAlignment="1">
      <alignment horizontal="center" vertical="center"/>
    </xf>
    <xf numFmtId="0" fontId="42" fillId="20" borderId="74" xfId="0" applyFont="1" applyFill="1" applyBorder="1" applyAlignment="1">
      <alignment vertical="center"/>
    </xf>
    <xf numFmtId="0" fontId="42" fillId="20" borderId="74" xfId="0" applyFont="1" applyFill="1" applyBorder="1" applyAlignment="1">
      <alignment horizontal="center" vertical="center"/>
    </xf>
    <xf numFmtId="0" fontId="42" fillId="20" borderId="71" xfId="0" applyFont="1" applyFill="1" applyBorder="1" applyAlignment="1">
      <alignment horizontal="center" vertical="center"/>
    </xf>
    <xf numFmtId="0" fontId="42" fillId="20" borderId="72" xfId="0" applyFont="1" applyFill="1" applyBorder="1" applyAlignment="1">
      <alignment vertical="center"/>
    </xf>
    <xf numFmtId="0" fontId="43" fillId="0" borderId="0" xfId="0" applyFont="1"/>
    <xf numFmtId="0" fontId="44" fillId="0" borderId="0" xfId="0" applyFont="1"/>
    <xf numFmtId="0" fontId="44" fillId="0" borderId="0" xfId="0" quotePrefix="1" applyFont="1"/>
    <xf numFmtId="0" fontId="20" fillId="0" borderId="34" xfId="0" applyFont="1" applyBorder="1" applyAlignment="1">
      <alignment horizontal="center"/>
    </xf>
    <xf numFmtId="0" fontId="20" fillId="0" borderId="35" xfId="0" applyFont="1" applyBorder="1" applyAlignment="1">
      <alignment horizontal="center"/>
    </xf>
    <xf numFmtId="0" fontId="20" fillId="0" borderId="36" xfId="0" applyFont="1" applyBorder="1" applyAlignment="1">
      <alignment horizontal="center"/>
    </xf>
    <xf numFmtId="0" fontId="1" fillId="0" borderId="30" xfId="0" applyFont="1" applyBorder="1" applyAlignment="1">
      <alignment horizontal="center"/>
    </xf>
    <xf numFmtId="0" fontId="1" fillId="0" borderId="19" xfId="0" applyFont="1" applyBorder="1"/>
    <xf numFmtId="0" fontId="19" fillId="0" borderId="19" xfId="0" applyFont="1" applyBorder="1" applyAlignment="1">
      <alignment horizontal="center"/>
    </xf>
    <xf numFmtId="3" fontId="19" fillId="0" borderId="19" xfId="0" applyNumberFormat="1" applyFont="1" applyBorder="1" applyAlignment="1">
      <alignment horizontal="center"/>
    </xf>
    <xf numFmtId="3" fontId="19" fillId="0" borderId="37" xfId="0" applyNumberFormat="1" applyFont="1" applyBorder="1"/>
    <xf numFmtId="0" fontId="1" fillId="0" borderId="32" xfId="0" applyFont="1" applyBorder="1" applyAlignment="1">
      <alignment horizontal="center"/>
    </xf>
    <xf numFmtId="0" fontId="1" fillId="0" borderId="38" xfId="0" applyFont="1" applyBorder="1" applyAlignment="1">
      <alignment horizontal="center"/>
    </xf>
    <xf numFmtId="0" fontId="1" fillId="0" borderId="18" xfId="0" applyFont="1" applyBorder="1"/>
    <xf numFmtId="0" fontId="1" fillId="0" borderId="18" xfId="0" applyFont="1" applyBorder="1" applyAlignment="1">
      <alignment horizontal="center"/>
    </xf>
    <xf numFmtId="0" fontId="22" fillId="0" borderId="0" xfId="0" applyFont="1"/>
    <xf numFmtId="0" fontId="3" fillId="0" borderId="28" xfId="0" applyFont="1" applyBorder="1" applyAlignment="1">
      <alignment horizontal="center" vertical="center" wrapText="1"/>
    </xf>
    <xf numFmtId="0" fontId="3" fillId="0" borderId="50" xfId="0" applyFont="1" applyBorder="1" applyAlignment="1">
      <alignment horizontal="center" vertical="center" wrapText="1"/>
    </xf>
    <xf numFmtId="3" fontId="1" fillId="0" borderId="19" xfId="0" applyNumberFormat="1" applyFont="1" applyBorder="1" applyAlignment="1">
      <alignment horizontal="center"/>
    </xf>
    <xf numFmtId="3" fontId="1" fillId="0" borderId="3" xfId="0" applyNumberFormat="1" applyFont="1" applyBorder="1" applyAlignment="1">
      <alignment horizontal="center"/>
    </xf>
    <xf numFmtId="3" fontId="1" fillId="0" borderId="18" xfId="0" applyNumberFormat="1" applyFont="1" applyBorder="1" applyAlignment="1">
      <alignment horizontal="center"/>
    </xf>
    <xf numFmtId="3" fontId="1" fillId="0" borderId="18" xfId="0" applyNumberFormat="1" applyFont="1" applyBorder="1" applyAlignment="1">
      <alignment horizontal="center" vertical="center"/>
    </xf>
    <xf numFmtId="3" fontId="45" fillId="0" borderId="35" xfId="0" applyNumberFormat="1" applyFont="1" applyBorder="1" applyAlignment="1">
      <alignment horizontal="center"/>
    </xf>
    <xf numFmtId="0" fontId="1" fillId="0" borderId="19" xfId="0" applyFont="1" applyBorder="1" applyAlignment="1">
      <alignment horizontal="left" vertical="center"/>
    </xf>
    <xf numFmtId="0" fontId="19" fillId="0" borderId="28" xfId="0" applyFont="1" applyBorder="1" applyAlignment="1">
      <alignment vertical="center"/>
    </xf>
    <xf numFmtId="3" fontId="46" fillId="0" borderId="19" xfId="0" applyNumberFormat="1" applyFont="1" applyBorder="1" applyAlignment="1">
      <alignment horizontal="center" vertical="center"/>
    </xf>
    <xf numFmtId="3" fontId="46" fillId="0" borderId="3" xfId="0" applyNumberFormat="1" applyFont="1" applyBorder="1" applyAlignment="1">
      <alignment horizontal="center" vertical="center"/>
    </xf>
    <xf numFmtId="0" fontId="1" fillId="0" borderId="28" xfId="0" applyFont="1" applyBorder="1" applyAlignment="1">
      <alignment horizontal="left" vertical="center"/>
    </xf>
    <xf numFmtId="3" fontId="46" fillId="0" borderId="28" xfId="0" applyNumberFormat="1" applyFont="1" applyBorder="1" applyAlignment="1">
      <alignment horizontal="center" vertical="center"/>
    </xf>
    <xf numFmtId="0" fontId="19" fillId="0" borderId="0" xfId="0" applyFont="1" applyAlignment="1">
      <alignment horizontal="center" vertical="center"/>
    </xf>
    <xf numFmtId="0" fontId="1" fillId="0" borderId="0" xfId="0" applyFont="1" applyAlignment="1">
      <alignment horizontal="left" vertical="center"/>
    </xf>
    <xf numFmtId="0" fontId="19" fillId="0" borderId="0" xfId="0" applyFont="1" applyAlignment="1">
      <alignment vertical="center"/>
    </xf>
    <xf numFmtId="3" fontId="19" fillId="0" borderId="0" xfId="0" applyNumberFormat="1" applyFont="1" applyAlignment="1">
      <alignment horizontal="center" vertical="center"/>
    </xf>
    <xf numFmtId="3" fontId="46" fillId="0" borderId="0" xfId="0" applyNumberFormat="1" applyFont="1" applyAlignment="1">
      <alignment horizontal="center" vertical="center"/>
    </xf>
    <xf numFmtId="3" fontId="19" fillId="0" borderId="0" xfId="0" applyNumberFormat="1" applyFont="1" applyAlignment="1">
      <alignment vertical="center"/>
    </xf>
    <xf numFmtId="0" fontId="47" fillId="0" borderId="0" xfId="0" applyFont="1" applyAlignment="1">
      <alignment vertical="center"/>
    </xf>
    <xf numFmtId="0" fontId="48" fillId="0" borderId="0" xfId="0" applyFont="1"/>
    <xf numFmtId="0" fontId="49" fillId="0" borderId="0" xfId="0" applyFont="1"/>
    <xf numFmtId="0" fontId="48" fillId="8" borderId="52" xfId="0" applyFont="1" applyFill="1" applyBorder="1" applyAlignment="1">
      <alignment horizontal="center" vertical="center"/>
    </xf>
    <xf numFmtId="0" fontId="50" fillId="5" borderId="12" xfId="0" applyFont="1" applyFill="1" applyBorder="1"/>
    <xf numFmtId="0" fontId="48" fillId="8" borderId="52" xfId="0" applyFont="1" applyFill="1" applyBorder="1" applyAlignment="1">
      <alignment horizontal="center"/>
    </xf>
    <xf numFmtId="0" fontId="48" fillId="8" borderId="52" xfId="0" applyFont="1" applyFill="1" applyBorder="1"/>
    <xf numFmtId="0" fontId="48" fillId="9" borderId="52" xfId="0" applyFont="1" applyFill="1" applyBorder="1"/>
    <xf numFmtId="0" fontId="48" fillId="9" borderId="52" xfId="0" applyFont="1" applyFill="1" applyBorder="1" applyAlignment="1">
      <alignment horizontal="center"/>
    </xf>
    <xf numFmtId="0" fontId="48" fillId="5" borderId="12" xfId="0" applyFont="1" applyFill="1" applyBorder="1"/>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3" fillId="0" borderId="0" xfId="0" applyFont="1"/>
    <xf numFmtId="0" fontId="53" fillId="0" borderId="0" xfId="0" applyFont="1" applyAlignment="1">
      <alignment horizontal="left"/>
    </xf>
    <xf numFmtId="0" fontId="1" fillId="7" borderId="3" xfId="0" applyFont="1" applyFill="1" applyBorder="1" applyAlignment="1">
      <alignment horizontal="left" vertical="center"/>
    </xf>
    <xf numFmtId="3" fontId="1" fillId="7" borderId="3" xfId="0" applyNumberFormat="1" applyFont="1" applyFill="1" applyBorder="1" applyAlignment="1">
      <alignment horizontal="center" vertical="center"/>
    </xf>
    <xf numFmtId="0" fontId="48" fillId="0" borderId="3" xfId="0" applyFont="1" applyBorder="1"/>
    <xf numFmtId="0" fontId="9" fillId="0" borderId="0" xfId="0" applyFont="1"/>
    <xf numFmtId="0" fontId="54" fillId="0" borderId="3" xfId="0" applyFont="1" applyBorder="1" applyAlignment="1">
      <alignment horizontal="center" vertical="center" wrapText="1"/>
    </xf>
    <xf numFmtId="0" fontId="54" fillId="0" borderId="3" xfId="0" applyFont="1" applyBorder="1" applyAlignment="1">
      <alignment horizontal="center" vertical="center"/>
    </xf>
    <xf numFmtId="0" fontId="1" fillId="7" borderId="3" xfId="0" applyFont="1" applyFill="1" applyBorder="1" applyAlignment="1">
      <alignment vertical="center"/>
    </xf>
    <xf numFmtId="0" fontId="4" fillId="0" borderId="0" xfId="0" applyFont="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2" fillId="0" borderId="0" xfId="0" applyFont="1" applyAlignment="1">
      <alignment horizontal="center" vertical="center"/>
    </xf>
    <xf numFmtId="0" fontId="32" fillId="0" borderId="3" xfId="0" applyFont="1" applyBorder="1" applyAlignment="1">
      <alignment horizontal="center" vertical="center"/>
    </xf>
    <xf numFmtId="0" fontId="55" fillId="0" borderId="0" xfId="0" applyFont="1"/>
    <xf numFmtId="0" fontId="1" fillId="0" borderId="0" xfId="0" quotePrefix="1" applyFont="1" applyAlignment="1">
      <alignment vertical="center"/>
    </xf>
    <xf numFmtId="0" fontId="1" fillId="5" borderId="3" xfId="0" applyFont="1" applyFill="1" applyBorder="1" applyAlignment="1">
      <alignment horizontal="center"/>
    </xf>
    <xf numFmtId="0" fontId="1" fillId="5" borderId="3" xfId="0" applyFont="1" applyFill="1" applyBorder="1"/>
    <xf numFmtId="170" fontId="1" fillId="0" borderId="3" xfId="0" applyNumberFormat="1" applyFont="1" applyBorder="1" applyAlignment="1">
      <alignment horizontal="center"/>
    </xf>
    <xf numFmtId="0" fontId="11" fillId="12" borderId="3" xfId="0" applyFont="1" applyFill="1" applyBorder="1"/>
    <xf numFmtId="16" fontId="1" fillId="0" borderId="4" xfId="0" applyNumberFormat="1" applyFont="1" applyBorder="1" applyAlignment="1">
      <alignment horizontal="center"/>
    </xf>
    <xf numFmtId="16" fontId="1" fillId="0" borderId="5" xfId="0" applyNumberFormat="1" applyFont="1" applyBorder="1" applyAlignment="1">
      <alignment horizontal="center"/>
    </xf>
    <xf numFmtId="16" fontId="1" fillId="0" borderId="6" xfId="0" applyNumberFormat="1" applyFont="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3" fontId="1" fillId="0" borderId="35" xfId="0" applyNumberFormat="1" applyFont="1" applyBorder="1" applyAlignment="1">
      <alignment horizontal="center" vertical="center" wrapText="1"/>
    </xf>
    <xf numFmtId="2" fontId="1" fillId="0" borderId="35" xfId="0" applyNumberFormat="1" applyFont="1" applyBorder="1" applyAlignment="1">
      <alignment horizontal="center" vertical="center" wrapText="1"/>
    </xf>
    <xf numFmtId="0" fontId="1" fillId="0" borderId="36" xfId="0" applyFont="1" applyBorder="1" applyAlignment="1">
      <alignment horizontal="center" vertical="center" wrapText="1"/>
    </xf>
    <xf numFmtId="14" fontId="1" fillId="0" borderId="19" xfId="0" applyNumberFormat="1" applyFont="1" applyBorder="1" applyAlignment="1">
      <alignment horizontal="center" vertical="center"/>
    </xf>
    <xf numFmtId="2" fontId="19" fillId="0" borderId="19" xfId="0" applyNumberFormat="1" applyFont="1" applyBorder="1" applyAlignment="1">
      <alignment vertical="center"/>
    </xf>
    <xf numFmtId="14" fontId="1" fillId="0" borderId="3" xfId="0" applyNumberFormat="1" applyFont="1" applyBorder="1" applyAlignment="1">
      <alignment horizontal="center" vertical="center"/>
    </xf>
    <xf numFmtId="3" fontId="1" fillId="0" borderId="28" xfId="0" applyNumberFormat="1" applyFont="1" applyBorder="1" applyAlignment="1">
      <alignment vertical="center"/>
    </xf>
    <xf numFmtId="14" fontId="1" fillId="0" borderId="28" xfId="0" applyNumberFormat="1" applyFont="1" applyBorder="1" applyAlignment="1">
      <alignment horizontal="center" vertical="center"/>
    </xf>
    <xf numFmtId="2" fontId="1" fillId="0" borderId="0" xfId="0" applyNumberFormat="1" applyFont="1" applyAlignment="1">
      <alignment vertical="center"/>
    </xf>
    <xf numFmtId="3" fontId="3" fillId="0" borderId="36" xfId="0" applyNumberFormat="1" applyFont="1" applyBorder="1" applyAlignment="1">
      <alignment horizontal="center" vertical="center" wrapText="1"/>
    </xf>
    <xf numFmtId="0" fontId="1" fillId="0" borderId="37" xfId="0" applyFont="1" applyBorder="1" applyAlignment="1">
      <alignment vertical="center"/>
    </xf>
    <xf numFmtId="0" fontId="1" fillId="0" borderId="30" xfId="0" applyFont="1" applyBorder="1" applyAlignment="1">
      <alignment horizontal="left" vertical="center"/>
    </xf>
    <xf numFmtId="3" fontId="1" fillId="0" borderId="37" xfId="0" applyNumberFormat="1" applyFont="1" applyBorder="1" applyAlignment="1">
      <alignment horizontal="center" vertical="center"/>
    </xf>
    <xf numFmtId="0" fontId="1" fillId="0" borderId="79" xfId="0" applyFont="1" applyBorder="1" applyAlignment="1">
      <alignment vertical="center"/>
    </xf>
    <xf numFmtId="0" fontId="1" fillId="0" borderId="32" xfId="0" applyFont="1" applyBorder="1" applyAlignment="1">
      <alignment horizontal="left" vertical="center"/>
    </xf>
    <xf numFmtId="3" fontId="1" fillId="0" borderId="79" xfId="0" applyNumberFormat="1" applyFont="1" applyBorder="1" applyAlignment="1">
      <alignment horizontal="center" vertical="center"/>
    </xf>
    <xf numFmtId="0" fontId="1" fillId="0" borderId="50" xfId="0" applyFont="1" applyBorder="1" applyAlignment="1">
      <alignment vertical="center"/>
    </xf>
    <xf numFmtId="0" fontId="1" fillId="0" borderId="33" xfId="0" applyFont="1" applyBorder="1" applyAlignment="1">
      <alignment horizontal="left" vertical="center"/>
    </xf>
    <xf numFmtId="3" fontId="1" fillId="0" borderId="50" xfId="0" applyNumberFormat="1" applyFont="1" applyBorder="1" applyAlignment="1">
      <alignment horizontal="center" vertical="center"/>
    </xf>
    <xf numFmtId="3" fontId="1" fillId="0" borderId="0" xfId="0" applyNumberFormat="1" applyFont="1" applyAlignment="1">
      <alignment vertical="center"/>
    </xf>
    <xf numFmtId="3" fontId="1" fillId="0" borderId="0" xfId="0" applyNumberFormat="1" applyFont="1" applyAlignment="1">
      <alignment horizontal="center" vertical="center"/>
    </xf>
    <xf numFmtId="3" fontId="19" fillId="0" borderId="37" xfId="0" applyNumberFormat="1" applyFont="1" applyBorder="1" applyAlignment="1">
      <alignment horizontal="right" vertical="center"/>
    </xf>
    <xf numFmtId="0" fontId="3" fillId="0" borderId="34" xfId="0" applyFont="1" applyBorder="1" applyAlignment="1">
      <alignment horizontal="center"/>
    </xf>
    <xf numFmtId="0" fontId="3" fillId="0" borderId="35" xfId="0" applyFont="1" applyBorder="1" applyAlignment="1">
      <alignment horizontal="center"/>
    </xf>
    <xf numFmtId="0" fontId="3" fillId="0" borderId="36" xfId="0" applyFont="1" applyBorder="1" applyAlignment="1">
      <alignment horizontal="center"/>
    </xf>
    <xf numFmtId="0" fontId="19" fillId="0" borderId="19" xfId="0" applyFont="1" applyBorder="1"/>
    <xf numFmtId="171" fontId="21" fillId="0" borderId="36" xfId="0" applyNumberFormat="1" applyFont="1" applyBorder="1"/>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0" xfId="0" quotePrefix="1" applyFont="1" applyBorder="1" applyAlignment="1">
      <alignment horizontal="left"/>
    </xf>
    <xf numFmtId="0" fontId="1" fillId="0" borderId="37" xfId="0" applyFont="1" applyBorder="1"/>
    <xf numFmtId="0" fontId="1" fillId="0" borderId="37" xfId="0" applyFont="1" applyBorder="1" applyAlignment="1">
      <alignment horizontal="center"/>
    </xf>
    <xf numFmtId="0" fontId="1" fillId="0" borderId="32" xfId="0" quotePrefix="1" applyFont="1" applyBorder="1" applyAlignment="1">
      <alignment horizontal="left"/>
    </xf>
    <xf numFmtId="0" fontId="1" fillId="0" borderId="79" xfId="0" applyFont="1" applyBorder="1"/>
    <xf numFmtId="0" fontId="1" fillId="0" borderId="79" xfId="0" applyFont="1" applyBorder="1" applyAlignment="1">
      <alignment horizontal="center"/>
    </xf>
    <xf numFmtId="0" fontId="1" fillId="0" borderId="33" xfId="0" applyFont="1" applyBorder="1" applyAlignment="1">
      <alignment horizontal="center"/>
    </xf>
    <xf numFmtId="0" fontId="1" fillId="0" borderId="50" xfId="0" applyFont="1" applyBorder="1" applyAlignment="1">
      <alignment horizontal="center"/>
    </xf>
    <xf numFmtId="0" fontId="1" fillId="0" borderId="33" xfId="0" quotePrefix="1" applyFont="1" applyBorder="1" applyAlignment="1">
      <alignment horizontal="left"/>
    </xf>
    <xf numFmtId="0" fontId="1" fillId="0" borderId="50" xfId="0" applyFont="1" applyBorder="1"/>
    <xf numFmtId="0" fontId="4" fillId="0" borderId="3" xfId="0" applyFont="1" applyBorder="1" applyAlignment="1">
      <alignment horizontal="center" vertical="center" wrapText="1"/>
    </xf>
    <xf numFmtId="3" fontId="1" fillId="7" borderId="3" xfId="0" applyNumberFormat="1" applyFont="1" applyFill="1" applyBorder="1" applyAlignment="1">
      <alignment vertical="center"/>
    </xf>
    <xf numFmtId="3" fontId="26" fillId="7" borderId="3" xfId="0" applyNumberFormat="1" applyFont="1" applyFill="1" applyBorder="1" applyAlignment="1">
      <alignment horizontal="center" vertical="center"/>
    </xf>
    <xf numFmtId="0" fontId="59" fillId="0" borderId="3" xfId="0" applyFont="1" applyBorder="1" applyAlignment="1">
      <alignment horizontal="center" vertical="center" wrapText="1"/>
    </xf>
    <xf numFmtId="0" fontId="3" fillId="0" borderId="0" xfId="0" applyFont="1" applyAlignment="1">
      <alignment vertical="center"/>
    </xf>
    <xf numFmtId="0" fontId="45" fillId="0" borderId="0" xfId="0" applyFont="1" applyAlignment="1">
      <alignment vertical="center"/>
    </xf>
    <xf numFmtId="0" fontId="60" fillId="0" borderId="0" xfId="0" applyFont="1" applyAlignment="1">
      <alignment horizontal="center" vertical="center"/>
    </xf>
    <xf numFmtId="0" fontId="4" fillId="0" borderId="3" xfId="0" applyFont="1" applyBorder="1" applyAlignment="1">
      <alignment horizontal="center" vertical="center"/>
    </xf>
    <xf numFmtId="0" fontId="61" fillId="0" borderId="3" xfId="0" applyFont="1" applyBorder="1" applyAlignment="1">
      <alignment horizontal="center" vertical="center"/>
    </xf>
    <xf numFmtId="0" fontId="61" fillId="0" borderId="3" xfId="0" applyFont="1" applyBorder="1" applyAlignment="1">
      <alignment vertical="center"/>
    </xf>
    <xf numFmtId="0" fontId="62" fillId="0" borderId="3" xfId="0" applyFont="1" applyBorder="1" applyAlignment="1">
      <alignment horizontal="center" vertical="center"/>
    </xf>
    <xf numFmtId="3" fontId="62" fillId="0" borderId="3" xfId="0" applyNumberFormat="1" applyFont="1" applyBorder="1" applyAlignment="1">
      <alignment horizontal="center" vertical="center"/>
    </xf>
    <xf numFmtId="0" fontId="63" fillId="0" borderId="3" xfId="0" applyFont="1" applyBorder="1" applyAlignment="1">
      <alignment horizontal="center" vertical="center"/>
    </xf>
    <xf numFmtId="0" fontId="11" fillId="0" borderId="3" xfId="0" applyFont="1" applyBorder="1" applyAlignment="1">
      <alignment horizontal="center" vertical="center"/>
    </xf>
    <xf numFmtId="0" fontId="63" fillId="0" borderId="80" xfId="0" applyFont="1" applyBorder="1" applyAlignment="1">
      <alignment horizontal="center" vertical="center"/>
    </xf>
    <xf numFmtId="0" fontId="1" fillId="0" borderId="81" xfId="0" applyFont="1" applyBorder="1" applyAlignment="1">
      <alignment horizontal="center" vertical="center"/>
    </xf>
    <xf numFmtId="0" fontId="4" fillId="0" borderId="0" xfId="0" applyFont="1"/>
    <xf numFmtId="0" fontId="14" fillId="0" borderId="0" xfId="0" applyFont="1" applyAlignment="1">
      <alignment vertical="center"/>
    </xf>
    <xf numFmtId="0" fontId="64" fillId="0" borderId="0" xfId="0" applyFont="1" applyAlignment="1">
      <alignment vertical="center"/>
    </xf>
    <xf numFmtId="0" fontId="66" fillId="0" borderId="3" xfId="0" applyFont="1" applyBorder="1" applyAlignment="1">
      <alignment horizontal="center" vertical="center"/>
    </xf>
    <xf numFmtId="0" fontId="34" fillId="7" borderId="3" xfId="0" applyFont="1" applyFill="1" applyBorder="1" applyAlignment="1">
      <alignment horizontal="center" vertical="center"/>
    </xf>
    <xf numFmtId="0" fontId="34" fillId="0" borderId="3" xfId="0" applyFont="1" applyBorder="1" applyAlignment="1">
      <alignment horizontal="center" vertical="center"/>
    </xf>
    <xf numFmtId="3" fontId="59" fillId="0" borderId="0" xfId="0" applyNumberFormat="1" applyFont="1" applyAlignment="1">
      <alignment vertical="center"/>
    </xf>
    <xf numFmtId="0" fontId="59" fillId="0" borderId="0" xfId="0" applyFont="1" applyAlignment="1">
      <alignment vertical="center"/>
    </xf>
    <xf numFmtId="0" fontId="68" fillId="0" borderId="85" xfId="0" applyFont="1" applyBorder="1" applyAlignment="1">
      <alignment horizontal="center" vertical="center" wrapText="1"/>
    </xf>
    <xf numFmtId="0" fontId="68" fillId="0" borderId="75" xfId="0" applyFont="1" applyBorder="1" applyAlignment="1">
      <alignment horizontal="center" vertical="center" wrapText="1"/>
    </xf>
    <xf numFmtId="0" fontId="68" fillId="0" borderId="86" xfId="0" applyFont="1" applyBorder="1" applyAlignment="1">
      <alignment horizontal="center" vertical="center" wrapText="1"/>
    </xf>
    <xf numFmtId="0" fontId="11" fillId="0" borderId="87" xfId="0" applyFont="1" applyBorder="1" applyAlignment="1">
      <alignment horizontal="center" vertical="center"/>
    </xf>
    <xf numFmtId="0" fontId="11" fillId="0" borderId="88" xfId="0" applyFont="1" applyBorder="1" applyAlignment="1">
      <alignment horizontal="center" vertical="center"/>
    </xf>
    <xf numFmtId="9" fontId="11" fillId="0" borderId="89" xfId="0" applyNumberFormat="1" applyFont="1" applyBorder="1" applyAlignment="1">
      <alignment horizontal="center" vertical="center"/>
    </xf>
    <xf numFmtId="0" fontId="11" fillId="0" borderId="90" xfId="0" applyFont="1" applyBorder="1" applyAlignment="1">
      <alignment horizontal="center" vertical="center"/>
    </xf>
    <xf numFmtId="0" fontId="11" fillId="0" borderId="91" xfId="0" applyFont="1" applyBorder="1" applyAlignment="1">
      <alignment horizontal="center" vertical="center"/>
    </xf>
    <xf numFmtId="9" fontId="11" fillId="0" borderId="92" xfId="0" applyNumberFormat="1" applyFont="1" applyBorder="1" applyAlignment="1">
      <alignment horizontal="center" vertical="center"/>
    </xf>
    <xf numFmtId="0" fontId="11" fillId="0" borderId="80" xfId="0" applyFont="1" applyBorder="1" applyAlignment="1">
      <alignment horizontal="center" vertical="center"/>
    </xf>
    <xf numFmtId="0" fontId="11" fillId="0" borderId="77" xfId="0" applyFont="1" applyBorder="1" applyAlignment="1">
      <alignment horizontal="center" vertical="center"/>
    </xf>
    <xf numFmtId="9" fontId="11" fillId="0" borderId="93" xfId="0" applyNumberFormat="1" applyFont="1" applyBorder="1" applyAlignment="1">
      <alignment horizontal="center" vertical="center"/>
    </xf>
    <xf numFmtId="0" fontId="68" fillId="0" borderId="75" xfId="0" applyFont="1" applyBorder="1" applyAlignment="1">
      <alignment horizontal="center" vertical="center"/>
    </xf>
    <xf numFmtId="0" fontId="48" fillId="0" borderId="0" xfId="0" applyFont="1" applyAlignment="1">
      <alignment horizontal="left" wrapText="1"/>
    </xf>
    <xf numFmtId="0" fontId="69" fillId="0" borderId="0" xfId="0" applyFont="1"/>
    <xf numFmtId="0" fontId="16" fillId="0" borderId="0" xfId="0" applyFont="1"/>
    <xf numFmtId="0" fontId="16" fillId="0" borderId="0" xfId="0" applyFont="1" applyAlignment="1">
      <alignment horizontal="left"/>
    </xf>
    <xf numFmtId="0" fontId="71" fillId="0" borderId="0" xfId="0" applyFont="1"/>
    <xf numFmtId="0" fontId="50" fillId="11" borderId="3" xfId="0" applyFont="1" applyFill="1" applyBorder="1" applyAlignment="1">
      <alignment horizontal="center" vertical="center"/>
    </xf>
    <xf numFmtId="0" fontId="50" fillId="11" borderId="3" xfId="0" applyFont="1" applyFill="1" applyBorder="1" applyAlignment="1">
      <alignment horizontal="center" vertical="center" wrapText="1"/>
    </xf>
    <xf numFmtId="0" fontId="71" fillId="0" borderId="3" xfId="0" applyFont="1" applyBorder="1"/>
    <xf numFmtId="0" fontId="48" fillId="0" borderId="0" xfId="0" applyFont="1" applyAlignment="1">
      <alignment horizontal="left"/>
    </xf>
    <xf numFmtId="0" fontId="50" fillId="0" borderId="16" xfId="0" applyFont="1" applyBorder="1" applyAlignment="1">
      <alignment horizontal="center"/>
    </xf>
    <xf numFmtId="0" fontId="71" fillId="11" borderId="3" xfId="0" applyFont="1" applyFill="1" applyBorder="1"/>
    <xf numFmtId="0" fontId="71" fillId="0" borderId="3" xfId="0" applyFont="1" applyBorder="1" applyAlignment="1">
      <alignment horizontal="center" vertical="center"/>
    </xf>
    <xf numFmtId="0" fontId="71" fillId="0" borderId="3" xfId="0" applyFont="1" applyBorder="1" applyAlignment="1">
      <alignment horizontal="center"/>
    </xf>
    <xf numFmtId="0" fontId="74" fillId="11" borderId="3" xfId="0" applyFont="1" applyFill="1" applyBorder="1" applyAlignment="1">
      <alignment horizontal="center"/>
    </xf>
    <xf numFmtId="14" fontId="71" fillId="0" borderId="3" xfId="0" applyNumberFormat="1" applyFont="1" applyBorder="1" applyAlignment="1">
      <alignment horizontal="center"/>
    </xf>
    <xf numFmtId="3" fontId="71" fillId="0" borderId="3" xfId="0" applyNumberFormat="1" applyFont="1" applyBorder="1" applyAlignment="1">
      <alignment horizontal="center"/>
    </xf>
    <xf numFmtId="0" fontId="71" fillId="0" borderId="0" xfId="0" applyFont="1" applyAlignment="1">
      <alignment horizontal="center"/>
    </xf>
    <xf numFmtId="0" fontId="1" fillId="9" borderId="97" xfId="0" applyFont="1" applyFill="1" applyBorder="1"/>
    <xf numFmtId="0" fontId="3" fillId="9" borderId="97" xfId="0" applyFont="1" applyFill="1" applyBorder="1"/>
    <xf numFmtId="0" fontId="1" fillId="5" borderId="101" xfId="0" applyFont="1" applyFill="1" applyBorder="1"/>
    <xf numFmtId="0" fontId="3" fillId="5" borderId="101" xfId="0" applyFont="1" applyFill="1" applyBorder="1"/>
    <xf numFmtId="14" fontId="1" fillId="0" borderId="3" xfId="0" applyNumberFormat="1" applyFont="1" applyBorder="1"/>
    <xf numFmtId="0" fontId="79" fillId="0" borderId="3" xfId="0" applyFont="1" applyBorder="1" applyAlignment="1">
      <alignment horizontal="center" vertical="center"/>
    </xf>
    <xf numFmtId="0" fontId="4" fillId="3" borderId="4" xfId="0" applyFont="1" applyFill="1" applyBorder="1" applyAlignment="1">
      <alignment horizontal="right"/>
    </xf>
    <xf numFmtId="0" fontId="5" fillId="0" borderId="5" xfId="0" applyFont="1" applyBorder="1"/>
    <xf numFmtId="0" fontId="5" fillId="0" borderId="6" xfId="0" applyFont="1" applyBorder="1"/>
    <xf numFmtId="0" fontId="6" fillId="0" borderId="0" xfId="0" applyFont="1" applyAlignment="1">
      <alignment horizontal="center"/>
    </xf>
    <xf numFmtId="0" fontId="0" fillId="0" borderId="0" xfId="0"/>
    <xf numFmtId="0" fontId="1" fillId="5" borderId="7" xfId="0" quotePrefix="1" applyFont="1" applyFill="1" applyBorder="1" applyAlignment="1">
      <alignment horizontal="center" wrapText="1"/>
    </xf>
    <xf numFmtId="0" fontId="5" fillId="0" borderId="8" xfId="0" applyFont="1" applyBorder="1"/>
    <xf numFmtId="0" fontId="5" fillId="0" borderId="9" xfId="0" applyFont="1" applyBorder="1"/>
    <xf numFmtId="0" fontId="3" fillId="0" borderId="18" xfId="0" applyFont="1" applyBorder="1" applyAlignment="1">
      <alignment horizontal="center" vertical="center"/>
    </xf>
    <xf numFmtId="0" fontId="5" fillId="0" borderId="19" xfId="0" applyFont="1" applyBorder="1"/>
    <xf numFmtId="0" fontId="3" fillId="0" borderId="16" xfId="0" applyFont="1" applyBorder="1" applyAlignment="1">
      <alignment horizontal="center"/>
    </xf>
    <xf numFmtId="0" fontId="5" fillId="0" borderId="16" xfId="0" applyFont="1" applyBorder="1"/>
    <xf numFmtId="0" fontId="15" fillId="0" borderId="16" xfId="0" applyFont="1" applyBorder="1" applyAlignment="1">
      <alignment horizontal="center"/>
    </xf>
    <xf numFmtId="0" fontId="2" fillId="17" borderId="13" xfId="0" applyFont="1" applyFill="1" applyBorder="1" applyAlignment="1">
      <alignment horizontal="center"/>
    </xf>
    <xf numFmtId="0" fontId="5" fillId="0" borderId="14" xfId="0" applyFont="1" applyBorder="1"/>
    <xf numFmtId="0" fontId="5" fillId="0" borderId="15" xfId="0" applyFont="1" applyBorder="1"/>
    <xf numFmtId="0" fontId="8" fillId="16" borderId="4" xfId="0" applyFont="1" applyFill="1" applyBorder="1" applyAlignment="1">
      <alignment horizontal="center" vertical="center"/>
    </xf>
    <xf numFmtId="0" fontId="1" fillId="0" borderId="17" xfId="0" applyFont="1" applyBorder="1" applyAlignment="1">
      <alignment horizontal="center"/>
    </xf>
    <xf numFmtId="0" fontId="5" fillId="0" borderId="17" xfId="0" applyFont="1" applyBorder="1"/>
    <xf numFmtId="0" fontId="1" fillId="0" borderId="0" xfId="0" applyFont="1" applyAlignment="1">
      <alignment horizontal="center"/>
    </xf>
    <xf numFmtId="0" fontId="3" fillId="16" borderId="4" xfId="0" applyFont="1" applyFill="1" applyBorder="1" applyAlignment="1">
      <alignment horizontal="center"/>
    </xf>
    <xf numFmtId="0" fontId="1" fillId="0" borderId="4" xfId="0" applyFont="1" applyBorder="1" applyAlignment="1">
      <alignment horizontal="center"/>
    </xf>
    <xf numFmtId="0" fontId="3" fillId="0" borderId="4" xfId="0" applyFont="1" applyBorder="1" applyAlignment="1">
      <alignment horizontal="center" vertical="center"/>
    </xf>
    <xf numFmtId="0" fontId="8" fillId="0" borderId="10" xfId="0" applyFont="1" applyBorder="1" applyAlignment="1">
      <alignment horizontal="center"/>
    </xf>
    <xf numFmtId="0" fontId="5" fillId="0" borderId="10" xfId="0" applyFont="1" applyBorder="1"/>
    <xf numFmtId="0" fontId="9" fillId="0" borderId="0" xfId="0" applyFont="1" applyAlignment="1">
      <alignment horizontal="center"/>
    </xf>
    <xf numFmtId="0" fontId="10" fillId="10" borderId="13" xfId="0" applyFont="1" applyFill="1" applyBorder="1" applyAlignment="1">
      <alignment horizontal="center"/>
    </xf>
    <xf numFmtId="0" fontId="12" fillId="0" borderId="16" xfId="0" applyFont="1" applyBorder="1" applyAlignment="1">
      <alignment horizontal="center"/>
    </xf>
    <xf numFmtId="0" fontId="29" fillId="0" borderId="4" xfId="0" applyFont="1" applyBorder="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31" fillId="0" borderId="39" xfId="0" applyFont="1" applyBorder="1" applyAlignment="1">
      <alignment horizontal="right" vertical="center"/>
    </xf>
    <xf numFmtId="0" fontId="5" fillId="0" borderId="24" xfId="0" applyFont="1" applyBorder="1"/>
    <xf numFmtId="0" fontId="5" fillId="0" borderId="25" xfId="0" applyFont="1" applyBorder="1"/>
    <xf numFmtId="0" fontId="3" fillId="0" borderId="47" xfId="0" applyFont="1" applyBorder="1" applyAlignment="1">
      <alignment horizontal="center" vertical="center" wrapText="1"/>
    </xf>
    <xf numFmtId="0" fontId="5" fillId="0" borderId="48" xfId="0" applyFont="1" applyBorder="1"/>
    <xf numFmtId="0" fontId="5" fillId="0" borderId="46" xfId="0" applyFont="1" applyBorder="1"/>
    <xf numFmtId="0" fontId="3" fillId="0" borderId="45" xfId="0" applyFont="1" applyBorder="1" applyAlignment="1">
      <alignment horizontal="center" vertical="center"/>
    </xf>
    <xf numFmtId="0" fontId="8" fillId="0" borderId="0" xfId="0" applyFont="1" applyAlignment="1">
      <alignment horizontal="center" vertical="center"/>
    </xf>
    <xf numFmtId="0" fontId="27" fillId="0" borderId="4" xfId="0" applyFont="1" applyBorder="1" applyAlignment="1">
      <alignment horizontal="center" vertical="center"/>
    </xf>
    <xf numFmtId="0" fontId="20" fillId="0" borderId="47" xfId="0" applyFont="1" applyBorder="1" applyAlignment="1">
      <alignment horizontal="center" vertical="center" wrapText="1"/>
    </xf>
    <xf numFmtId="0" fontId="20" fillId="0" borderId="47" xfId="0" applyFont="1" applyBorder="1" applyAlignment="1">
      <alignment horizontal="center" vertical="center"/>
    </xf>
    <xf numFmtId="0" fontId="20" fillId="0" borderId="39" xfId="0" applyFont="1" applyBorder="1" applyAlignment="1">
      <alignment horizontal="center" vertical="center"/>
    </xf>
    <xf numFmtId="0" fontId="20" fillId="0" borderId="41" xfId="0" applyFont="1" applyBorder="1" applyAlignment="1">
      <alignment horizontal="center" vertical="center"/>
    </xf>
    <xf numFmtId="0" fontId="20" fillId="0" borderId="42" xfId="0" applyFont="1" applyBorder="1" applyAlignment="1">
      <alignment horizontal="center" vertical="center"/>
    </xf>
    <xf numFmtId="0" fontId="5" fillId="0" borderId="43" xfId="0" applyFont="1" applyBorder="1"/>
    <xf numFmtId="0" fontId="5" fillId="0" borderId="44" xfId="0" applyFont="1" applyBorder="1"/>
    <xf numFmtId="0" fontId="8" fillId="0" borderId="20" xfId="0" applyFont="1" applyBorder="1" applyAlignment="1">
      <alignment horizontal="center"/>
    </xf>
    <xf numFmtId="0" fontId="5" fillId="0" borderId="20" xfId="0" applyFont="1" applyBorder="1"/>
    <xf numFmtId="0" fontId="3" fillId="0" borderId="22" xfId="0" applyFont="1" applyBorder="1" applyAlignment="1">
      <alignment horizontal="center" vertical="center"/>
    </xf>
    <xf numFmtId="0" fontId="5" fillId="0" borderId="27" xfId="0" applyFont="1" applyBorder="1"/>
    <xf numFmtId="0" fontId="3" fillId="0" borderId="23" xfId="0" applyFont="1" applyBorder="1" applyAlignment="1">
      <alignment horizontal="center" vertical="center"/>
    </xf>
    <xf numFmtId="0" fontId="3" fillId="0" borderId="26" xfId="0" applyFont="1" applyBorder="1" applyAlignment="1">
      <alignment horizontal="center" vertical="center"/>
    </xf>
    <xf numFmtId="0" fontId="5" fillId="0" borderId="29" xfId="0" applyFont="1" applyBorder="1"/>
    <xf numFmtId="0" fontId="8" fillId="0" borderId="56" xfId="0" applyFont="1" applyBorder="1" applyAlignment="1">
      <alignment horizontal="center"/>
    </xf>
    <xf numFmtId="0" fontId="5" fillId="0" borderId="56" xfId="0" applyFont="1" applyBorder="1"/>
    <xf numFmtId="0" fontId="1" fillId="8" borderId="54" xfId="0" applyFont="1" applyFill="1" applyBorder="1" applyAlignment="1">
      <alignment horizontal="center" wrapText="1"/>
    </xf>
    <xf numFmtId="0" fontId="5" fillId="0" borderId="55" xfId="0" applyFont="1" applyBorder="1"/>
    <xf numFmtId="18" fontId="1" fillId="9" borderId="54" xfId="0" applyNumberFormat="1" applyFont="1" applyFill="1" applyBorder="1" applyAlignment="1">
      <alignment horizontal="center"/>
    </xf>
    <xf numFmtId="0" fontId="18" fillId="0" borderId="78" xfId="0" applyFont="1" applyBorder="1" applyAlignment="1">
      <alignment horizontal="center" vertical="center"/>
    </xf>
    <xf numFmtId="0" fontId="5" fillId="0" borderId="78" xfId="0" applyFont="1" applyBorder="1"/>
    <xf numFmtId="0" fontId="20" fillId="0" borderId="78" xfId="0" applyFont="1" applyBorder="1" applyAlignment="1">
      <alignment horizontal="center" vertical="center"/>
    </xf>
    <xf numFmtId="0" fontId="3" fillId="0" borderId="22" xfId="0" applyFont="1" applyBorder="1" applyAlignment="1">
      <alignment horizontal="center" vertical="center" wrapText="1"/>
    </xf>
    <xf numFmtId="0" fontId="3" fillId="0" borderId="75" xfId="0" applyFont="1" applyBorder="1" applyAlignment="1">
      <alignment horizontal="center" vertical="center" wrapText="1"/>
    </xf>
    <xf numFmtId="0" fontId="5" fillId="0" borderId="77" xfId="0" applyFont="1" applyBorder="1"/>
    <xf numFmtId="0" fontId="3" fillId="0" borderId="23" xfId="0" applyFont="1" applyBorder="1" applyAlignment="1">
      <alignment horizontal="center" vertical="center" wrapText="1"/>
    </xf>
    <xf numFmtId="0" fontId="5" fillId="0" borderId="76" xfId="0" applyFont="1" applyBorder="1"/>
    <xf numFmtId="0" fontId="35" fillId="0" borderId="57" xfId="0" applyFont="1" applyBorder="1" applyAlignment="1">
      <alignment horizontal="center" vertical="center" wrapText="1"/>
    </xf>
    <xf numFmtId="0" fontId="5" fillId="0" borderId="57" xfId="0" applyFont="1" applyBorder="1"/>
    <xf numFmtId="0" fontId="40" fillId="20" borderId="65" xfId="0" applyFont="1" applyFill="1" applyBorder="1" applyAlignment="1">
      <alignment horizontal="center" vertical="center"/>
    </xf>
    <xf numFmtId="0" fontId="5" fillId="0" borderId="66" xfId="0" applyFont="1" applyBorder="1"/>
    <xf numFmtId="0" fontId="5" fillId="0" borderId="67" xfId="0" applyFont="1" applyBorder="1"/>
    <xf numFmtId="0" fontId="41" fillId="20" borderId="68" xfId="0" applyFont="1" applyFill="1" applyBorder="1" applyAlignment="1">
      <alignment horizontal="center" vertical="center"/>
    </xf>
    <xf numFmtId="0" fontId="5" fillId="0" borderId="69" xfId="0" applyFont="1" applyBorder="1"/>
    <xf numFmtId="0" fontId="5" fillId="0" borderId="70" xfId="0" applyFont="1" applyBorder="1"/>
    <xf numFmtId="0" fontId="67" fillId="17" borderId="82" xfId="0" applyFont="1" applyFill="1" applyBorder="1" applyAlignment="1">
      <alignment horizontal="center" vertical="center"/>
    </xf>
    <xf numFmtId="0" fontId="5" fillId="0" borderId="83" xfId="0" applyFont="1" applyBorder="1"/>
    <xf numFmtId="0" fontId="5" fillId="0" borderId="84" xfId="0" applyFont="1" applyBorder="1"/>
    <xf numFmtId="0" fontId="58" fillId="16" borderId="4" xfId="0" applyFont="1" applyFill="1" applyBorder="1" applyAlignment="1">
      <alignment horizontal="center" vertical="center"/>
    </xf>
    <xf numFmtId="0" fontId="62" fillId="0" borderId="4" xfId="0" applyFont="1" applyBorder="1" applyAlignment="1">
      <alignment horizontal="center" vertical="center"/>
    </xf>
    <xf numFmtId="0" fontId="3" fillId="17" borderId="7" xfId="0" applyFont="1" applyFill="1" applyBorder="1" applyAlignment="1">
      <alignment horizontal="center" vertical="center"/>
    </xf>
    <xf numFmtId="0" fontId="30" fillId="17" borderId="4" xfId="0" applyFont="1" applyFill="1" applyBorder="1" applyAlignment="1">
      <alignment horizontal="center" vertical="center"/>
    </xf>
    <xf numFmtId="0" fontId="58" fillId="0" borderId="4" xfId="0" applyFont="1" applyBorder="1" applyAlignment="1">
      <alignment horizontal="center" vertical="center"/>
    </xf>
    <xf numFmtId="0" fontId="4" fillId="0" borderId="4" xfId="0" applyFont="1" applyBorder="1" applyAlignment="1">
      <alignment horizontal="center" vertical="center"/>
    </xf>
    <xf numFmtId="0" fontId="65" fillId="17" borderId="4" xfId="0" applyFont="1" applyFill="1" applyBorder="1" applyAlignment="1">
      <alignment horizontal="center" vertical="center"/>
    </xf>
    <xf numFmtId="0" fontId="2" fillId="0" borderId="0" xfId="0" applyFont="1" applyAlignment="1">
      <alignment horizontal="center" vertical="center"/>
    </xf>
    <xf numFmtId="0" fontId="20" fillId="0" borderId="0" xfId="0" applyFont="1" applyAlignment="1">
      <alignment horizontal="center" vertical="center"/>
    </xf>
    <xf numFmtId="0" fontId="57" fillId="0" borderId="47" xfId="0" applyFont="1" applyBorder="1" applyAlignment="1">
      <alignment horizontal="center"/>
    </xf>
    <xf numFmtId="0" fontId="3" fillId="0" borderId="0" xfId="0" applyFont="1" applyAlignment="1">
      <alignment horizontal="center"/>
    </xf>
    <xf numFmtId="0" fontId="3" fillId="23" borderId="7" xfId="0" applyFont="1" applyFill="1" applyBorder="1" applyAlignment="1">
      <alignment horizontal="center"/>
    </xf>
    <xf numFmtId="0" fontId="56" fillId="11" borderId="13" xfId="0" applyFont="1" applyFill="1" applyBorder="1" applyAlignment="1">
      <alignment horizontal="center"/>
    </xf>
    <xf numFmtId="0" fontId="48" fillId="16" borderId="4" xfId="0" applyFont="1" applyFill="1" applyBorder="1" applyAlignment="1">
      <alignment horizontal="center"/>
    </xf>
    <xf numFmtId="0" fontId="4" fillId="0" borderId="0" xfId="0" applyFont="1" applyAlignment="1">
      <alignment horizontal="center" vertical="center"/>
    </xf>
    <xf numFmtId="0" fontId="4" fillId="16" borderId="4" xfId="0" applyFont="1" applyFill="1" applyBorder="1" applyAlignment="1">
      <alignment horizontal="center" vertical="center"/>
    </xf>
    <xf numFmtId="0" fontId="49" fillId="0" borderId="16" xfId="0" applyFont="1" applyBorder="1" applyAlignment="1">
      <alignment horizontal="center"/>
    </xf>
    <xf numFmtId="0" fontId="51" fillId="0" borderId="0" xfId="0" applyFont="1" applyAlignment="1">
      <alignment horizontal="center"/>
    </xf>
    <xf numFmtId="0" fontId="52" fillId="0" borderId="0" xfId="0" applyFont="1" applyAlignment="1">
      <alignment horizontal="center"/>
    </xf>
    <xf numFmtId="0" fontId="8" fillId="16" borderId="7" xfId="0" applyFont="1" applyFill="1" applyBorder="1" applyAlignment="1">
      <alignment horizontal="center" vertical="center"/>
    </xf>
    <xf numFmtId="0" fontId="70" fillId="0" borderId="16" xfId="0" applyFont="1" applyBorder="1" applyAlignment="1">
      <alignment horizontal="center" vertical="center"/>
    </xf>
    <xf numFmtId="0" fontId="72" fillId="11" borderId="4" xfId="0" applyFont="1" applyFill="1" applyBorder="1" applyAlignment="1">
      <alignment horizontal="center"/>
    </xf>
    <xf numFmtId="0" fontId="72" fillId="11" borderId="4" xfId="0" applyFont="1" applyFill="1" applyBorder="1" applyAlignment="1">
      <alignment horizontal="center" vertical="center"/>
    </xf>
    <xf numFmtId="0" fontId="71" fillId="0" borderId="18" xfId="0" applyFont="1" applyBorder="1" applyAlignment="1">
      <alignment horizontal="center" vertical="center"/>
    </xf>
    <xf numFmtId="0" fontId="71" fillId="0" borderId="4" xfId="0" applyFont="1" applyBorder="1" applyAlignment="1">
      <alignment horizontal="center" vertical="center"/>
    </xf>
    <xf numFmtId="0" fontId="72" fillId="0" borderId="4" xfId="0" applyFont="1" applyBorder="1" applyAlignment="1">
      <alignment horizontal="center"/>
    </xf>
    <xf numFmtId="0" fontId="73" fillId="0" borderId="16" xfId="0" applyFont="1" applyBorder="1" applyAlignment="1">
      <alignment horizontal="center"/>
    </xf>
    <xf numFmtId="0" fontId="8" fillId="0" borderId="0" xfId="0" applyFont="1" applyAlignment="1">
      <alignment horizontal="center"/>
    </xf>
    <xf numFmtId="0" fontId="3" fillId="8" borderId="94" xfId="0" applyFont="1" applyFill="1" applyBorder="1" applyAlignment="1">
      <alignment horizontal="center"/>
    </xf>
    <xf numFmtId="0" fontId="5" fillId="0" borderId="95" xfId="0" applyFont="1" applyBorder="1"/>
    <xf numFmtId="0" fontId="5" fillId="0" borderId="96" xfId="0" applyFont="1" applyBorder="1"/>
    <xf numFmtId="0" fontId="59" fillId="8" borderId="98" xfId="0" applyFont="1" applyFill="1" applyBorder="1" applyAlignment="1">
      <alignment horizontal="center"/>
    </xf>
    <xf numFmtId="0" fontId="5" fillId="0" borderId="99" xfId="0" applyFont="1" applyBorder="1"/>
    <xf numFmtId="0" fontId="5" fillId="0" borderId="100" xfId="0" applyFont="1" applyBorder="1"/>
    <xf numFmtId="0" fontId="81" fillId="0" borderId="102" xfId="1" applyFont="1" applyBorder="1" applyAlignment="1">
      <alignment horizontal="center"/>
    </xf>
    <xf numFmtId="0" fontId="81" fillId="0" borderId="12" xfId="1" applyFont="1" applyAlignment="1">
      <alignment horizontal="center"/>
    </xf>
    <xf numFmtId="0" fontId="82" fillId="0" borderId="12" xfId="1" applyFont="1"/>
    <xf numFmtId="0" fontId="83" fillId="0" borderId="12" xfId="1" applyFont="1"/>
    <xf numFmtId="0" fontId="82" fillId="24" borderId="103" xfId="1" applyFont="1" applyFill="1" applyBorder="1" applyAlignment="1">
      <alignment horizontal="center" vertical="center"/>
    </xf>
    <xf numFmtId="0" fontId="82" fillId="24" borderId="103" xfId="1" applyFont="1" applyFill="1" applyBorder="1" applyAlignment="1">
      <alignment horizontal="center" vertical="center" wrapText="1"/>
    </xf>
    <xf numFmtId="0" fontId="82" fillId="24" borderId="103" xfId="1" applyFont="1" applyFill="1" applyBorder="1" applyAlignment="1">
      <alignment horizontal="center"/>
    </xf>
    <xf numFmtId="14" fontId="82" fillId="24" borderId="104" xfId="1" applyNumberFormat="1" applyFont="1" applyFill="1" applyBorder="1" applyAlignment="1">
      <alignment horizontal="center"/>
    </xf>
    <xf numFmtId="14" fontId="82" fillId="24" borderId="105" xfId="1" applyNumberFormat="1" applyFont="1" applyFill="1" applyBorder="1" applyAlignment="1">
      <alignment horizontal="center"/>
    </xf>
    <xf numFmtId="0" fontId="83" fillId="24" borderId="103" xfId="1" applyFont="1" applyFill="1" applyBorder="1"/>
    <xf numFmtId="172" fontId="83" fillId="25" borderId="103" xfId="1" applyNumberFormat="1" applyFont="1" applyFill="1" applyBorder="1"/>
    <xf numFmtId="0" fontId="83" fillId="24" borderId="103" xfId="1" applyFont="1" applyFill="1" applyBorder="1" applyAlignment="1">
      <alignment horizontal="center"/>
    </xf>
    <xf numFmtId="176" fontId="83" fillId="24" borderId="103" xfId="1" applyNumberFormat="1" applyFont="1" applyFill="1" applyBorder="1" applyAlignment="1">
      <alignment horizontal="center"/>
    </xf>
    <xf numFmtId="0" fontId="83" fillId="25" borderId="103" xfId="1" applyFont="1" applyFill="1" applyBorder="1"/>
    <xf numFmtId="166" fontId="83" fillId="25" borderId="103" xfId="1" applyNumberFormat="1" applyFont="1" applyFill="1" applyBorder="1"/>
    <xf numFmtId="172" fontId="83" fillId="25" borderId="104" xfId="1" applyNumberFormat="1" applyFont="1" applyFill="1" applyBorder="1"/>
    <xf numFmtId="172" fontId="83" fillId="25" borderId="105" xfId="1" applyNumberFormat="1" applyFont="1" applyFill="1" applyBorder="1"/>
    <xf numFmtId="0" fontId="83" fillId="26" borderId="12" xfId="1" applyFont="1" applyFill="1"/>
    <xf numFmtId="0" fontId="83" fillId="0" borderId="12" xfId="1" applyFont="1" applyAlignment="1">
      <alignment horizontal="left" wrapText="1"/>
    </xf>
    <xf numFmtId="0" fontId="83" fillId="26" borderId="12" xfId="1" applyFont="1" applyFill="1" applyAlignment="1">
      <alignment horizontal="left" wrapText="1"/>
    </xf>
    <xf numFmtId="0" fontId="83" fillId="0" borderId="12" xfId="1" applyFont="1" applyAlignment="1">
      <alignment horizontal="left"/>
    </xf>
    <xf numFmtId="0" fontId="82" fillId="24" borderId="105" xfId="1" applyFont="1" applyFill="1" applyBorder="1" applyAlignment="1">
      <alignment horizontal="center"/>
    </xf>
    <xf numFmtId="0" fontId="82" fillId="24" borderId="106" xfId="1" applyFont="1" applyFill="1" applyBorder="1" applyAlignment="1">
      <alignment horizontal="center"/>
    </xf>
    <xf numFmtId="0" fontId="82" fillId="24" borderId="107" xfId="1" applyFont="1" applyFill="1" applyBorder="1" applyAlignment="1">
      <alignment horizontal="center"/>
    </xf>
    <xf numFmtId="0" fontId="83" fillId="25" borderId="103" xfId="1" applyFont="1" applyFill="1" applyBorder="1" applyAlignment="1">
      <alignment horizontal="center"/>
    </xf>
    <xf numFmtId="0" fontId="81" fillId="0" borderId="102" xfId="1" applyFont="1" applyBorder="1" applyAlignment="1">
      <alignment horizontal="center"/>
    </xf>
    <xf numFmtId="0" fontId="83" fillId="25" borderId="105" xfId="1" applyFont="1" applyFill="1" applyBorder="1" applyAlignment="1">
      <alignment horizontal="center"/>
    </xf>
    <xf numFmtId="0" fontId="83" fillId="25" borderId="107" xfId="1" applyFont="1" applyFill="1" applyBorder="1" applyAlignment="1">
      <alignment horizontal="center"/>
    </xf>
    <xf numFmtId="0" fontId="83" fillId="25" borderId="108" xfId="1" applyFont="1" applyFill="1" applyBorder="1" applyAlignment="1">
      <alignment horizontal="center"/>
    </xf>
    <xf numFmtId="0" fontId="83" fillId="25" borderId="109" xfId="1" applyFont="1" applyFill="1" applyBorder="1" applyAlignment="1">
      <alignment horizontal="center"/>
    </xf>
    <xf numFmtId="0" fontId="83" fillId="25" borderId="110" xfId="1" applyFont="1" applyFill="1" applyBorder="1" applyAlignment="1">
      <alignment horizontal="center"/>
    </xf>
    <xf numFmtId="0" fontId="83" fillId="25" borderId="111" xfId="1" applyFont="1" applyFill="1" applyBorder="1" applyAlignment="1">
      <alignment horizontal="center"/>
    </xf>
    <xf numFmtId="0" fontId="83" fillId="25" borderId="112" xfId="1" applyFont="1" applyFill="1" applyBorder="1" applyAlignment="1">
      <alignment horizontal="center"/>
    </xf>
    <xf numFmtId="0" fontId="83" fillId="25" borderId="113" xfId="1" applyFont="1" applyFill="1" applyBorder="1" applyAlignment="1">
      <alignment horizontal="center"/>
    </xf>
    <xf numFmtId="0" fontId="85" fillId="27" borderId="104" xfId="2" applyFont="1" applyFill="1" applyBorder="1" applyAlignment="1">
      <alignment horizontal="center" vertical="top" wrapText="1"/>
    </xf>
    <xf numFmtId="0" fontId="85" fillId="0" borderId="12" xfId="2" applyFont="1" applyAlignment="1">
      <alignment horizontal="center" vertical="top" wrapText="1"/>
    </xf>
    <xf numFmtId="0" fontId="86" fillId="0" borderId="114" xfId="2" applyFont="1" applyBorder="1" applyAlignment="1">
      <alignment horizontal="center" vertical="top" wrapText="1"/>
    </xf>
    <xf numFmtId="0" fontId="86" fillId="0" borderId="12" xfId="2" applyFont="1" applyAlignment="1">
      <alignment horizontal="center" vertical="top" wrapText="1"/>
    </xf>
    <xf numFmtId="0" fontId="84" fillId="0" borderId="12" xfId="2"/>
    <xf numFmtId="0" fontId="85" fillId="0" borderId="104" xfId="2" applyFont="1" applyBorder="1" applyAlignment="1">
      <alignment horizontal="center" wrapText="1"/>
    </xf>
    <xf numFmtId="0" fontId="86" fillId="0" borderId="114" xfId="2" applyFont="1" applyBorder="1" applyAlignment="1">
      <alignment horizontal="justify" vertical="top" wrapText="1"/>
    </xf>
    <xf numFmtId="0" fontId="85" fillId="0" borderId="12" xfId="2" applyFont="1" applyAlignment="1">
      <alignment horizontal="center" wrapText="1"/>
    </xf>
    <xf numFmtId="0" fontId="86" fillId="0" borderId="12" xfId="2" applyFont="1" applyAlignment="1">
      <alignment horizontal="justify" vertical="top" wrapText="1"/>
    </xf>
    <xf numFmtId="0" fontId="87" fillId="0" borderId="104" xfId="2" applyFont="1" applyBorder="1" applyAlignment="1">
      <alignment horizontal="center" wrapText="1"/>
    </xf>
    <xf numFmtId="0" fontId="87" fillId="0" borderId="12" xfId="2" applyFont="1" applyAlignment="1">
      <alignment horizontal="center" wrapText="1"/>
    </xf>
    <xf numFmtId="0" fontId="86" fillId="0" borderId="115" xfId="2" applyFont="1" applyBorder="1" applyAlignment="1">
      <alignment horizontal="justify" vertical="top" wrapText="1"/>
    </xf>
    <xf numFmtId="0" fontId="86" fillId="0" borderId="116" xfId="2" applyFont="1" applyBorder="1" applyAlignment="1">
      <alignment horizontal="justify" vertical="top" wrapText="1"/>
    </xf>
    <xf numFmtId="0" fontId="86" fillId="0" borderId="12" xfId="2" applyFont="1" applyAlignment="1">
      <alignment horizontal="justify" vertical="top" wrapText="1"/>
    </xf>
    <xf numFmtId="0" fontId="86" fillId="0" borderId="114" xfId="2" applyFont="1" applyBorder="1" applyAlignment="1">
      <alignment horizontal="justify" vertical="top" wrapText="1"/>
    </xf>
    <xf numFmtId="0" fontId="85" fillId="27" borderId="117" xfId="2" applyFont="1" applyFill="1" applyBorder="1" applyAlignment="1">
      <alignment horizontal="center" vertical="top" wrapText="1"/>
    </xf>
    <xf numFmtId="0" fontId="85" fillId="27" borderId="116" xfId="2" applyFont="1" applyFill="1" applyBorder="1" applyAlignment="1">
      <alignment horizontal="center" vertical="top" wrapText="1"/>
    </xf>
    <xf numFmtId="0" fontId="86" fillId="0" borderId="12" xfId="2" applyFont="1" applyAlignment="1">
      <alignment horizontal="center" wrapText="1"/>
    </xf>
    <xf numFmtId="0" fontId="85" fillId="27" borderId="104" xfId="2" applyFont="1" applyFill="1" applyBorder="1" applyAlignment="1">
      <alignment horizontal="center" wrapText="1"/>
    </xf>
    <xf numFmtId="0" fontId="87" fillId="0" borderId="104" xfId="2" applyFont="1" applyBorder="1" applyAlignment="1">
      <alignment horizontal="justify" wrapText="1"/>
    </xf>
    <xf numFmtId="0" fontId="88" fillId="0" borderId="118" xfId="2" applyFont="1" applyBorder="1" applyAlignment="1">
      <alignment horizontal="center" vertical="top" wrapText="1"/>
    </xf>
    <xf numFmtId="0" fontId="88" fillId="0" borderId="12" xfId="2" applyFont="1" applyAlignment="1">
      <alignment horizontal="center" vertical="top" wrapText="1"/>
    </xf>
    <xf numFmtId="0" fontId="88" fillId="0" borderId="114" xfId="2" applyFont="1" applyBorder="1" applyAlignment="1">
      <alignment horizontal="center" vertical="top" wrapText="1"/>
    </xf>
    <xf numFmtId="0" fontId="85" fillId="0" borderId="119" xfId="2" applyFont="1" applyBorder="1" applyAlignment="1">
      <alignment horizontal="center" wrapText="1"/>
    </xf>
    <xf numFmtId="0" fontId="85" fillId="0" borderId="120" xfId="2" applyFont="1" applyBorder="1" applyAlignment="1">
      <alignment horizontal="center" wrapText="1"/>
    </xf>
    <xf numFmtId="0" fontId="85" fillId="0" borderId="121" xfId="2" applyFont="1" applyBorder="1" applyAlignment="1">
      <alignment horizontal="center" wrapText="1"/>
    </xf>
    <xf numFmtId="0" fontId="85" fillId="0" borderId="122" xfId="2" applyFont="1" applyBorder="1" applyAlignment="1">
      <alignment horizontal="center" wrapText="1"/>
    </xf>
    <xf numFmtId="0" fontId="85" fillId="0" borderId="123" xfId="2" applyFont="1" applyBorder="1" applyAlignment="1">
      <alignment horizontal="center" wrapText="1"/>
    </xf>
    <xf numFmtId="0" fontId="85" fillId="0" borderId="123" xfId="2" applyFont="1" applyBorder="1" applyAlignment="1">
      <alignment horizontal="center" vertical="top" wrapText="1"/>
    </xf>
    <xf numFmtId="0" fontId="85" fillId="0" borderId="124" xfId="2" applyFont="1" applyBorder="1" applyAlignment="1">
      <alignment horizontal="center" wrapText="1"/>
    </xf>
    <xf numFmtId="0" fontId="87" fillId="0" borderId="125" xfId="2" applyFont="1" applyBorder="1" applyAlignment="1">
      <alignment horizontal="justify" vertical="top" wrapText="1"/>
    </xf>
    <xf numFmtId="0" fontId="87" fillId="0" borderId="126" xfId="2" applyFont="1" applyBorder="1" applyAlignment="1">
      <alignment horizontal="justify" vertical="top" wrapText="1"/>
    </xf>
    <xf numFmtId="0" fontId="85" fillId="0" borderId="126" xfId="2" applyFont="1" applyBorder="1" applyAlignment="1">
      <alignment horizontal="center" vertical="top" wrapText="1"/>
    </xf>
    <xf numFmtId="0" fontId="87" fillId="0" borderId="126" xfId="2" applyFont="1" applyBorder="1" applyAlignment="1">
      <alignment horizontal="center" vertical="top" wrapText="1"/>
    </xf>
    <xf numFmtId="168" fontId="85" fillId="0" borderId="126" xfId="2" applyNumberFormat="1" applyFont="1" applyBorder="1" applyAlignment="1">
      <alignment horizontal="center" vertical="top" wrapText="1"/>
    </xf>
    <xf numFmtId="0" fontId="85" fillId="0" borderId="127" xfId="2" applyFont="1" applyBorder="1" applyAlignment="1">
      <alignment horizontal="center" vertical="top" wrapText="1"/>
    </xf>
    <xf numFmtId="0" fontId="87" fillId="0" borderId="128" xfId="2" applyFont="1" applyBorder="1" applyAlignment="1">
      <alignment horizontal="justify" vertical="top" wrapText="1"/>
    </xf>
    <xf numFmtId="0" fontId="87" fillId="0" borderId="104" xfId="2" applyFont="1" applyBorder="1" applyAlignment="1">
      <alignment horizontal="justify" vertical="top" wrapText="1"/>
    </xf>
    <xf numFmtId="0" fontId="87" fillId="0" borderId="104" xfId="2" applyFont="1" applyBorder="1" applyAlignment="1">
      <alignment horizontal="center" vertical="top" wrapText="1"/>
    </xf>
    <xf numFmtId="0" fontId="87" fillId="0" borderId="122" xfId="2" applyFont="1" applyBorder="1" applyAlignment="1">
      <alignment horizontal="justify" vertical="top" wrapText="1"/>
    </xf>
    <xf numFmtId="0" fontId="87" fillId="0" borderId="123" xfId="2" applyFont="1" applyBorder="1" applyAlignment="1">
      <alignment horizontal="justify" vertical="top" wrapText="1"/>
    </xf>
    <xf numFmtId="0" fontId="87" fillId="0" borderId="123" xfId="2" applyFont="1" applyBorder="1" applyAlignment="1">
      <alignment horizontal="center" vertical="top" wrapText="1"/>
    </xf>
    <xf numFmtId="0" fontId="89" fillId="0" borderId="129" xfId="2" applyFont="1" applyBorder="1" applyAlignment="1">
      <alignment horizontal="center" vertical="top" wrapText="1"/>
    </xf>
    <xf numFmtId="0" fontId="89" fillId="0" borderId="12" xfId="2" applyFont="1" applyAlignment="1">
      <alignment horizontal="center" vertical="top" wrapText="1"/>
    </xf>
    <xf numFmtId="0" fontId="85" fillId="0" borderId="130" xfId="2" applyFont="1" applyBorder="1" applyAlignment="1">
      <alignment horizontal="justify" vertical="top" wrapText="1"/>
    </xf>
    <xf numFmtId="0" fontId="85" fillId="0" borderId="131" xfId="2" applyFont="1" applyBorder="1" applyAlignment="1">
      <alignment horizontal="justify" vertical="top" wrapText="1"/>
    </xf>
    <xf numFmtId="0" fontId="85" fillId="0" borderId="132" xfId="2" applyFont="1" applyBorder="1" applyAlignment="1">
      <alignment horizontal="justify" vertical="top" wrapText="1"/>
    </xf>
    <xf numFmtId="0" fontId="85" fillId="0" borderId="132" xfId="2" applyFont="1" applyBorder="1" applyAlignment="1">
      <alignment horizontal="center" vertical="top" wrapText="1"/>
    </xf>
    <xf numFmtId="0" fontId="86" fillId="0" borderId="132" xfId="2" applyFont="1" applyBorder="1" applyAlignment="1">
      <alignment horizontal="center" vertical="top" wrapText="1"/>
    </xf>
    <xf numFmtId="0" fontId="86" fillId="0" borderId="133" xfId="2" applyFont="1" applyBorder="1" applyAlignment="1">
      <alignment horizontal="center" vertical="top" wrapText="1"/>
    </xf>
    <xf numFmtId="0" fontId="85" fillId="0" borderId="134" xfId="2" applyFont="1" applyBorder="1" applyAlignment="1">
      <alignment horizontal="justify" vertical="top" wrapText="1"/>
    </xf>
    <xf numFmtId="0" fontId="85" fillId="0" borderId="135" xfId="2" applyFont="1" applyBorder="1" applyAlignment="1">
      <alignment horizontal="justify" vertical="top" wrapText="1"/>
    </xf>
    <xf numFmtId="0" fontId="85" fillId="0" borderId="136" xfId="2" applyFont="1" applyBorder="1" applyAlignment="1">
      <alignment horizontal="justify" vertical="top" wrapText="1"/>
    </xf>
    <xf numFmtId="0" fontId="87" fillId="0" borderId="137" xfId="2" applyFont="1" applyBorder="1" applyAlignment="1">
      <alignment horizontal="center" vertical="top" wrapText="1"/>
    </xf>
    <xf numFmtId="0" fontId="87" fillId="0" borderId="138" xfId="2" applyFont="1" applyBorder="1" applyAlignment="1">
      <alignment horizontal="center" vertical="top" wrapText="1"/>
    </xf>
    <xf numFmtId="0" fontId="86" fillId="0" borderId="134" xfId="2" applyFont="1" applyBorder="1" applyAlignment="1">
      <alignment horizontal="justify" vertical="top" wrapText="1"/>
    </xf>
    <xf numFmtId="0" fontId="86" fillId="0" borderId="135" xfId="2" applyFont="1" applyBorder="1" applyAlignment="1">
      <alignment horizontal="justify" vertical="top" wrapText="1"/>
    </xf>
    <xf numFmtId="0" fontId="86" fillId="0" borderId="136" xfId="2" applyFont="1" applyBorder="1" applyAlignment="1">
      <alignment horizontal="justify" vertical="top" wrapText="1"/>
    </xf>
    <xf numFmtId="0" fontId="85" fillId="0" borderId="137" xfId="2" applyFont="1" applyBorder="1" applyAlignment="1">
      <alignment horizontal="center" vertical="top" wrapText="1"/>
    </xf>
    <xf numFmtId="0" fontId="85" fillId="0" borderId="139" xfId="2" applyFont="1" applyBorder="1" applyAlignment="1">
      <alignment horizontal="left" vertical="top" wrapText="1"/>
    </xf>
    <xf numFmtId="0" fontId="85" fillId="0" borderId="140" xfId="2" applyFont="1" applyBorder="1" applyAlignment="1">
      <alignment horizontal="left" vertical="top" wrapText="1"/>
    </xf>
    <xf numFmtId="0" fontId="85" fillId="0" borderId="141" xfId="2" applyFont="1" applyBorder="1" applyAlignment="1">
      <alignment horizontal="left" vertical="top" wrapText="1"/>
    </xf>
    <xf numFmtId="0" fontId="85" fillId="0" borderId="142" xfId="2" applyFont="1" applyBorder="1" applyAlignment="1">
      <alignment horizontal="center" vertical="top" wrapText="1"/>
    </xf>
    <xf numFmtId="0" fontId="85" fillId="0" borderId="140" xfId="2" applyFont="1" applyBorder="1" applyAlignment="1">
      <alignment horizontal="center" vertical="top" wrapText="1"/>
    </xf>
    <xf numFmtId="0" fontId="85" fillId="0" borderId="143" xfId="2" applyFont="1" applyBorder="1" applyAlignment="1">
      <alignment horizontal="center" vertical="top" wrapText="1"/>
    </xf>
    <xf numFmtId="0" fontId="85" fillId="0" borderId="144" xfId="2" applyFont="1" applyBorder="1" applyAlignment="1">
      <alignment horizontal="left" vertical="top" wrapText="1"/>
    </xf>
    <xf numFmtId="0" fontId="85" fillId="0" borderId="129" xfId="2" applyFont="1" applyBorder="1" applyAlignment="1">
      <alignment horizontal="left" vertical="top" wrapText="1"/>
    </xf>
    <xf numFmtId="0" fontId="85" fillId="0" borderId="145" xfId="2" applyFont="1" applyBorder="1" applyAlignment="1">
      <alignment horizontal="left" vertical="top" wrapText="1"/>
    </xf>
    <xf numFmtId="0" fontId="85" fillId="0" borderId="146" xfId="2" applyFont="1" applyBorder="1" applyAlignment="1">
      <alignment horizontal="center" vertical="top" wrapText="1"/>
    </xf>
    <xf numFmtId="0" fontId="85" fillId="0" borderId="129" xfId="2" applyFont="1" applyBorder="1" applyAlignment="1">
      <alignment horizontal="center" vertical="top" wrapText="1"/>
    </xf>
    <xf numFmtId="0" fontId="85" fillId="0" borderId="147" xfId="2" applyFont="1" applyBorder="1" applyAlignment="1">
      <alignment horizontal="center" vertical="top" wrapText="1"/>
    </xf>
    <xf numFmtId="0" fontId="90" fillId="0" borderId="12" xfId="1" applyFont="1"/>
    <xf numFmtId="0" fontId="80" fillId="0" borderId="12" xfId="1"/>
    <xf numFmtId="0" fontId="86" fillId="0" borderId="12" xfId="1" applyFont="1"/>
    <xf numFmtId="0" fontId="86" fillId="0" borderId="12" xfId="1" applyFont="1" applyAlignment="1">
      <alignment horizontal="left" wrapText="1"/>
    </xf>
    <xf numFmtId="0" fontId="86" fillId="0" borderId="12" xfId="1" applyFont="1" applyAlignment="1">
      <alignment horizontal="left"/>
    </xf>
    <xf numFmtId="0" fontId="86" fillId="0" borderId="12" xfId="1" applyFont="1" applyAlignment="1">
      <alignment horizontal="left"/>
    </xf>
    <xf numFmtId="0" fontId="86" fillId="0" borderId="12" xfId="1" quotePrefix="1" applyFont="1"/>
    <xf numFmtId="0" fontId="86" fillId="0" borderId="12" xfId="1" quotePrefix="1" applyFont="1" applyAlignment="1">
      <alignment horizontal="left" wrapText="1"/>
    </xf>
    <xf numFmtId="0" fontId="86" fillId="0" borderId="12" xfId="1" quotePrefix="1" applyFont="1" applyAlignment="1">
      <alignment horizontal="left"/>
    </xf>
    <xf numFmtId="0" fontId="71" fillId="0" borderId="3" xfId="0" applyNumberFormat="1" applyFont="1" applyBorder="1"/>
    <xf numFmtId="0" fontId="91" fillId="0" borderId="3" xfId="0" applyFont="1" applyBorder="1"/>
    <xf numFmtId="3" fontId="71" fillId="0" borderId="3" xfId="0" applyNumberFormat="1" applyFont="1" applyBorder="1"/>
    <xf numFmtId="0" fontId="92" fillId="0" borderId="0" xfId="0" applyFont="1"/>
    <xf numFmtId="0" fontId="93" fillId="14" borderId="52" xfId="0" applyFont="1" applyFill="1" applyBorder="1" applyAlignment="1">
      <alignment horizontal="center"/>
    </xf>
  </cellXfs>
  <cellStyles count="3">
    <cellStyle name="Normal" xfId="0" builtinId="0"/>
    <cellStyle name="Normal 2" xfId="1" xr:uid="{BACFADB3-4C2C-49C4-8ED8-F48F4FCF4917}"/>
    <cellStyle name="Normal 5" xfId="2" xr:uid="{8CD88A7B-A114-4F2D-B17F-46E4F1D0FF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361950</xdr:colOff>
      <xdr:row>0</xdr:row>
      <xdr:rowOff>0</xdr:rowOff>
    </xdr:from>
    <xdr:ext cx="8220075" cy="5057775"/>
    <xdr:pic>
      <xdr:nvPicPr>
        <xdr:cNvPr id="2" name="image1.png" descr="Screen Clipp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514350</xdr:colOff>
      <xdr:row>21</xdr:row>
      <xdr:rowOff>190500</xdr:rowOff>
    </xdr:from>
    <xdr:ext cx="1657350"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517325" y="3479963"/>
          <a:ext cx="1657350" cy="600075"/>
        </a:xfrm>
        <a:prstGeom prst="wedgeRoundRectCallout">
          <a:avLst>
            <a:gd name="adj1" fmla="val -32069"/>
            <a:gd name="adj2" fmla="val -85296"/>
            <a:gd name="adj3" fmla="val 16667"/>
          </a:avLst>
        </a:prstGeom>
        <a:solidFill>
          <a:srgbClr val="FFFFFF"/>
        </a:solidFill>
        <a:ln w="9525" cap="flat" cmpd="sng">
          <a:solidFill>
            <a:srgbClr val="000000"/>
          </a:solidFill>
          <a:prstDash val="solid"/>
          <a:miter lim="800000"/>
          <a:headEnd type="none" w="sm" len="sm"/>
          <a:tailEnd type="none" w="sm" len="sm"/>
        </a:ln>
        <a:effectLst>
          <a:outerShdw dist="107763" dir="2700000" algn="ctr" rotWithShape="0">
            <a:srgbClr val="808080"/>
          </a:outerShdw>
        </a:effectLst>
      </xdr:spPr>
      <xdr:txBody>
        <a:bodyPr spcFirstLastPara="1" wrap="square" lIns="27425" tIns="32000" rIns="0" bIns="0" anchor="t" anchorCtr="0">
          <a:noAutofit/>
        </a:bodyPr>
        <a:lstStyle/>
        <a:p>
          <a:pPr marL="0" lvl="0" indent="0" algn="l" rtl="0">
            <a:spcBef>
              <a:spcPts val="0"/>
            </a:spcBef>
            <a:spcAft>
              <a:spcPts val="0"/>
            </a:spcAft>
            <a:buNone/>
          </a:pPr>
          <a:r>
            <a:rPr lang="en-US" sz="1100" b="0" i="0" u="none" strike="noStrike">
              <a:latin typeface="Calibri"/>
              <a:ea typeface="Calibri"/>
              <a:cs typeface="Calibri"/>
              <a:sym typeface="Calibri"/>
            </a:rPr>
            <a:t>Có hiện ra chữ tuần và chữ ngày</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C\Desktop\Excel%20Co%20Ban5.3.xls" TargetMode="External"/><Relationship Id="rId1" Type="http://schemas.openxmlformats.org/officeDocument/2006/relationships/externalLinkPath" Target="Excel%20Co%20Ban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NH DANG"/>
      <sheetName val="THAM CHIEU"/>
      <sheetName val="SO HOC-THONG KE"/>
      <sheetName val="IF-LOGIC"/>
      <sheetName val="THOI GIAN"/>
      <sheetName val="CHUOI"/>
      <sheetName val="DO TIM"/>
      <sheetName val="Bai Tap 1 - Co Ban"/>
      <sheetName val="Bai Tap 2 - Co Ban"/>
      <sheetName val="Bai Tap 3 - Co Ban"/>
      <sheetName val="Bai Tap 4 - Co Ban"/>
      <sheetName val="Bieu 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9" workbookViewId="0"/>
  </sheetViews>
  <sheetFormatPr defaultColWidth="11.19921875" defaultRowHeight="15" customHeight="1" x14ac:dyDescent="0.3"/>
  <cols>
    <col min="1" max="3" width="9" customWidth="1"/>
    <col min="4" max="4" width="23.296875" customWidth="1"/>
    <col min="5" max="7" width="9" customWidth="1"/>
    <col min="8" max="8" width="9.09765625" customWidth="1"/>
    <col min="9" max="9" width="12.09765625" bestFit="1" customWidth="1"/>
    <col min="10" max="10" width="11.09765625" bestFit="1" customWidth="1"/>
    <col min="11" max="11" width="12.09765625" bestFit="1" customWidth="1"/>
    <col min="12" max="26" width="9" customWidth="1"/>
  </cols>
  <sheetData>
    <row r="1" spans="1:26" ht="15.75" customHeight="1" x14ac:dyDescent="0.3">
      <c r="A1" s="1" t="s">
        <v>0</v>
      </c>
      <c r="B1" s="1" t="s">
        <v>1</v>
      </c>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3">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3">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t="s">
        <v>2</v>
      </c>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2" t="s">
        <v>3</v>
      </c>
      <c r="B32" s="3" t="s">
        <v>4</v>
      </c>
      <c r="C32" s="4" t="s">
        <v>5</v>
      </c>
      <c r="D32" s="4" t="s">
        <v>6</v>
      </c>
      <c r="E32" s="4" t="s">
        <v>7</v>
      </c>
      <c r="F32" s="4" t="s">
        <v>8</v>
      </c>
      <c r="G32" s="4" t="s">
        <v>9</v>
      </c>
      <c r="H32" s="4" t="s">
        <v>10</v>
      </c>
      <c r="I32" s="4" t="s">
        <v>11</v>
      </c>
      <c r="J32" s="4" t="s">
        <v>12</v>
      </c>
      <c r="K32" s="4" t="s">
        <v>13</v>
      </c>
      <c r="L32" s="1"/>
      <c r="M32" s="1"/>
      <c r="N32" s="1"/>
      <c r="O32" s="1"/>
      <c r="P32" s="1"/>
      <c r="Q32" s="1"/>
      <c r="R32" s="1"/>
      <c r="S32" s="1"/>
      <c r="T32" s="1"/>
      <c r="U32" s="1"/>
      <c r="V32" s="1"/>
      <c r="W32" s="1"/>
      <c r="X32" s="1"/>
      <c r="Y32" s="1"/>
      <c r="Z32" s="1"/>
    </row>
    <row r="33" spans="1:26" ht="15.75" customHeight="1" x14ac:dyDescent="0.3">
      <c r="A33" s="5">
        <v>1</v>
      </c>
      <c r="B33" s="6" t="s">
        <v>14</v>
      </c>
      <c r="C33" s="7" t="s">
        <v>15</v>
      </c>
      <c r="D33" s="8">
        <v>39003</v>
      </c>
      <c r="E33" s="7" t="s">
        <v>16</v>
      </c>
      <c r="F33" s="9">
        <v>1000</v>
      </c>
      <c r="G33" s="7">
        <v>24</v>
      </c>
      <c r="H33" s="10">
        <v>100</v>
      </c>
      <c r="I33" s="10">
        <v>24000</v>
      </c>
      <c r="J33" s="10">
        <v>16000</v>
      </c>
      <c r="K33" s="10">
        <v>8100</v>
      </c>
      <c r="L33" s="1"/>
      <c r="M33" s="1"/>
      <c r="N33" s="1"/>
      <c r="O33" s="1"/>
      <c r="P33" s="1"/>
      <c r="Q33" s="1"/>
      <c r="R33" s="1"/>
      <c r="S33" s="1"/>
      <c r="T33" s="1"/>
      <c r="U33" s="1"/>
      <c r="V33" s="1"/>
      <c r="W33" s="1"/>
      <c r="X33" s="1"/>
      <c r="Y33" s="1"/>
      <c r="Z33" s="1"/>
    </row>
    <row r="34" spans="1:26" ht="15.75" customHeight="1" x14ac:dyDescent="0.3">
      <c r="A34" s="5">
        <v>2</v>
      </c>
      <c r="B34" s="6" t="s">
        <v>17</v>
      </c>
      <c r="C34" s="6" t="s">
        <v>18</v>
      </c>
      <c r="D34" s="11">
        <v>39007</v>
      </c>
      <c r="E34" s="6" t="s">
        <v>19</v>
      </c>
      <c r="F34" s="12">
        <v>1000</v>
      </c>
      <c r="G34" s="6">
        <v>30</v>
      </c>
      <c r="H34" s="13">
        <v>100</v>
      </c>
      <c r="I34" s="13">
        <v>30000</v>
      </c>
      <c r="J34" s="13">
        <v>20000</v>
      </c>
      <c r="K34" s="13">
        <v>10100</v>
      </c>
      <c r="L34" s="1"/>
      <c r="M34" s="1"/>
      <c r="N34" s="1"/>
      <c r="O34" s="1"/>
      <c r="P34" s="1"/>
      <c r="Q34" s="1"/>
      <c r="R34" s="1"/>
      <c r="S34" s="1"/>
      <c r="T34" s="1"/>
      <c r="U34" s="1"/>
      <c r="V34" s="1"/>
      <c r="W34" s="1"/>
      <c r="X34" s="1"/>
      <c r="Y34" s="1"/>
      <c r="Z34" s="1"/>
    </row>
    <row r="35" spans="1:26" ht="15.75" customHeight="1" x14ac:dyDescent="0.3">
      <c r="A35" s="5">
        <v>3</v>
      </c>
      <c r="B35" s="6" t="s">
        <v>20</v>
      </c>
      <c r="C35" s="6" t="s">
        <v>21</v>
      </c>
      <c r="D35" s="11">
        <v>39008</v>
      </c>
      <c r="E35" s="6" t="s">
        <v>22</v>
      </c>
      <c r="F35" s="12">
        <v>3000</v>
      </c>
      <c r="G35" s="6">
        <v>25</v>
      </c>
      <c r="H35" s="13">
        <v>300</v>
      </c>
      <c r="I35" s="13">
        <v>75000</v>
      </c>
      <c r="J35" s="13">
        <v>25000</v>
      </c>
      <c r="K35" s="13">
        <v>50300</v>
      </c>
      <c r="L35" s="1"/>
      <c r="M35" s="1"/>
      <c r="N35" s="1"/>
      <c r="O35" s="1"/>
      <c r="P35" s="1"/>
      <c r="Q35" s="1"/>
      <c r="R35" s="1"/>
      <c r="S35" s="1"/>
      <c r="T35" s="1"/>
      <c r="U35" s="1"/>
      <c r="V35" s="1"/>
      <c r="W35" s="1"/>
      <c r="X35" s="1"/>
      <c r="Y35" s="1"/>
      <c r="Z35" s="1"/>
    </row>
    <row r="36" spans="1:26" ht="15.75" customHeight="1" x14ac:dyDescent="0.3">
      <c r="A36" s="5">
        <v>4</v>
      </c>
      <c r="B36" s="6" t="s">
        <v>23</v>
      </c>
      <c r="C36" s="6" t="s">
        <v>24</v>
      </c>
      <c r="D36" s="11">
        <v>39009</v>
      </c>
      <c r="E36" s="6" t="s">
        <v>25</v>
      </c>
      <c r="F36" s="12">
        <v>5000</v>
      </c>
      <c r="G36" s="6">
        <v>28</v>
      </c>
      <c r="H36" s="13">
        <v>500</v>
      </c>
      <c r="I36" s="13">
        <v>140000</v>
      </c>
      <c r="J36" s="13">
        <v>25000</v>
      </c>
      <c r="K36" s="13">
        <v>115500</v>
      </c>
      <c r="L36" s="1"/>
      <c r="M36" s="1"/>
      <c r="N36" s="1"/>
      <c r="O36" s="1"/>
      <c r="P36" s="1"/>
      <c r="Q36" s="1"/>
      <c r="R36" s="1"/>
      <c r="S36" s="1"/>
      <c r="T36" s="1"/>
      <c r="U36" s="1"/>
      <c r="V36" s="1"/>
      <c r="W36" s="1"/>
      <c r="X36" s="1"/>
      <c r="Y36" s="1"/>
      <c r="Z36" s="1"/>
    </row>
    <row r="37" spans="1:26" ht="15.75" customHeight="1" x14ac:dyDescent="0.3">
      <c r="A37" s="5">
        <v>5</v>
      </c>
      <c r="B37" s="6" t="s">
        <v>26</v>
      </c>
      <c r="C37" s="6" t="s">
        <v>27</v>
      </c>
      <c r="D37" s="11">
        <v>39010</v>
      </c>
      <c r="E37" s="6" t="s">
        <v>28</v>
      </c>
      <c r="F37" s="12">
        <v>4000</v>
      </c>
      <c r="G37" s="6">
        <v>26</v>
      </c>
      <c r="H37" s="13">
        <v>400</v>
      </c>
      <c r="I37" s="13">
        <v>104000</v>
      </c>
      <c r="J37" s="13">
        <v>25000</v>
      </c>
      <c r="K37" s="13">
        <v>79400</v>
      </c>
      <c r="L37" s="1"/>
      <c r="M37" s="1"/>
      <c r="N37" s="1"/>
      <c r="O37" s="1"/>
      <c r="P37" s="1"/>
      <c r="Q37" s="1"/>
      <c r="R37" s="1"/>
      <c r="S37" s="1"/>
      <c r="T37" s="1"/>
      <c r="U37" s="1"/>
      <c r="V37" s="1"/>
      <c r="W37" s="1"/>
      <c r="X37" s="1"/>
      <c r="Y37" s="1"/>
      <c r="Z37" s="1"/>
    </row>
    <row r="38" spans="1:26" ht="15.75" customHeight="1" x14ac:dyDescent="0.3">
      <c r="A38" s="5">
        <v>6</v>
      </c>
      <c r="B38" s="6" t="s">
        <v>29</v>
      </c>
      <c r="C38" s="6" t="s">
        <v>30</v>
      </c>
      <c r="D38" s="11">
        <v>39011</v>
      </c>
      <c r="E38" s="6" t="s">
        <v>22</v>
      </c>
      <c r="F38" s="12">
        <v>2000</v>
      </c>
      <c r="G38" s="6">
        <v>29</v>
      </c>
      <c r="H38" s="13">
        <v>300</v>
      </c>
      <c r="I38" s="13">
        <v>58000</v>
      </c>
      <c r="J38" s="13">
        <v>25000</v>
      </c>
      <c r="K38" s="13">
        <v>33300</v>
      </c>
      <c r="L38" s="1"/>
      <c r="M38" s="1"/>
      <c r="N38" s="1"/>
      <c r="O38" s="1"/>
      <c r="P38" s="1"/>
      <c r="Q38" s="1"/>
      <c r="R38" s="1"/>
      <c r="S38" s="1"/>
      <c r="T38" s="1"/>
      <c r="U38" s="1"/>
      <c r="V38" s="1"/>
      <c r="W38" s="1"/>
      <c r="X38" s="1"/>
      <c r="Y38" s="1"/>
      <c r="Z38" s="1"/>
    </row>
    <row r="39" spans="1:26" ht="15.75" customHeight="1" x14ac:dyDescent="0.3">
      <c r="A39" s="5">
        <v>7</v>
      </c>
      <c r="B39" s="6" t="s">
        <v>31</v>
      </c>
      <c r="C39" s="6" t="s">
        <v>32</v>
      </c>
      <c r="D39" s="11">
        <v>39012</v>
      </c>
      <c r="E39" s="6" t="s">
        <v>33</v>
      </c>
      <c r="F39" s="12">
        <v>1000</v>
      </c>
      <c r="G39" s="6">
        <v>30</v>
      </c>
      <c r="H39" s="13">
        <v>250</v>
      </c>
      <c r="I39" s="13">
        <v>30000</v>
      </c>
      <c r="J39" s="13">
        <v>20000</v>
      </c>
      <c r="K39" s="13">
        <v>10250</v>
      </c>
      <c r="L39" s="1"/>
      <c r="M39" s="1"/>
      <c r="N39" s="1"/>
      <c r="O39" s="1"/>
      <c r="P39" s="1"/>
      <c r="Q39" s="1"/>
      <c r="R39" s="1"/>
      <c r="S39" s="1"/>
      <c r="T39" s="1"/>
      <c r="U39" s="1"/>
      <c r="V39" s="1"/>
      <c r="W39" s="1"/>
      <c r="X39" s="1"/>
      <c r="Y39" s="1"/>
      <c r="Z39" s="1"/>
    </row>
    <row r="40" spans="1:26" ht="15.75" customHeight="1" x14ac:dyDescent="0.3">
      <c r="A40" s="5">
        <v>8</v>
      </c>
      <c r="B40" s="6" t="s">
        <v>23</v>
      </c>
      <c r="C40" s="14" t="s">
        <v>34</v>
      </c>
      <c r="D40" s="11">
        <v>39013</v>
      </c>
      <c r="E40" s="6" t="s">
        <v>22</v>
      </c>
      <c r="F40" s="12">
        <v>3000</v>
      </c>
      <c r="G40" s="6">
        <v>30</v>
      </c>
      <c r="H40" s="13">
        <v>300</v>
      </c>
      <c r="I40" s="13">
        <v>90000</v>
      </c>
      <c r="J40" s="13">
        <v>25000</v>
      </c>
      <c r="K40" s="13">
        <v>65300</v>
      </c>
      <c r="L40" s="1"/>
      <c r="M40" s="1"/>
      <c r="N40" s="1"/>
      <c r="O40" s="1"/>
      <c r="P40" s="1"/>
      <c r="Q40" s="1"/>
      <c r="R40" s="1"/>
      <c r="S40" s="1"/>
      <c r="T40" s="1"/>
      <c r="U40" s="1"/>
      <c r="V40" s="1"/>
      <c r="W40" s="1"/>
      <c r="X40" s="1"/>
      <c r="Y40" s="1"/>
      <c r="Z40" s="1"/>
    </row>
    <row r="41" spans="1:26" ht="15.75" customHeight="1" x14ac:dyDescent="0.3">
      <c r="A41" s="5">
        <v>9</v>
      </c>
      <c r="B41" s="6" t="s">
        <v>35</v>
      </c>
      <c r="C41" s="6" t="s">
        <v>36</v>
      </c>
      <c r="D41" s="11">
        <v>39014</v>
      </c>
      <c r="E41" s="6" t="s">
        <v>16</v>
      </c>
      <c r="F41" s="12">
        <v>1000</v>
      </c>
      <c r="G41" s="6">
        <v>26</v>
      </c>
      <c r="H41" s="13">
        <v>100</v>
      </c>
      <c r="I41" s="13">
        <v>26000</v>
      </c>
      <c r="J41" s="13">
        <v>17000</v>
      </c>
      <c r="K41" s="13">
        <v>9100</v>
      </c>
      <c r="L41" s="1"/>
      <c r="M41" s="1"/>
      <c r="N41" s="1"/>
      <c r="O41" s="1"/>
      <c r="P41" s="1"/>
      <c r="Q41" s="1"/>
      <c r="R41" s="1"/>
      <c r="S41" s="1"/>
      <c r="T41" s="1"/>
      <c r="U41" s="1"/>
      <c r="V41" s="1"/>
      <c r="W41" s="1"/>
      <c r="X41" s="1"/>
      <c r="Y41" s="1"/>
      <c r="Z41" s="1"/>
    </row>
    <row r="42" spans="1:26" ht="15.75" customHeight="1" x14ac:dyDescent="0.3">
      <c r="A42" s="1"/>
      <c r="B42" s="1"/>
      <c r="C42" s="1"/>
      <c r="D42" s="1"/>
      <c r="E42" s="388" t="s">
        <v>37</v>
      </c>
      <c r="F42" s="389"/>
      <c r="G42" s="390"/>
      <c r="H42" s="15">
        <v>2350</v>
      </c>
      <c r="I42" s="15">
        <v>577000</v>
      </c>
      <c r="J42" s="15">
        <v>198000</v>
      </c>
      <c r="K42" s="15">
        <v>381350</v>
      </c>
      <c r="L42" s="1"/>
      <c r="M42" s="1"/>
      <c r="N42" s="1"/>
      <c r="O42" s="1"/>
      <c r="P42" s="1"/>
      <c r="Q42" s="1"/>
      <c r="R42" s="1"/>
      <c r="S42" s="1"/>
      <c r="T42" s="1"/>
      <c r="U42" s="1"/>
      <c r="V42" s="1"/>
      <c r="W42" s="1"/>
      <c r="X42" s="1"/>
      <c r="Y42" s="1"/>
      <c r="Z42" s="1"/>
    </row>
    <row r="43" spans="1:26" ht="15.75" customHeight="1" x14ac:dyDescent="0.3">
      <c r="A43" s="1"/>
      <c r="B43" s="1"/>
      <c r="C43" s="1"/>
      <c r="D43" s="1"/>
      <c r="E43" s="388" t="s">
        <v>38</v>
      </c>
      <c r="F43" s="389"/>
      <c r="G43" s="390"/>
      <c r="H43" s="16">
        <v>261.11111111111109</v>
      </c>
      <c r="I43" s="16">
        <v>64111.111111111109</v>
      </c>
      <c r="J43" s="16">
        <v>22000</v>
      </c>
      <c r="K43" s="16">
        <v>42372.222222222219</v>
      </c>
      <c r="L43" s="1"/>
      <c r="M43" s="1"/>
      <c r="N43" s="1"/>
      <c r="O43" s="1"/>
      <c r="P43" s="1"/>
      <c r="Q43" s="1"/>
      <c r="R43" s="1"/>
      <c r="S43" s="1"/>
      <c r="T43" s="1"/>
      <c r="U43" s="1"/>
      <c r="V43" s="1"/>
      <c r="W43" s="1"/>
      <c r="X43" s="1"/>
      <c r="Y43" s="1"/>
      <c r="Z43" s="1"/>
    </row>
    <row r="44" spans="1:26" ht="15.75" customHeight="1" x14ac:dyDescent="0.3">
      <c r="A44" s="1"/>
      <c r="B44" s="1"/>
      <c r="C44" s="1"/>
      <c r="D44" s="1"/>
      <c r="E44" s="388" t="s">
        <v>39</v>
      </c>
      <c r="F44" s="389"/>
      <c r="G44" s="390"/>
      <c r="H44" s="15">
        <v>500</v>
      </c>
      <c r="I44" s="15">
        <v>140000</v>
      </c>
      <c r="J44" s="15">
        <v>25000</v>
      </c>
      <c r="K44" s="15">
        <v>115500</v>
      </c>
      <c r="L44" s="1"/>
      <c r="M44" s="1"/>
      <c r="N44" s="1"/>
      <c r="O44" s="1"/>
      <c r="P44" s="1"/>
      <c r="Q44" s="1"/>
      <c r="R44" s="1"/>
      <c r="S44" s="1"/>
      <c r="T44" s="1"/>
      <c r="U44" s="1"/>
      <c r="V44" s="1"/>
      <c r="W44" s="1"/>
      <c r="X44" s="1"/>
      <c r="Y44" s="1"/>
      <c r="Z44" s="1"/>
    </row>
    <row r="45" spans="1:26" ht="15.75" customHeight="1" x14ac:dyDescent="0.3">
      <c r="A45" s="1"/>
      <c r="B45" s="1"/>
      <c r="C45" s="1"/>
      <c r="D45" s="1"/>
      <c r="E45" s="388" t="s">
        <v>40</v>
      </c>
      <c r="F45" s="389"/>
      <c r="G45" s="390"/>
      <c r="H45" s="15">
        <v>100</v>
      </c>
      <c r="I45" s="15">
        <v>24000</v>
      </c>
      <c r="J45" s="15">
        <v>16000</v>
      </c>
      <c r="K45" s="15">
        <v>8100</v>
      </c>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t="s">
        <v>41</v>
      </c>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t="s">
        <v>42</v>
      </c>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t="s">
        <v>43</v>
      </c>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t="s">
        <v>44</v>
      </c>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E42:G42"/>
    <mergeCell ref="E43:G43"/>
    <mergeCell ref="E44:G44"/>
    <mergeCell ref="E45:G4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00"/>
  <sheetViews>
    <sheetView zoomScale="106" workbookViewId="0">
      <selection activeCell="H24" sqref="H24"/>
    </sheetView>
  </sheetViews>
  <sheetFormatPr defaultColWidth="11.19921875" defaultRowHeight="15" customHeight="1" x14ac:dyDescent="0.3"/>
  <cols>
    <col min="1" max="1" width="8.59765625" customWidth="1"/>
    <col min="2" max="2" width="17.796875" bestFit="1" customWidth="1"/>
    <col min="3" max="3" width="8.59765625" customWidth="1"/>
    <col min="4" max="4" width="15" bestFit="1" customWidth="1"/>
    <col min="5" max="5" width="8.59765625" customWidth="1"/>
    <col min="6" max="6" width="10.19921875" customWidth="1"/>
    <col min="7" max="26" width="8.59765625" customWidth="1"/>
  </cols>
  <sheetData>
    <row r="1" spans="1:20" ht="17.399999999999999" x14ac:dyDescent="0.3">
      <c r="A1" s="486" t="s">
        <v>266</v>
      </c>
      <c r="B1" s="399"/>
      <c r="C1" s="399"/>
      <c r="D1" s="399"/>
      <c r="E1" s="399"/>
      <c r="F1" s="399"/>
      <c r="G1" s="369"/>
      <c r="H1" s="369"/>
    </row>
    <row r="2" spans="1:20" ht="30" x14ac:dyDescent="0.3">
      <c r="A2" s="370" t="s">
        <v>267</v>
      </c>
      <c r="B2" s="370" t="s">
        <v>268</v>
      </c>
      <c r="C2" s="371" t="s">
        <v>269</v>
      </c>
      <c r="D2" s="371" t="s">
        <v>270</v>
      </c>
      <c r="E2" s="370" t="s">
        <v>271</v>
      </c>
      <c r="F2" s="370" t="s">
        <v>272</v>
      </c>
      <c r="G2" s="369"/>
      <c r="H2" s="369"/>
      <c r="J2" s="366" t="s">
        <v>1221</v>
      </c>
      <c r="K2" s="19"/>
      <c r="L2" s="19"/>
      <c r="M2" s="19"/>
      <c r="N2" s="19"/>
      <c r="O2" s="19"/>
      <c r="P2" s="19"/>
      <c r="Q2" s="19"/>
      <c r="R2" s="19"/>
      <c r="S2" s="19"/>
      <c r="T2" s="19"/>
    </row>
    <row r="3" spans="1:20" ht="15.6" x14ac:dyDescent="0.3">
      <c r="A3" s="372" t="s">
        <v>289</v>
      </c>
      <c r="B3" s="614" t="str">
        <f>HLOOKUP(LEFT(A3,2),$B$15:$D$16,2,0)&amp;" "&amp;VLOOKUP(MID(A3,3,2),$A$21:$D$25,2,0)</f>
        <v>TOYOTA ZACE</v>
      </c>
      <c r="C3" s="372" t="str">
        <f>IF(RIGHT(A3,2)="VN", "Việt Nam","Nhật Bản")</f>
        <v>Việt Nam</v>
      </c>
      <c r="D3" s="372">
        <f>VLOOKUP(MID(A3,3,2),$A$21:$D$25,IF(RIGHT(A3,2)="VN",3,4),0)</f>
        <v>20000</v>
      </c>
      <c r="E3" s="372">
        <f>IF(C3="Việt Nam",0,D3*10%)</f>
        <v>0</v>
      </c>
      <c r="F3" s="616">
        <f>D3+E3</f>
        <v>20000</v>
      </c>
      <c r="G3" s="369"/>
      <c r="H3" s="369"/>
      <c r="J3" s="367" t="s">
        <v>1222</v>
      </c>
      <c r="K3" s="19"/>
      <c r="L3" s="19"/>
      <c r="M3" s="19"/>
      <c r="N3" s="19"/>
      <c r="O3" s="19"/>
      <c r="P3" s="19"/>
      <c r="Q3" s="19"/>
      <c r="R3" s="19"/>
      <c r="S3" s="19"/>
      <c r="T3" s="19"/>
    </row>
    <row r="4" spans="1:20" ht="15.6" x14ac:dyDescent="0.3">
      <c r="A4" s="372" t="s">
        <v>276</v>
      </c>
      <c r="B4" s="614" t="str">
        <f t="shared" ref="B4:B11" si="0">HLOOKUP(LEFT(A4,2),$B$15:$D$16,2,0)&amp;" "&amp;VLOOKUP(MID(A4,3,2),$A$21:$D$25,2,0)</f>
        <v>FORD LASER</v>
      </c>
      <c r="C4" s="372" t="str">
        <f t="shared" ref="C4:C11" si="1">IF(RIGHT(A4,2)="VN", "Việt Nam","Nhật Bản")</f>
        <v>Việt Nam</v>
      </c>
      <c r="D4" s="372">
        <f t="shared" ref="D4:D11" si="2">VLOOKUP(MID(A4,3,2),$A$21:$D$25,IF(RIGHT(A4,2)="VN",3,4),0)</f>
        <v>21500</v>
      </c>
      <c r="E4" s="372">
        <f t="shared" ref="E4:E11" si="3">IF(C4="Việt Nam",0,D4*10%)</f>
        <v>0</v>
      </c>
      <c r="F4" s="616">
        <f t="shared" ref="F4:F11" si="4">D4+E4</f>
        <v>21500</v>
      </c>
      <c r="G4" s="369"/>
      <c r="H4" s="369"/>
      <c r="J4" s="368" t="s">
        <v>1223</v>
      </c>
      <c r="K4" s="19"/>
      <c r="L4" s="19"/>
      <c r="M4" s="19"/>
      <c r="N4" s="19"/>
      <c r="O4" s="19"/>
      <c r="P4" s="19"/>
      <c r="Q4" s="19"/>
      <c r="R4" s="19"/>
      <c r="S4" s="19"/>
      <c r="T4" s="19"/>
    </row>
    <row r="5" spans="1:20" ht="15.6" x14ac:dyDescent="0.3">
      <c r="A5" s="372" t="s">
        <v>287</v>
      </c>
      <c r="B5" s="614" t="str">
        <f t="shared" si="0"/>
        <v>TOYOTA COROLLA</v>
      </c>
      <c r="C5" s="372" t="str">
        <f t="shared" si="1"/>
        <v>Nhật Bản</v>
      </c>
      <c r="D5" s="372">
        <f t="shared" si="2"/>
        <v>21500</v>
      </c>
      <c r="E5" s="372">
        <f t="shared" si="3"/>
        <v>2150</v>
      </c>
      <c r="F5" s="616">
        <f t="shared" si="4"/>
        <v>23650</v>
      </c>
      <c r="G5" s="369"/>
      <c r="H5" s="369"/>
      <c r="J5" s="367" t="s">
        <v>1224</v>
      </c>
      <c r="K5" s="19"/>
      <c r="L5" s="19"/>
      <c r="M5" s="19"/>
      <c r="N5" s="19"/>
      <c r="O5" s="19"/>
      <c r="P5" s="19"/>
      <c r="Q5" s="19"/>
      <c r="R5" s="19"/>
      <c r="S5" s="19"/>
      <c r="T5" s="19"/>
    </row>
    <row r="6" spans="1:20" ht="15.6" x14ac:dyDescent="0.3">
      <c r="A6" s="615" t="s">
        <v>1317</v>
      </c>
      <c r="B6" s="614" t="str">
        <f t="shared" si="0"/>
        <v>MITSUBISHI COROLLA</v>
      </c>
      <c r="C6" s="372" t="str">
        <f t="shared" si="1"/>
        <v>Việt Nam</v>
      </c>
      <c r="D6" s="372">
        <f t="shared" si="2"/>
        <v>20500</v>
      </c>
      <c r="E6" s="372">
        <f t="shared" si="3"/>
        <v>0</v>
      </c>
      <c r="F6" s="616">
        <f t="shared" si="4"/>
        <v>20500</v>
      </c>
      <c r="G6" s="369"/>
      <c r="H6" s="369"/>
      <c r="J6" s="366" t="s">
        <v>1225</v>
      </c>
      <c r="K6" s="19"/>
      <c r="L6" s="19"/>
      <c r="M6" s="19"/>
      <c r="N6" s="19"/>
      <c r="O6" s="19"/>
      <c r="P6" s="19"/>
      <c r="Q6" s="19"/>
      <c r="R6" s="19"/>
      <c r="S6" s="19"/>
      <c r="T6" s="19"/>
    </row>
    <row r="7" spans="1:20" ht="15.6" x14ac:dyDescent="0.3">
      <c r="A7" s="372" t="s">
        <v>285</v>
      </c>
      <c r="B7" s="614" t="str">
        <f t="shared" si="0"/>
        <v>TOYOTA CAMRY</v>
      </c>
      <c r="C7" s="372" t="str">
        <f t="shared" si="1"/>
        <v>Việt Nam</v>
      </c>
      <c r="D7" s="372">
        <f t="shared" si="2"/>
        <v>36300</v>
      </c>
      <c r="E7" s="372">
        <f t="shared" si="3"/>
        <v>0</v>
      </c>
      <c r="F7" s="616">
        <f t="shared" si="4"/>
        <v>36300</v>
      </c>
      <c r="G7" s="369"/>
      <c r="H7" s="369"/>
      <c r="J7" s="19"/>
      <c r="K7" s="19"/>
      <c r="L7" s="19"/>
      <c r="M7" s="19"/>
      <c r="N7" s="19"/>
      <c r="O7" s="19"/>
      <c r="P7" s="19"/>
      <c r="Q7" s="19"/>
      <c r="R7" s="19"/>
      <c r="S7" s="19"/>
      <c r="T7" s="19"/>
    </row>
    <row r="8" spans="1:20" ht="15.6" x14ac:dyDescent="0.3">
      <c r="A8" s="372" t="s">
        <v>278</v>
      </c>
      <c r="B8" s="614" t="str">
        <f t="shared" si="0"/>
        <v>FORD LASER</v>
      </c>
      <c r="C8" s="372" t="str">
        <f t="shared" si="1"/>
        <v>Nhật Bản</v>
      </c>
      <c r="D8" s="372">
        <f t="shared" si="2"/>
        <v>23000</v>
      </c>
      <c r="E8" s="372">
        <f t="shared" si="3"/>
        <v>2300</v>
      </c>
      <c r="F8" s="616">
        <f t="shared" si="4"/>
        <v>25300</v>
      </c>
      <c r="G8" s="369"/>
      <c r="H8" s="369"/>
      <c r="J8" s="252" t="s">
        <v>1226</v>
      </c>
      <c r="K8" s="252"/>
      <c r="L8" s="252"/>
      <c r="M8" s="252"/>
      <c r="N8" s="252"/>
      <c r="O8" s="252"/>
      <c r="P8" s="252"/>
      <c r="Q8" s="252"/>
      <c r="R8" s="252"/>
      <c r="S8" s="252"/>
      <c r="T8" s="252"/>
    </row>
    <row r="9" spans="1:20" ht="17.25" customHeight="1" x14ac:dyDescent="0.3">
      <c r="A9" s="615" t="s">
        <v>1318</v>
      </c>
      <c r="B9" s="614" t="str">
        <f t="shared" si="0"/>
        <v>MITSUBISHI LASER</v>
      </c>
      <c r="C9" s="372" t="str">
        <f t="shared" si="1"/>
        <v>Việt Nam</v>
      </c>
      <c r="D9" s="372">
        <f t="shared" si="2"/>
        <v>21500</v>
      </c>
      <c r="E9" s="372">
        <f t="shared" si="3"/>
        <v>0</v>
      </c>
      <c r="F9" s="616">
        <f t="shared" si="4"/>
        <v>21500</v>
      </c>
      <c r="G9" s="369"/>
      <c r="H9" s="369"/>
      <c r="J9" s="373" t="s">
        <v>1227</v>
      </c>
      <c r="K9" s="373"/>
      <c r="L9" s="373"/>
      <c r="M9" s="373"/>
      <c r="N9" s="373"/>
      <c r="O9" s="373"/>
      <c r="P9" s="373"/>
      <c r="Q9" s="373"/>
      <c r="R9" s="373"/>
      <c r="S9" s="373"/>
      <c r="T9" s="373"/>
    </row>
    <row r="10" spans="1:20" ht="15.6" x14ac:dyDescent="0.3">
      <c r="A10" s="372" t="s">
        <v>273</v>
      </c>
      <c r="B10" s="614" t="str">
        <f t="shared" si="0"/>
        <v>FORD ESCAPE</v>
      </c>
      <c r="C10" s="372" t="str">
        <f t="shared" si="1"/>
        <v>Việt Nam</v>
      </c>
      <c r="D10" s="372">
        <f t="shared" si="2"/>
        <v>34000</v>
      </c>
      <c r="E10" s="372">
        <f t="shared" si="3"/>
        <v>0</v>
      </c>
      <c r="F10" s="616">
        <f t="shared" si="4"/>
        <v>34000</v>
      </c>
      <c r="G10" s="369"/>
      <c r="H10" s="369"/>
      <c r="J10" s="252" t="s">
        <v>1228</v>
      </c>
      <c r="K10" s="252"/>
      <c r="L10" s="252"/>
      <c r="M10" s="252"/>
      <c r="N10" s="252"/>
      <c r="O10" s="252"/>
      <c r="P10" s="252"/>
      <c r="Q10" s="252"/>
      <c r="R10" s="252"/>
      <c r="S10" s="252"/>
      <c r="T10" s="252"/>
    </row>
    <row r="11" spans="1:20" ht="15.6" x14ac:dyDescent="0.3">
      <c r="A11" s="615" t="s">
        <v>1319</v>
      </c>
      <c r="B11" s="614" t="str">
        <f t="shared" si="0"/>
        <v>MITSUBISHI COROLLA</v>
      </c>
      <c r="C11" s="372" t="str">
        <f t="shared" si="1"/>
        <v>Nhật Bản</v>
      </c>
      <c r="D11" s="372">
        <f t="shared" si="2"/>
        <v>21500</v>
      </c>
      <c r="E11" s="372">
        <f t="shared" si="3"/>
        <v>2150</v>
      </c>
      <c r="F11" s="616">
        <f t="shared" si="4"/>
        <v>23650</v>
      </c>
      <c r="G11" s="369"/>
      <c r="H11" s="369"/>
      <c r="J11" s="252"/>
      <c r="K11" s="252" t="s">
        <v>1229</v>
      </c>
      <c r="L11" s="252"/>
      <c r="M11" s="252"/>
      <c r="N11" s="252"/>
      <c r="O11" s="252"/>
      <c r="P11" s="252"/>
      <c r="Q11" s="252"/>
      <c r="R11" s="252"/>
      <c r="S11" s="252"/>
      <c r="T11" s="252"/>
    </row>
    <row r="12" spans="1:20" ht="15.6" x14ac:dyDescent="0.3">
      <c r="A12" s="369"/>
      <c r="B12" s="369"/>
      <c r="C12" s="369"/>
      <c r="D12" s="369"/>
      <c r="E12" s="369"/>
      <c r="F12" s="369"/>
      <c r="G12" s="369"/>
      <c r="H12" s="369"/>
      <c r="J12" s="252" t="s">
        <v>1230</v>
      </c>
      <c r="K12" s="252"/>
      <c r="L12" s="252"/>
      <c r="M12" s="252"/>
      <c r="N12" s="252"/>
      <c r="O12" s="252"/>
      <c r="P12" s="252"/>
      <c r="Q12" s="252"/>
      <c r="R12" s="252"/>
      <c r="S12" s="252"/>
      <c r="T12" s="252"/>
    </row>
    <row r="13" spans="1:20" ht="15.6" x14ac:dyDescent="0.3">
      <c r="A13" s="374"/>
      <c r="B13" s="374"/>
      <c r="C13" s="374"/>
      <c r="D13" s="374"/>
      <c r="E13" s="369"/>
      <c r="F13" s="369"/>
      <c r="G13" s="369"/>
      <c r="H13" s="369"/>
      <c r="J13" s="252" t="s">
        <v>1231</v>
      </c>
      <c r="K13" s="252"/>
      <c r="L13" s="252"/>
      <c r="M13" s="252"/>
      <c r="N13" s="252"/>
      <c r="O13" s="252"/>
      <c r="P13" s="252"/>
      <c r="Q13" s="252"/>
      <c r="R13" s="252"/>
      <c r="S13" s="252"/>
      <c r="T13" s="252"/>
    </row>
    <row r="14" spans="1:20" ht="15.6" x14ac:dyDescent="0.3">
      <c r="A14" s="487" t="s">
        <v>948</v>
      </c>
      <c r="B14" s="389"/>
      <c r="C14" s="389"/>
      <c r="D14" s="390"/>
      <c r="E14" s="369"/>
      <c r="F14" s="369"/>
      <c r="G14" s="369"/>
      <c r="H14" s="369"/>
      <c r="J14" s="252" t="s">
        <v>1232</v>
      </c>
      <c r="K14" s="252"/>
      <c r="L14" s="252"/>
      <c r="M14" s="252"/>
      <c r="N14" s="252"/>
      <c r="O14" s="252"/>
      <c r="P14" s="252"/>
      <c r="Q14" s="252"/>
      <c r="R14" s="252"/>
      <c r="S14" s="252"/>
      <c r="T14" s="252"/>
    </row>
    <row r="15" spans="1:20" ht="15.6" x14ac:dyDescent="0.3">
      <c r="A15" s="375" t="s">
        <v>1233</v>
      </c>
      <c r="B15" s="372" t="s">
        <v>1234</v>
      </c>
      <c r="C15" s="372" t="s">
        <v>1235</v>
      </c>
      <c r="D15" s="372" t="s">
        <v>1236</v>
      </c>
      <c r="E15" s="369"/>
      <c r="F15" s="369"/>
      <c r="G15" s="369"/>
      <c r="H15" s="369"/>
      <c r="J15" s="252" t="s">
        <v>1237</v>
      </c>
      <c r="K15" s="252"/>
      <c r="L15" s="252"/>
      <c r="M15" s="252"/>
      <c r="N15" s="252"/>
      <c r="O15" s="252"/>
      <c r="P15" s="252"/>
      <c r="Q15" s="252"/>
      <c r="R15" s="252"/>
      <c r="S15" s="252"/>
      <c r="T15" s="252"/>
    </row>
    <row r="16" spans="1:20" ht="15.6" x14ac:dyDescent="0.3">
      <c r="A16" s="375" t="s">
        <v>292</v>
      </c>
      <c r="B16" s="372" t="s">
        <v>294</v>
      </c>
      <c r="C16" s="372" t="s">
        <v>295</v>
      </c>
      <c r="D16" s="372" t="s">
        <v>296</v>
      </c>
      <c r="E16" s="369"/>
      <c r="F16" s="369"/>
      <c r="G16" s="369"/>
      <c r="H16" s="369"/>
      <c r="J16" s="252" t="s">
        <v>1238</v>
      </c>
      <c r="K16" s="252"/>
      <c r="L16" s="252"/>
      <c r="M16" s="252"/>
      <c r="N16" s="252"/>
      <c r="O16" s="252"/>
      <c r="P16" s="252"/>
      <c r="Q16" s="252"/>
      <c r="R16" s="252"/>
      <c r="S16" s="252"/>
      <c r="T16" s="252"/>
    </row>
    <row r="17" spans="1:8" ht="15.6" x14ac:dyDescent="0.3">
      <c r="A17" s="374"/>
      <c r="B17" s="374"/>
      <c r="C17" s="374"/>
      <c r="D17" s="374"/>
      <c r="E17" s="369"/>
      <c r="F17" s="369"/>
      <c r="G17" s="369"/>
      <c r="H17" s="369"/>
    </row>
    <row r="18" spans="1:8" ht="15.6" x14ac:dyDescent="0.3">
      <c r="A18" s="488" t="s">
        <v>949</v>
      </c>
      <c r="B18" s="389"/>
      <c r="C18" s="389"/>
      <c r="D18" s="390"/>
      <c r="E18" s="369"/>
      <c r="F18" s="374"/>
      <c r="G18" s="374"/>
      <c r="H18" s="374"/>
    </row>
    <row r="19" spans="1:8" ht="15.6" x14ac:dyDescent="0.3">
      <c r="A19" s="489" t="s">
        <v>1193</v>
      </c>
      <c r="B19" s="489" t="s">
        <v>1239</v>
      </c>
      <c r="C19" s="490" t="s">
        <v>703</v>
      </c>
      <c r="D19" s="390"/>
      <c r="E19" s="369"/>
      <c r="F19" s="491" t="s">
        <v>291</v>
      </c>
      <c r="G19" s="389"/>
      <c r="H19" s="390"/>
    </row>
    <row r="20" spans="1:8" ht="15.6" x14ac:dyDescent="0.3">
      <c r="A20" s="397"/>
      <c r="B20" s="397"/>
      <c r="C20" s="376" t="s">
        <v>1240</v>
      </c>
      <c r="D20" s="376" t="s">
        <v>1241</v>
      </c>
      <c r="E20" s="369"/>
      <c r="F20" s="377" t="s">
        <v>292</v>
      </c>
      <c r="G20" s="377" t="s">
        <v>293</v>
      </c>
      <c r="H20" s="377" t="s">
        <v>272</v>
      </c>
    </row>
    <row r="21" spans="1:8" ht="15.75" customHeight="1" x14ac:dyDescent="0.3">
      <c r="A21" s="372" t="s">
        <v>1242</v>
      </c>
      <c r="B21" s="372" t="s">
        <v>1243</v>
      </c>
      <c r="C21" s="372">
        <v>20500</v>
      </c>
      <c r="D21" s="372">
        <v>21500</v>
      </c>
      <c r="E21" s="369"/>
      <c r="F21" s="372" t="s">
        <v>294</v>
      </c>
      <c r="G21" s="372">
        <f>COUNTIF($B$3:$B$11,"TOYOTA*")</f>
        <v>3</v>
      </c>
      <c r="H21" s="372">
        <f>SUMIF($B$3:$B$11,"TOYOTA*",$F$3:$F$11)</f>
        <v>79950</v>
      </c>
    </row>
    <row r="22" spans="1:8" ht="15.75" customHeight="1" x14ac:dyDescent="0.3">
      <c r="A22" s="372" t="s">
        <v>1244</v>
      </c>
      <c r="B22" s="372" t="s">
        <v>1245</v>
      </c>
      <c r="C22" s="372">
        <v>36300</v>
      </c>
      <c r="D22" s="372">
        <v>37000</v>
      </c>
      <c r="E22" s="369"/>
      <c r="F22" s="372" t="s">
        <v>295</v>
      </c>
      <c r="G22" s="372">
        <f>COUNTIF($B$3:$B$11,"FORD*")</f>
        <v>3</v>
      </c>
      <c r="H22" s="372">
        <f>SUMIF($B$3:$B$11,"FORD*",$F$3:$F$11)</f>
        <v>80800</v>
      </c>
    </row>
    <row r="23" spans="1:8" ht="15.75" customHeight="1" x14ac:dyDescent="0.3">
      <c r="A23" s="372" t="s">
        <v>1246</v>
      </c>
      <c r="B23" s="372" t="s">
        <v>1247</v>
      </c>
      <c r="C23" s="372">
        <v>20000</v>
      </c>
      <c r="D23" s="372">
        <v>22000</v>
      </c>
      <c r="E23" s="369"/>
      <c r="F23" s="372" t="s">
        <v>296</v>
      </c>
      <c r="G23" s="372">
        <f>COUNTIF($B$3:$B$11,"MITSUBISHI*")</f>
        <v>3</v>
      </c>
      <c r="H23" s="372">
        <f>SUMIF($B$3:$B$11,"MITSUBISHI*",$F$3:$F$11)</f>
        <v>65650</v>
      </c>
    </row>
    <row r="24" spans="1:8" ht="15.75" customHeight="1" x14ac:dyDescent="0.3">
      <c r="A24" s="372" t="s">
        <v>1248</v>
      </c>
      <c r="B24" s="372" t="s">
        <v>1249</v>
      </c>
      <c r="C24" s="372">
        <v>21500</v>
      </c>
      <c r="D24" s="372">
        <v>23000</v>
      </c>
      <c r="E24" s="369"/>
      <c r="F24" s="369"/>
      <c r="G24" s="369"/>
      <c r="H24" s="369"/>
    </row>
    <row r="25" spans="1:8" ht="15.75" customHeight="1" x14ac:dyDescent="0.3">
      <c r="A25" s="372" t="s">
        <v>1250</v>
      </c>
      <c r="B25" s="372" t="s">
        <v>1251</v>
      </c>
      <c r="C25" s="372">
        <v>34000</v>
      </c>
      <c r="D25" s="372">
        <v>35000</v>
      </c>
      <c r="E25" s="369"/>
      <c r="F25" s="369"/>
      <c r="G25" s="369"/>
      <c r="H25" s="369"/>
    </row>
    <row r="26" spans="1:8" ht="15.75" customHeight="1" x14ac:dyDescent="0.3"/>
    <row r="27" spans="1:8" ht="15.75" customHeight="1" x14ac:dyDescent="0.3"/>
    <row r="28" spans="1:8" ht="15.75" customHeight="1" x14ac:dyDescent="0.3"/>
    <row r="29" spans="1:8" ht="15.75" customHeight="1" x14ac:dyDescent="0.3"/>
    <row r="30" spans="1:8" ht="15.75" customHeight="1" x14ac:dyDescent="0.3"/>
    <row r="31" spans="1:8" ht="15.75" customHeight="1" x14ac:dyDescent="0.3"/>
    <row r="32" spans="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1:F1"/>
    <mergeCell ref="A14:D14"/>
    <mergeCell ref="A18:D18"/>
    <mergeCell ref="A19:A20"/>
    <mergeCell ref="B19:B20"/>
    <mergeCell ref="C19:D19"/>
    <mergeCell ref="F19:H19"/>
  </mergeCell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00"/>
  <sheetViews>
    <sheetView workbookViewId="0">
      <selection activeCell="J18" sqref="J18"/>
    </sheetView>
  </sheetViews>
  <sheetFormatPr defaultColWidth="11.19921875" defaultRowHeight="15" customHeight="1" x14ac:dyDescent="0.3"/>
  <cols>
    <col min="1" max="1" width="10.296875" bestFit="1" customWidth="1"/>
    <col min="2" max="3" width="14.59765625" bestFit="1" customWidth="1"/>
    <col min="4" max="4" width="8.796875" bestFit="1" customWidth="1"/>
    <col min="5" max="8" width="8.59765625" customWidth="1"/>
    <col min="9" max="9" width="10.19921875" bestFit="1" customWidth="1"/>
    <col min="10" max="10" width="9" bestFit="1" customWidth="1"/>
    <col min="11" max="26" width="8.59765625" customWidth="1"/>
  </cols>
  <sheetData>
    <row r="1" spans="1:21" ht="15.6" x14ac:dyDescent="0.3">
      <c r="A1" s="492" t="s">
        <v>1252</v>
      </c>
      <c r="B1" s="399"/>
      <c r="C1" s="399"/>
      <c r="D1" s="399"/>
      <c r="E1" s="399"/>
      <c r="F1" s="399"/>
      <c r="G1" s="399"/>
      <c r="H1" s="399"/>
      <c r="I1" s="399"/>
      <c r="J1" s="369"/>
    </row>
    <row r="2" spans="1:21" ht="15.6" x14ac:dyDescent="0.3">
      <c r="A2" s="378" t="s">
        <v>899</v>
      </c>
      <c r="B2" s="378" t="s">
        <v>267</v>
      </c>
      <c r="C2" s="378" t="s">
        <v>557</v>
      </c>
      <c r="D2" s="378" t="s">
        <v>384</v>
      </c>
      <c r="E2" s="378" t="s">
        <v>1253</v>
      </c>
      <c r="F2" s="378" t="s">
        <v>293</v>
      </c>
      <c r="G2" s="378" t="s">
        <v>559</v>
      </c>
      <c r="H2" s="378" t="s">
        <v>271</v>
      </c>
      <c r="I2" s="378" t="s">
        <v>304</v>
      </c>
      <c r="J2" s="369"/>
      <c r="L2" s="366" t="s">
        <v>831</v>
      </c>
      <c r="M2" s="1"/>
      <c r="N2" s="1"/>
      <c r="O2" s="1"/>
      <c r="P2" s="1"/>
      <c r="Q2" s="1"/>
      <c r="R2" s="1"/>
      <c r="S2" s="1"/>
      <c r="T2" s="1"/>
      <c r="U2" s="1"/>
    </row>
    <row r="3" spans="1:21" ht="17.25" customHeight="1" x14ac:dyDescent="0.3">
      <c r="A3" s="379">
        <v>37914</v>
      </c>
      <c r="B3" s="377" t="s">
        <v>1254</v>
      </c>
      <c r="C3" s="377" t="str">
        <f>VLOOKUP(LEFT(B3,3),$A$16:$B$19,2,0)</f>
        <v>Dường Biên Hoà</v>
      </c>
      <c r="D3" s="377" t="str">
        <f>IF(MID(B3,5,2)="DB","Đặc biệt","Trung bình")</f>
        <v>Đặc biệt</v>
      </c>
      <c r="E3" s="377" t="s">
        <v>1255</v>
      </c>
      <c r="F3" s="377">
        <v>150</v>
      </c>
      <c r="G3" s="380">
        <f>IF(RIGHT(B3)="N",95%*VLOOKUP(LEFT(B3,3),$D$16:$F$19,IF(MID(B3,5,2)="DB",2,3),0),110%*(VLOOKUP(LEFT(B3,3),$D$16:$F$19,IF(MID(B3,5,2)="DB",2,3),0)))</f>
        <v>42750</v>
      </c>
      <c r="H3" s="372">
        <f>IF(RIGHT(B3)="N",F3*G3*0.2%,F3*G3*0.5%)</f>
        <v>12825</v>
      </c>
      <c r="I3" s="372">
        <f>F3*G3-H3</f>
        <v>6399675</v>
      </c>
      <c r="J3" s="369"/>
      <c r="L3" s="373" t="s">
        <v>1256</v>
      </c>
      <c r="M3" s="373"/>
      <c r="N3" s="373"/>
      <c r="O3" s="373"/>
      <c r="P3" s="373"/>
      <c r="Q3" s="373"/>
      <c r="R3" s="252"/>
      <c r="S3" s="252"/>
      <c r="T3" s="252"/>
      <c r="U3" s="252"/>
    </row>
    <row r="4" spans="1:21" ht="15.6" x14ac:dyDescent="0.3">
      <c r="A4" s="379">
        <v>37909</v>
      </c>
      <c r="B4" s="377" t="s">
        <v>1257</v>
      </c>
      <c r="C4" s="377" t="str">
        <f t="shared" ref="C4:C12" si="0">VLOOKUP(LEFT(B4,3),$A$16:$B$19,2,0)</f>
        <v>Gạo Thái Lan</v>
      </c>
      <c r="D4" s="377" t="str">
        <f t="shared" ref="D4:D12" si="1">IF(MID(B4,5,2)="DB","Đặc biệt","Trung bình")</f>
        <v>Trung bình</v>
      </c>
      <c r="E4" s="377" t="s">
        <v>1255</v>
      </c>
      <c r="F4" s="377">
        <v>700</v>
      </c>
      <c r="G4" s="380">
        <f t="shared" ref="G4:G12" si="2">IF(RIGHT(B4)="N",95%*VLOOKUP(LEFT(B4,3),$D$16:$F$19,IF(MID(B4,5,2)="DB",2,3),0),110%*(VLOOKUP(LEFT(B4,3),$D$16:$F$19,IF(MID(B4,5,2)="DB",2,3),0)))</f>
        <v>53200</v>
      </c>
      <c r="H4" s="372">
        <f t="shared" ref="H4:H12" si="3">IF(RIGHT(B4)="N",F4*G4*0.2%,F4*G4*0.5%)</f>
        <v>74480</v>
      </c>
      <c r="I4" s="372">
        <f t="shared" ref="I4:I12" si="4">F4*G4-H4</f>
        <v>37165520</v>
      </c>
      <c r="J4" s="369"/>
      <c r="L4" s="373" t="s">
        <v>1258</v>
      </c>
      <c r="M4" s="373"/>
      <c r="N4" s="373"/>
      <c r="O4" s="373"/>
      <c r="P4" s="373"/>
      <c r="Q4" s="373"/>
      <c r="R4" s="252"/>
      <c r="S4" s="252"/>
      <c r="T4" s="252"/>
      <c r="U4" s="252"/>
    </row>
    <row r="5" spans="1:21" ht="17.25" customHeight="1" x14ac:dyDescent="0.3">
      <c r="A5" s="379">
        <v>37895</v>
      </c>
      <c r="B5" s="377" t="s">
        <v>1259</v>
      </c>
      <c r="C5" s="377" t="str">
        <f t="shared" si="0"/>
        <v>Dường Biên Hoà</v>
      </c>
      <c r="D5" s="377" t="str">
        <f t="shared" si="1"/>
        <v>Trung bình</v>
      </c>
      <c r="E5" s="377" t="s">
        <v>1255</v>
      </c>
      <c r="F5" s="377">
        <v>500</v>
      </c>
      <c r="G5" s="380">
        <f t="shared" si="2"/>
        <v>46200.000000000007</v>
      </c>
      <c r="H5" s="372">
        <f t="shared" si="3"/>
        <v>115500.00000000001</v>
      </c>
      <c r="I5" s="372">
        <f t="shared" si="4"/>
        <v>22984500.000000004</v>
      </c>
      <c r="J5" s="369"/>
      <c r="L5" s="373" t="s">
        <v>1260</v>
      </c>
      <c r="M5" s="373"/>
      <c r="N5" s="373"/>
      <c r="O5" s="373"/>
      <c r="P5" s="373"/>
      <c r="Q5" s="373"/>
      <c r="R5" s="252"/>
      <c r="S5" s="252"/>
      <c r="T5" s="252"/>
      <c r="U5" s="252"/>
    </row>
    <row r="6" spans="1:21" ht="15.6" x14ac:dyDescent="0.3">
      <c r="A6" s="379">
        <v>37901</v>
      </c>
      <c r="B6" s="377" t="s">
        <v>1261</v>
      </c>
      <c r="C6" s="377" t="str">
        <f t="shared" si="0"/>
        <v>Gạo Thái Lan</v>
      </c>
      <c r="D6" s="377" t="str">
        <f t="shared" si="1"/>
        <v>Đặc biệt</v>
      </c>
      <c r="E6" s="377" t="s">
        <v>1255</v>
      </c>
      <c r="F6" s="377">
        <v>1250</v>
      </c>
      <c r="G6" s="380">
        <f t="shared" si="2"/>
        <v>6600.0000000000009</v>
      </c>
      <c r="H6" s="372">
        <f t="shared" si="3"/>
        <v>41250.000000000007</v>
      </c>
      <c r="I6" s="372">
        <f t="shared" si="4"/>
        <v>8208750.0000000009</v>
      </c>
      <c r="J6" s="369" t="s">
        <v>1262</v>
      </c>
      <c r="L6" s="252" t="s">
        <v>1263</v>
      </c>
      <c r="M6" s="252"/>
      <c r="N6" s="252"/>
      <c r="O6" s="252"/>
      <c r="P6" s="252"/>
      <c r="Q6" s="252"/>
      <c r="R6" s="252"/>
      <c r="S6" s="252"/>
      <c r="T6" s="252"/>
      <c r="U6" s="252"/>
    </row>
    <row r="7" spans="1:21" ht="15.6" x14ac:dyDescent="0.3">
      <c r="A7" s="379">
        <v>37869</v>
      </c>
      <c r="B7" s="377" t="s">
        <v>1264</v>
      </c>
      <c r="C7" s="377" t="str">
        <f t="shared" si="0"/>
        <v>Dường Quảng Nam</v>
      </c>
      <c r="D7" s="377" t="str">
        <f t="shared" si="1"/>
        <v>Trung bình</v>
      </c>
      <c r="E7" s="377" t="s">
        <v>1255</v>
      </c>
      <c r="F7" s="377">
        <v>975</v>
      </c>
      <c r="G7" s="380">
        <f t="shared" si="2"/>
        <v>36100</v>
      </c>
      <c r="H7" s="372">
        <f t="shared" si="3"/>
        <v>70395</v>
      </c>
      <c r="I7" s="372">
        <f t="shared" si="4"/>
        <v>35127105</v>
      </c>
      <c r="J7" s="369"/>
      <c r="L7" s="252" t="s">
        <v>1265</v>
      </c>
      <c r="M7" s="365"/>
      <c r="N7" s="373"/>
      <c r="O7" s="373"/>
      <c r="P7" s="373"/>
      <c r="Q7" s="373"/>
      <c r="R7" s="373"/>
      <c r="S7" s="252"/>
      <c r="T7" s="252"/>
      <c r="U7" s="252"/>
    </row>
    <row r="8" spans="1:21" ht="15.6" x14ac:dyDescent="0.3">
      <c r="A8" s="379">
        <v>37872</v>
      </c>
      <c r="B8" s="377" t="s">
        <v>1266</v>
      </c>
      <c r="C8" s="377" t="str">
        <f t="shared" si="0"/>
        <v>Gạo Nếp Thơm</v>
      </c>
      <c r="D8" s="377" t="str">
        <f t="shared" si="1"/>
        <v>Đặc biệt</v>
      </c>
      <c r="E8" s="377" t="s">
        <v>1255</v>
      </c>
      <c r="F8" s="377">
        <v>380</v>
      </c>
      <c r="G8" s="380">
        <f t="shared" si="2"/>
        <v>68200</v>
      </c>
      <c r="H8" s="372">
        <f t="shared" si="3"/>
        <v>129580</v>
      </c>
      <c r="I8" s="372">
        <f t="shared" si="4"/>
        <v>25786420</v>
      </c>
      <c r="J8" s="369"/>
      <c r="L8" s="252" t="s">
        <v>1267</v>
      </c>
      <c r="M8" s="365"/>
      <c r="N8" s="373"/>
      <c r="O8" s="373"/>
      <c r="P8" s="373"/>
      <c r="Q8" s="373"/>
      <c r="R8" s="373"/>
      <c r="S8" s="252"/>
      <c r="T8" s="252"/>
      <c r="U8" s="252"/>
    </row>
    <row r="9" spans="1:21" ht="17.25" customHeight="1" x14ac:dyDescent="0.3">
      <c r="A9" s="379">
        <v>37849</v>
      </c>
      <c r="B9" s="377" t="s">
        <v>1268</v>
      </c>
      <c r="C9" s="377" t="str">
        <f t="shared" si="0"/>
        <v>Dường Quảng Nam</v>
      </c>
      <c r="D9" s="377" t="str">
        <f t="shared" si="1"/>
        <v>Đặc biệt</v>
      </c>
      <c r="E9" s="377" t="s">
        <v>1255</v>
      </c>
      <c r="F9" s="377">
        <v>2375</v>
      </c>
      <c r="G9" s="380">
        <f t="shared" si="2"/>
        <v>3800</v>
      </c>
      <c r="H9" s="372">
        <f t="shared" si="3"/>
        <v>18050</v>
      </c>
      <c r="I9" s="372">
        <f t="shared" si="4"/>
        <v>9006950</v>
      </c>
      <c r="J9" s="369"/>
      <c r="L9" s="252"/>
      <c r="M9" s="252" t="s">
        <v>1269</v>
      </c>
      <c r="N9" s="252"/>
      <c r="O9" s="252"/>
      <c r="P9" s="252"/>
      <c r="Q9" s="252"/>
      <c r="R9" s="252"/>
      <c r="S9" s="373"/>
      <c r="T9" s="373"/>
      <c r="U9" s="373"/>
    </row>
    <row r="10" spans="1:21" ht="17.25" customHeight="1" x14ac:dyDescent="0.3">
      <c r="A10" s="379">
        <v>37744</v>
      </c>
      <c r="B10" s="377" t="s">
        <v>1270</v>
      </c>
      <c r="C10" s="377" t="str">
        <f t="shared" si="0"/>
        <v>Dường Biên Hoà</v>
      </c>
      <c r="D10" s="377" t="str">
        <f t="shared" si="1"/>
        <v>Đặc biệt</v>
      </c>
      <c r="E10" s="377" t="s">
        <v>1255</v>
      </c>
      <c r="F10" s="377">
        <v>3000</v>
      </c>
      <c r="G10" s="380">
        <f t="shared" si="2"/>
        <v>49500.000000000007</v>
      </c>
      <c r="H10" s="372">
        <f t="shared" si="3"/>
        <v>742500.00000000012</v>
      </c>
      <c r="I10" s="372">
        <f t="shared" si="4"/>
        <v>147757500.00000003</v>
      </c>
      <c r="J10" s="369"/>
      <c r="L10" s="252" t="s">
        <v>1271</v>
      </c>
      <c r="M10" s="252"/>
      <c r="N10" s="252"/>
      <c r="O10" s="252"/>
      <c r="P10" s="252"/>
      <c r="Q10" s="252"/>
      <c r="R10" s="252"/>
      <c r="S10" s="373"/>
      <c r="T10" s="373"/>
      <c r="U10" s="373"/>
    </row>
    <row r="11" spans="1:21" ht="15.6" x14ac:dyDescent="0.3">
      <c r="A11" s="379">
        <v>37815</v>
      </c>
      <c r="B11" s="377" t="s">
        <v>1272</v>
      </c>
      <c r="C11" s="377" t="str">
        <f t="shared" si="0"/>
        <v>Gạo Nếp Thơm</v>
      </c>
      <c r="D11" s="377" t="str">
        <f t="shared" si="1"/>
        <v>Trung bình</v>
      </c>
      <c r="E11" s="377" t="s">
        <v>1255</v>
      </c>
      <c r="F11" s="377">
        <v>5320</v>
      </c>
      <c r="G11" s="380">
        <f t="shared" si="2"/>
        <v>5510</v>
      </c>
      <c r="H11" s="372">
        <f t="shared" si="3"/>
        <v>58626.400000000001</v>
      </c>
      <c r="I11" s="372">
        <f t="shared" si="4"/>
        <v>29254573.600000001</v>
      </c>
      <c r="J11" s="369"/>
      <c r="L11" s="252"/>
      <c r="M11" s="252" t="s">
        <v>1273</v>
      </c>
      <c r="N11" s="252"/>
      <c r="O11" s="252"/>
      <c r="P11" s="252"/>
      <c r="Q11" s="252"/>
      <c r="R11" s="252"/>
      <c r="S11" s="252"/>
      <c r="T11" s="252"/>
      <c r="U11" s="252"/>
    </row>
    <row r="12" spans="1:21" ht="15.6" x14ac:dyDescent="0.3">
      <c r="A12" s="379">
        <v>37847</v>
      </c>
      <c r="B12" s="377" t="s">
        <v>1274</v>
      </c>
      <c r="C12" s="377" t="str">
        <f t="shared" si="0"/>
        <v>Dường Quảng Nam</v>
      </c>
      <c r="D12" s="377" t="str">
        <f t="shared" si="1"/>
        <v>Trung bình</v>
      </c>
      <c r="E12" s="377" t="s">
        <v>1255</v>
      </c>
      <c r="F12" s="377">
        <v>680</v>
      </c>
      <c r="G12" s="380">
        <f t="shared" si="2"/>
        <v>41800</v>
      </c>
      <c r="H12" s="372">
        <f t="shared" si="3"/>
        <v>142120</v>
      </c>
      <c r="I12" s="372">
        <f t="shared" si="4"/>
        <v>28281880</v>
      </c>
      <c r="J12" s="369"/>
      <c r="L12" s="252" t="s">
        <v>1275</v>
      </c>
      <c r="M12" s="252"/>
      <c r="N12" s="252"/>
      <c r="O12" s="252"/>
      <c r="P12" s="252"/>
      <c r="Q12" s="252"/>
      <c r="R12" s="252"/>
      <c r="S12" s="252"/>
      <c r="T12" s="252"/>
      <c r="U12" s="252"/>
    </row>
    <row r="13" spans="1:21" ht="15.6" x14ac:dyDescent="0.3">
      <c r="A13" s="369"/>
      <c r="B13" s="369"/>
      <c r="C13" s="369"/>
      <c r="D13" s="369"/>
      <c r="E13" s="369"/>
      <c r="F13" s="369"/>
      <c r="G13" s="369"/>
      <c r="H13" s="369"/>
      <c r="I13" s="369"/>
      <c r="J13" s="369"/>
      <c r="L13" s="373" t="s">
        <v>1276</v>
      </c>
      <c r="M13" s="365"/>
      <c r="N13" s="365"/>
      <c r="O13" s="365"/>
      <c r="P13" s="365"/>
      <c r="Q13" s="365"/>
      <c r="R13" s="365"/>
      <c r="S13" s="252"/>
      <c r="T13" s="252"/>
      <c r="U13" s="252"/>
    </row>
    <row r="14" spans="1:21" ht="15.6" x14ac:dyDescent="0.3">
      <c r="A14" s="492" t="s">
        <v>948</v>
      </c>
      <c r="B14" s="399"/>
      <c r="C14" s="369"/>
      <c r="D14" s="492" t="s">
        <v>1277</v>
      </c>
      <c r="E14" s="399"/>
      <c r="F14" s="399"/>
      <c r="G14" s="369"/>
      <c r="H14" s="492" t="s">
        <v>1278</v>
      </c>
      <c r="I14" s="399"/>
      <c r="J14" s="399"/>
      <c r="L14" s="252"/>
      <c r="M14" s="252" t="s">
        <v>1279</v>
      </c>
      <c r="N14" s="252"/>
      <c r="O14" s="252"/>
      <c r="P14" s="252"/>
      <c r="Q14" s="252"/>
      <c r="R14" s="252"/>
      <c r="S14" s="252"/>
      <c r="T14" s="252"/>
      <c r="U14" s="252"/>
    </row>
    <row r="15" spans="1:21" ht="17.25" customHeight="1" x14ac:dyDescent="0.3">
      <c r="A15" s="378" t="s">
        <v>1280</v>
      </c>
      <c r="B15" s="378" t="s">
        <v>1055</v>
      </c>
      <c r="C15" s="369"/>
      <c r="D15" s="378" t="s">
        <v>384</v>
      </c>
      <c r="E15" s="378" t="s">
        <v>1281</v>
      </c>
      <c r="F15" s="378" t="s">
        <v>616</v>
      </c>
      <c r="G15" s="369"/>
      <c r="H15" s="378" t="s">
        <v>267</v>
      </c>
      <c r="I15" s="378" t="s">
        <v>1282</v>
      </c>
      <c r="J15" s="378" t="s">
        <v>1283</v>
      </c>
      <c r="L15" s="252"/>
      <c r="M15" s="252" t="s">
        <v>1284</v>
      </c>
      <c r="N15" s="252"/>
      <c r="O15" s="252"/>
      <c r="P15" s="252"/>
      <c r="Q15" s="252"/>
      <c r="R15" s="252"/>
      <c r="S15" s="365"/>
      <c r="T15" s="365"/>
      <c r="U15" s="252"/>
    </row>
    <row r="16" spans="1:21" ht="15.6" x14ac:dyDescent="0.3">
      <c r="A16" s="377" t="s">
        <v>1285</v>
      </c>
      <c r="B16" s="377" t="s">
        <v>1286</v>
      </c>
      <c r="C16" s="381"/>
      <c r="D16" s="377" t="s">
        <v>1285</v>
      </c>
      <c r="E16" s="377">
        <v>45000</v>
      </c>
      <c r="F16" s="377">
        <v>42000</v>
      </c>
      <c r="G16" s="369"/>
      <c r="H16" s="377" t="s">
        <v>1287</v>
      </c>
      <c r="I16" s="372">
        <f>SUMIFS($I$3:$I$12,$C$3:$C$12,"Dường*",$B$3:$B$12,"*N")</f>
        <v>50533730</v>
      </c>
      <c r="J16" s="372">
        <f>SUMIFS($I$3:$I$12,$C$3:$C$12,"Dường*",$B$3:$B$12,"*X")</f>
        <v>199023880.00000003</v>
      </c>
      <c r="L16" s="252" t="s">
        <v>1288</v>
      </c>
      <c r="M16" s="252"/>
      <c r="N16" s="252"/>
      <c r="O16" s="252"/>
      <c r="P16" s="252"/>
      <c r="Q16" s="252"/>
      <c r="R16" s="252"/>
    </row>
    <row r="17" spans="1:18" ht="15.6" x14ac:dyDescent="0.3">
      <c r="A17" s="377" t="s">
        <v>1289</v>
      </c>
      <c r="B17" s="377" t="s">
        <v>1290</v>
      </c>
      <c r="C17" s="381"/>
      <c r="D17" s="377" t="s">
        <v>1289</v>
      </c>
      <c r="E17" s="377">
        <v>4000</v>
      </c>
      <c r="F17" s="377">
        <v>38000</v>
      </c>
      <c r="G17" s="369"/>
      <c r="H17" s="377" t="s">
        <v>1291</v>
      </c>
      <c r="I17" s="372">
        <f>SUMIFS($I$3:$I$12,$C$3:$C$12,"Gạo*",$B$3:$B$12,"*N")</f>
        <v>66420093.600000001</v>
      </c>
      <c r="J17" s="372">
        <f>SUMIFS($I$3:$I$12,$C$3:$C$12,"Gạo*",$B$3:$B$12,"*X")</f>
        <v>33995170</v>
      </c>
      <c r="L17" s="252" t="s">
        <v>1292</v>
      </c>
      <c r="M17" s="252"/>
      <c r="N17" s="252"/>
      <c r="O17" s="252"/>
      <c r="P17" s="252"/>
      <c r="Q17" s="252"/>
      <c r="R17" s="252"/>
    </row>
    <row r="18" spans="1:18" ht="15.6" x14ac:dyDescent="0.3">
      <c r="A18" s="377" t="s">
        <v>1293</v>
      </c>
      <c r="B18" s="377" t="s">
        <v>1294</v>
      </c>
      <c r="C18" s="381"/>
      <c r="D18" s="377" t="s">
        <v>1293</v>
      </c>
      <c r="E18" s="377">
        <v>6000</v>
      </c>
      <c r="F18" s="377">
        <v>56000</v>
      </c>
      <c r="G18" s="369"/>
      <c r="H18" s="369"/>
      <c r="I18" s="369"/>
      <c r="J18" s="369"/>
    </row>
    <row r="19" spans="1:18" ht="15.6" x14ac:dyDescent="0.3">
      <c r="A19" s="377" t="s">
        <v>1295</v>
      </c>
      <c r="B19" s="377" t="s">
        <v>1296</v>
      </c>
      <c r="C19" s="381"/>
      <c r="D19" s="377" t="s">
        <v>1295</v>
      </c>
      <c r="E19" s="377">
        <v>62000</v>
      </c>
      <c r="F19" s="377">
        <v>5800</v>
      </c>
      <c r="G19" s="369"/>
      <c r="H19" s="369"/>
      <c r="I19" s="369"/>
      <c r="J19" s="369"/>
    </row>
    <row r="21" spans="1:18" ht="15.75" customHeight="1" x14ac:dyDescent="0.3"/>
    <row r="22" spans="1:18" ht="15.75" customHeight="1" x14ac:dyDescent="0.3"/>
    <row r="23" spans="1:18" ht="15.75" customHeight="1" x14ac:dyDescent="0.3"/>
    <row r="24" spans="1:18" ht="15.75" customHeight="1" x14ac:dyDescent="0.3"/>
    <row r="25" spans="1:18" ht="15.75" customHeight="1" x14ac:dyDescent="0.3"/>
    <row r="26" spans="1:18" ht="15.75" customHeight="1" x14ac:dyDescent="0.3"/>
    <row r="27" spans="1:18" ht="15.75" customHeight="1" x14ac:dyDescent="0.3"/>
    <row r="28" spans="1:18" ht="15.75" customHeight="1" x14ac:dyDescent="0.3"/>
    <row r="29" spans="1:18" ht="15.75" customHeight="1" x14ac:dyDescent="0.3"/>
    <row r="30" spans="1:18" ht="15.75" customHeight="1" x14ac:dyDescent="0.3"/>
    <row r="31" spans="1:18" ht="15.75" customHeight="1" x14ac:dyDescent="0.3"/>
    <row r="32" spans="1: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4">
    <mergeCell ref="A1:I1"/>
    <mergeCell ref="A14:B14"/>
    <mergeCell ref="D14:F14"/>
    <mergeCell ref="H14:J14"/>
  </mergeCell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workbookViewId="0">
      <selection activeCell="A3" sqref="A3:E8"/>
    </sheetView>
  </sheetViews>
  <sheetFormatPr defaultColWidth="11.19921875" defaultRowHeight="15" customHeight="1" x14ac:dyDescent="0.3"/>
  <cols>
    <col min="1" max="1" width="15.19921875" customWidth="1"/>
    <col min="2" max="5" width="9" customWidth="1"/>
    <col min="6" max="6" width="11.69921875" customWidth="1"/>
    <col min="7" max="26" width="9" customWidth="1"/>
  </cols>
  <sheetData>
    <row r="1" spans="1:26" ht="17.399999999999999" x14ac:dyDescent="0.3">
      <c r="A1" s="493" t="s">
        <v>1297</v>
      </c>
      <c r="B1" s="392"/>
      <c r="C1" s="392"/>
      <c r="D1" s="392"/>
      <c r="E1" s="392"/>
      <c r="F1" s="392"/>
      <c r="G1" s="1"/>
      <c r="H1" s="1"/>
      <c r="I1" s="1"/>
      <c r="J1" s="1"/>
      <c r="K1" s="1"/>
      <c r="L1" s="1"/>
      <c r="M1" s="1"/>
      <c r="N1" s="1"/>
      <c r="O1" s="1"/>
      <c r="P1" s="1"/>
      <c r="Q1" s="1"/>
      <c r="R1" s="1"/>
      <c r="S1" s="1"/>
      <c r="T1" s="1"/>
      <c r="U1" s="1"/>
      <c r="V1" s="1"/>
      <c r="W1" s="1"/>
      <c r="X1" s="1"/>
      <c r="Y1" s="1"/>
      <c r="Z1" s="1"/>
    </row>
    <row r="2" spans="1:26" ht="15.6" x14ac:dyDescent="0.3">
      <c r="A2" s="1"/>
      <c r="B2" s="1"/>
      <c r="C2" s="1"/>
      <c r="D2" s="1"/>
      <c r="E2" s="1"/>
      <c r="F2" s="1"/>
      <c r="G2" s="1"/>
      <c r="H2" s="1"/>
      <c r="I2" s="1"/>
      <c r="J2" s="1"/>
      <c r="K2" s="1"/>
      <c r="L2" s="1"/>
      <c r="M2" s="1"/>
      <c r="N2" s="1"/>
      <c r="O2" s="1"/>
      <c r="P2" s="1"/>
      <c r="Q2" s="1"/>
      <c r="R2" s="1"/>
      <c r="S2" s="1"/>
      <c r="T2" s="1"/>
      <c r="U2" s="1"/>
      <c r="V2" s="1"/>
      <c r="W2" s="1"/>
      <c r="X2" s="1"/>
      <c r="Y2" s="1"/>
      <c r="Z2" s="1"/>
    </row>
    <row r="3" spans="1:26" ht="15.6" x14ac:dyDescent="0.3">
      <c r="A3" s="494" t="s">
        <v>1298</v>
      </c>
      <c r="B3" s="495"/>
      <c r="C3" s="495"/>
      <c r="D3" s="495"/>
      <c r="E3" s="496"/>
      <c r="F3" s="1"/>
      <c r="G3" s="1"/>
      <c r="H3" s="1"/>
      <c r="I3" s="1"/>
      <c r="J3" s="1"/>
      <c r="K3" s="1"/>
      <c r="L3" s="1"/>
      <c r="M3" s="1"/>
      <c r="N3" s="1"/>
      <c r="O3" s="1"/>
      <c r="P3" s="1"/>
      <c r="Q3" s="1"/>
      <c r="R3" s="1"/>
      <c r="S3" s="1"/>
      <c r="T3" s="1"/>
      <c r="U3" s="1"/>
      <c r="V3" s="1"/>
      <c r="W3" s="1"/>
      <c r="X3" s="1"/>
      <c r="Y3" s="1"/>
      <c r="Z3" s="1"/>
    </row>
    <row r="4" spans="1:26" ht="15.6" x14ac:dyDescent="0.3">
      <c r="A4" s="494" t="s">
        <v>1299</v>
      </c>
      <c r="B4" s="495"/>
      <c r="C4" s="495"/>
      <c r="D4" s="495"/>
      <c r="E4" s="496"/>
      <c r="F4" s="1"/>
      <c r="G4" s="1"/>
      <c r="H4" s="1"/>
      <c r="I4" s="1"/>
      <c r="J4" s="1"/>
      <c r="K4" s="1"/>
      <c r="L4" s="1"/>
      <c r="M4" s="1"/>
      <c r="N4" s="1"/>
      <c r="O4" s="1"/>
      <c r="P4" s="1"/>
      <c r="Q4" s="1"/>
      <c r="R4" s="1"/>
      <c r="S4" s="1"/>
      <c r="T4" s="1"/>
      <c r="U4" s="1"/>
      <c r="V4" s="1"/>
      <c r="W4" s="1"/>
      <c r="X4" s="1"/>
      <c r="Y4" s="1"/>
      <c r="Z4" s="1"/>
    </row>
    <row r="5" spans="1:26" ht="15.6" x14ac:dyDescent="0.3">
      <c r="A5" s="382"/>
      <c r="B5" s="382">
        <v>2001</v>
      </c>
      <c r="C5" s="382">
        <v>2002</v>
      </c>
      <c r="D5" s="382">
        <v>2003</v>
      </c>
      <c r="E5" s="382">
        <v>2004</v>
      </c>
      <c r="F5" s="1"/>
      <c r="G5" s="1"/>
      <c r="H5" s="1"/>
      <c r="I5" s="1"/>
      <c r="J5" s="1"/>
      <c r="K5" s="1"/>
      <c r="L5" s="1"/>
      <c r="M5" s="1"/>
      <c r="N5" s="1"/>
      <c r="O5" s="1"/>
      <c r="P5" s="1"/>
      <c r="Q5" s="1"/>
      <c r="R5" s="1"/>
      <c r="S5" s="1"/>
      <c r="T5" s="1"/>
      <c r="U5" s="1"/>
      <c r="V5" s="1"/>
      <c r="W5" s="1"/>
      <c r="X5" s="1"/>
      <c r="Y5" s="1"/>
      <c r="Z5" s="1"/>
    </row>
    <row r="6" spans="1:26" ht="15.6" x14ac:dyDescent="0.3">
      <c r="A6" s="383" t="s">
        <v>1300</v>
      </c>
      <c r="B6" s="382">
        <v>200</v>
      </c>
      <c r="C6" s="382">
        <v>262</v>
      </c>
      <c r="D6" s="382">
        <v>364</v>
      </c>
      <c r="E6" s="382">
        <v>451</v>
      </c>
      <c r="F6" s="1"/>
      <c r="G6" s="1"/>
      <c r="H6" s="1"/>
      <c r="I6" s="1"/>
      <c r="J6" s="1"/>
      <c r="K6" s="1"/>
      <c r="L6" s="1"/>
      <c r="M6" s="1"/>
      <c r="N6" s="1"/>
      <c r="O6" s="1"/>
      <c r="P6" s="1"/>
      <c r="Q6" s="1"/>
      <c r="R6" s="1"/>
      <c r="S6" s="1"/>
      <c r="T6" s="1"/>
      <c r="U6" s="1"/>
      <c r="V6" s="1"/>
      <c r="W6" s="1"/>
      <c r="X6" s="1"/>
      <c r="Y6" s="1"/>
      <c r="Z6" s="1"/>
    </row>
    <row r="7" spans="1:26" ht="15.6" x14ac:dyDescent="0.3">
      <c r="A7" s="383" t="s">
        <v>1301</v>
      </c>
      <c r="B7" s="382">
        <v>158</v>
      </c>
      <c r="C7" s="382">
        <v>168</v>
      </c>
      <c r="D7" s="382">
        <v>245</v>
      </c>
      <c r="E7" s="382">
        <v>256</v>
      </c>
      <c r="F7" s="1"/>
      <c r="G7" s="1"/>
      <c r="H7" s="1"/>
      <c r="I7" s="1"/>
      <c r="J7" s="1"/>
      <c r="K7" s="1"/>
      <c r="L7" s="1"/>
      <c r="M7" s="1"/>
      <c r="N7" s="1"/>
      <c r="O7" s="1"/>
      <c r="P7" s="1"/>
      <c r="Q7" s="1"/>
      <c r="R7" s="1"/>
      <c r="S7" s="1"/>
      <c r="T7" s="1"/>
      <c r="U7" s="1"/>
      <c r="V7" s="1"/>
      <c r="W7" s="1"/>
      <c r="X7" s="1"/>
      <c r="Y7" s="1"/>
      <c r="Z7" s="1"/>
    </row>
    <row r="8" spans="1:26" ht="15.6" x14ac:dyDescent="0.3">
      <c r="A8" s="383" t="s">
        <v>1302</v>
      </c>
      <c r="B8" s="382">
        <v>324</v>
      </c>
      <c r="C8" s="382">
        <v>452</v>
      </c>
      <c r="D8" s="382">
        <v>254</v>
      </c>
      <c r="E8" s="382">
        <v>463</v>
      </c>
      <c r="F8" s="1"/>
      <c r="G8" s="1"/>
      <c r="H8" s="1"/>
      <c r="I8" s="1"/>
      <c r="J8" s="1"/>
      <c r="K8" s="1"/>
      <c r="L8" s="1"/>
      <c r="M8" s="1"/>
      <c r="N8" s="1"/>
      <c r="O8" s="1"/>
      <c r="P8" s="1"/>
      <c r="Q8" s="1"/>
      <c r="R8" s="1"/>
      <c r="S8" s="1"/>
      <c r="T8" s="1"/>
      <c r="U8" s="1"/>
      <c r="V8" s="1"/>
      <c r="W8" s="1"/>
      <c r="X8" s="1"/>
      <c r="Y8" s="1"/>
      <c r="Z8" s="1"/>
    </row>
    <row r="9" spans="1:26" ht="15.6" x14ac:dyDescent="0.3">
      <c r="A9" s="1"/>
      <c r="B9" s="1"/>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497" t="s">
        <v>1303</v>
      </c>
      <c r="B11" s="498"/>
      <c r="C11" s="498"/>
      <c r="D11" s="498"/>
      <c r="E11" s="499"/>
      <c r="F11" s="1"/>
      <c r="G11" s="1"/>
      <c r="H11" s="1"/>
      <c r="I11" s="1"/>
      <c r="J11" s="1"/>
      <c r="K11" s="1"/>
      <c r="L11" s="1"/>
      <c r="M11" s="1"/>
      <c r="N11" s="1"/>
      <c r="O11" s="1"/>
      <c r="P11" s="1"/>
      <c r="Q11" s="1"/>
      <c r="R11" s="1"/>
      <c r="S11" s="1"/>
      <c r="T11" s="1"/>
      <c r="U11" s="1"/>
      <c r="V11" s="1"/>
      <c r="W11" s="1"/>
      <c r="X11" s="1"/>
      <c r="Y11" s="1"/>
      <c r="Z11" s="1"/>
    </row>
    <row r="12" spans="1:26" ht="15.6" x14ac:dyDescent="0.3">
      <c r="A12" s="497" t="s">
        <v>1304</v>
      </c>
      <c r="B12" s="498"/>
      <c r="C12" s="498"/>
      <c r="D12" s="498"/>
      <c r="E12" s="499"/>
      <c r="F12" s="1"/>
      <c r="G12" s="1"/>
      <c r="H12" s="1"/>
      <c r="I12" s="1"/>
      <c r="J12" s="1"/>
      <c r="K12" s="1"/>
      <c r="L12" s="1"/>
      <c r="M12" s="1"/>
      <c r="N12" s="1"/>
      <c r="O12" s="1"/>
      <c r="P12" s="1"/>
      <c r="Q12" s="1"/>
      <c r="R12" s="1"/>
      <c r="S12" s="1"/>
      <c r="T12" s="1"/>
      <c r="U12" s="1"/>
      <c r="V12" s="1"/>
      <c r="W12" s="1"/>
      <c r="X12" s="1"/>
      <c r="Y12" s="1"/>
      <c r="Z12" s="1"/>
    </row>
    <row r="13" spans="1:26" ht="15.6" x14ac:dyDescent="0.3">
      <c r="A13" s="384"/>
      <c r="B13" s="384">
        <v>2001</v>
      </c>
      <c r="C13" s="384">
        <v>2002</v>
      </c>
      <c r="D13" s="384">
        <v>2003</v>
      </c>
      <c r="E13" s="384">
        <v>2004</v>
      </c>
      <c r="F13" s="1"/>
      <c r="G13" s="1"/>
      <c r="H13" s="1"/>
      <c r="I13" s="1"/>
      <c r="J13" s="1"/>
      <c r="K13" s="1"/>
      <c r="L13" s="1"/>
      <c r="M13" s="1"/>
      <c r="N13" s="1"/>
      <c r="O13" s="1"/>
      <c r="P13" s="1"/>
      <c r="Q13" s="1"/>
      <c r="R13" s="1"/>
      <c r="S13" s="1"/>
      <c r="T13" s="1"/>
      <c r="U13" s="1"/>
      <c r="V13" s="1"/>
      <c r="W13" s="1"/>
      <c r="X13" s="1"/>
      <c r="Y13" s="1"/>
      <c r="Z13" s="1"/>
    </row>
    <row r="14" spans="1:26" ht="15.6" x14ac:dyDescent="0.3">
      <c r="A14" s="385" t="s">
        <v>1305</v>
      </c>
      <c r="B14" s="384">
        <v>150000</v>
      </c>
      <c r="C14" s="384">
        <v>160000</v>
      </c>
      <c r="D14" s="384">
        <v>250000</v>
      </c>
      <c r="E14" s="384">
        <v>256000</v>
      </c>
      <c r="F14" s="1"/>
      <c r="G14" s="1"/>
      <c r="H14" s="1"/>
      <c r="I14" s="1"/>
      <c r="J14" s="1"/>
      <c r="K14" s="1"/>
      <c r="L14" s="1"/>
      <c r="M14" s="1"/>
      <c r="N14" s="1"/>
      <c r="O14" s="1"/>
      <c r="P14" s="1"/>
      <c r="Q14" s="1"/>
      <c r="R14" s="1"/>
      <c r="S14" s="1"/>
      <c r="T14" s="1"/>
      <c r="U14" s="1"/>
      <c r="V14" s="1"/>
      <c r="W14" s="1"/>
      <c r="X14" s="1"/>
      <c r="Y14" s="1"/>
      <c r="Z14" s="1"/>
    </row>
    <row r="15" spans="1:26" ht="15.6" x14ac:dyDescent="0.3">
      <c r="A15" s="385" t="s">
        <v>1306</v>
      </c>
      <c r="B15" s="384">
        <v>160000</v>
      </c>
      <c r="C15" s="384">
        <v>170000</v>
      </c>
      <c r="D15" s="384">
        <v>185000</v>
      </c>
      <c r="E15" s="384">
        <v>198000</v>
      </c>
      <c r="F15" s="1"/>
      <c r="G15" s="1"/>
      <c r="H15" s="1"/>
      <c r="I15" s="1"/>
      <c r="J15" s="1"/>
      <c r="K15" s="1"/>
      <c r="L15" s="1"/>
      <c r="M15" s="1"/>
      <c r="N15" s="1"/>
      <c r="O15" s="1"/>
      <c r="P15" s="1"/>
      <c r="Q15" s="1"/>
      <c r="R15" s="1"/>
      <c r="S15" s="1"/>
      <c r="T15" s="1"/>
      <c r="U15" s="1"/>
      <c r="V15" s="1"/>
      <c r="W15" s="1"/>
      <c r="X15" s="1"/>
      <c r="Y15" s="1"/>
      <c r="Z15" s="1"/>
    </row>
    <row r="16" spans="1:26" ht="15.6" x14ac:dyDescent="0.3">
      <c r="A16" s="385" t="s">
        <v>1307</v>
      </c>
      <c r="B16" s="384">
        <v>245000</v>
      </c>
      <c r="C16" s="384">
        <v>264000</v>
      </c>
      <c r="D16" s="384">
        <v>285000</v>
      </c>
      <c r="E16" s="384">
        <v>298000</v>
      </c>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344" t="s">
        <v>1308</v>
      </c>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3:E3"/>
    <mergeCell ref="A4:E4"/>
    <mergeCell ref="A11:E11"/>
    <mergeCell ref="A12:E12"/>
  </mergeCell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workbookViewId="0">
      <selection sqref="A1:I1"/>
    </sheetView>
  </sheetViews>
  <sheetFormatPr defaultColWidth="11.19921875" defaultRowHeight="15" customHeight="1" x14ac:dyDescent="0.3"/>
  <cols>
    <col min="1" max="29" width="9" customWidth="1"/>
  </cols>
  <sheetData>
    <row r="1" spans="1:29" ht="12.75" customHeight="1" x14ac:dyDescent="0.4">
      <c r="A1" s="391" t="s">
        <v>45</v>
      </c>
      <c r="B1" s="392"/>
      <c r="C1" s="392"/>
      <c r="D1" s="392"/>
      <c r="E1" s="392"/>
      <c r="F1" s="392"/>
      <c r="G1" s="392"/>
      <c r="H1" s="392"/>
      <c r="I1" s="392"/>
      <c r="J1" s="17"/>
      <c r="K1" s="17"/>
      <c r="L1" s="17"/>
      <c r="M1" s="17"/>
      <c r="N1" s="17"/>
      <c r="O1" s="17"/>
      <c r="P1" s="17"/>
      <c r="Q1" s="17"/>
      <c r="R1" s="17"/>
      <c r="S1" s="17"/>
      <c r="T1" s="17"/>
      <c r="U1" s="17"/>
      <c r="V1" s="17"/>
      <c r="W1" s="17"/>
      <c r="X1" s="17"/>
      <c r="Y1" s="17"/>
      <c r="Z1" s="17"/>
      <c r="AA1" s="17"/>
      <c r="AB1" s="17"/>
      <c r="AC1" s="17"/>
    </row>
    <row r="2" spans="1:29" ht="17.25" customHeight="1" x14ac:dyDescent="0.3">
      <c r="A2" s="393" t="s">
        <v>46</v>
      </c>
      <c r="B2" s="394"/>
      <c r="C2" s="394"/>
      <c r="D2" s="394"/>
      <c r="E2" s="394"/>
      <c r="F2" s="394"/>
      <c r="G2" s="394"/>
      <c r="H2" s="394"/>
      <c r="I2" s="395"/>
      <c r="J2" s="18"/>
      <c r="K2" s="18"/>
      <c r="L2" s="18"/>
      <c r="M2" s="18"/>
      <c r="N2" s="18"/>
      <c r="O2" s="18"/>
      <c r="P2" s="18"/>
      <c r="Q2" s="18"/>
      <c r="R2" s="18"/>
      <c r="S2" s="18"/>
      <c r="T2" s="18"/>
      <c r="U2" s="18"/>
      <c r="V2" s="18"/>
      <c r="W2" s="18"/>
      <c r="X2" s="18"/>
      <c r="Y2" s="18"/>
      <c r="Z2" s="18"/>
      <c r="AA2" s="18"/>
      <c r="AB2" s="18"/>
      <c r="AC2" s="18"/>
    </row>
    <row r="3" spans="1:29" ht="18.75" customHeight="1" x14ac:dyDescent="0.3">
      <c r="A3" s="393" t="s">
        <v>47</v>
      </c>
      <c r="B3" s="394"/>
      <c r="C3" s="394"/>
      <c r="D3" s="394"/>
      <c r="E3" s="394"/>
      <c r="F3" s="394"/>
      <c r="G3" s="394"/>
      <c r="H3" s="394"/>
      <c r="I3" s="395"/>
      <c r="J3" s="19"/>
      <c r="K3" s="19"/>
      <c r="L3" s="19"/>
      <c r="M3" s="19"/>
      <c r="N3" s="19"/>
      <c r="O3" s="19"/>
      <c r="P3" s="19"/>
      <c r="Q3" s="19"/>
      <c r="R3" s="19"/>
      <c r="S3" s="19"/>
      <c r="T3" s="19"/>
      <c r="U3" s="19"/>
      <c r="V3" s="19"/>
      <c r="W3" s="19"/>
      <c r="X3" s="19"/>
      <c r="Y3" s="19"/>
      <c r="Z3" s="19"/>
      <c r="AA3" s="19"/>
      <c r="AB3" s="19"/>
      <c r="AC3" s="19"/>
    </row>
    <row r="4" spans="1:29" ht="14.25" customHeight="1" x14ac:dyDescent="0.3">
      <c r="A4" s="18"/>
      <c r="B4" s="18"/>
      <c r="C4" s="18"/>
      <c r="D4" s="18"/>
      <c r="E4" s="18"/>
      <c r="F4" s="18"/>
      <c r="G4" s="18"/>
      <c r="H4" s="18"/>
      <c r="I4" s="18"/>
      <c r="J4" s="19"/>
      <c r="K4" s="19"/>
      <c r="L4" s="19"/>
      <c r="M4" s="19"/>
      <c r="N4" s="19"/>
      <c r="O4" s="19"/>
      <c r="P4" s="19"/>
      <c r="Q4" s="19"/>
      <c r="R4" s="19"/>
      <c r="S4" s="19"/>
      <c r="T4" s="19"/>
      <c r="U4" s="19"/>
      <c r="V4" s="19"/>
      <c r="W4" s="19"/>
      <c r="X4" s="19"/>
      <c r="Y4" s="19"/>
      <c r="Z4" s="19"/>
      <c r="AA4" s="19"/>
      <c r="AB4" s="19"/>
      <c r="AC4" s="19"/>
    </row>
    <row r="5" spans="1:29" ht="14.25" customHeight="1" x14ac:dyDescent="0.3">
      <c r="A5" s="18"/>
      <c r="B5" s="18"/>
      <c r="C5" s="18"/>
      <c r="D5" s="18"/>
      <c r="E5" s="18"/>
      <c r="F5" s="18"/>
      <c r="G5" s="18"/>
      <c r="H5" s="18"/>
      <c r="I5" s="18"/>
      <c r="J5" s="19"/>
      <c r="K5" s="19"/>
      <c r="L5" s="19"/>
      <c r="M5" s="19"/>
      <c r="N5" s="19"/>
      <c r="O5" s="19"/>
      <c r="P5" s="19"/>
      <c r="Q5" s="19"/>
      <c r="R5" s="19"/>
      <c r="S5" s="19"/>
      <c r="T5" s="19"/>
      <c r="U5" s="19"/>
      <c r="V5" s="19"/>
      <c r="W5" s="19"/>
      <c r="X5" s="19"/>
      <c r="Y5" s="19"/>
      <c r="Z5" s="19"/>
      <c r="AA5" s="19"/>
      <c r="AB5" s="19"/>
      <c r="AC5" s="19"/>
    </row>
    <row r="6" spans="1:29" ht="12.75" customHeight="1" x14ac:dyDescent="0.3">
      <c r="A6" s="20"/>
      <c r="B6" s="21">
        <v>2</v>
      </c>
      <c r="C6" s="21">
        <v>3</v>
      </c>
      <c r="D6" s="21">
        <v>4</v>
      </c>
      <c r="E6" s="21">
        <v>5</v>
      </c>
      <c r="F6" s="21">
        <v>6</v>
      </c>
      <c r="G6" s="21">
        <v>7</v>
      </c>
      <c r="H6" s="21">
        <v>8</v>
      </c>
      <c r="I6" s="21">
        <v>9</v>
      </c>
      <c r="J6" s="19"/>
      <c r="K6" s="19"/>
      <c r="L6" s="19"/>
      <c r="M6" s="19"/>
      <c r="N6" s="19"/>
      <c r="O6" s="19"/>
      <c r="P6" s="19"/>
      <c r="Q6" s="19"/>
      <c r="R6" s="19"/>
      <c r="S6" s="19"/>
      <c r="T6" s="19"/>
      <c r="U6" s="19"/>
      <c r="V6" s="19"/>
      <c r="W6" s="19"/>
      <c r="X6" s="19"/>
      <c r="Y6" s="19"/>
      <c r="Z6" s="19"/>
      <c r="AA6" s="19"/>
      <c r="AB6" s="19"/>
      <c r="AC6" s="19"/>
    </row>
    <row r="7" spans="1:29" ht="12.75" customHeight="1" x14ac:dyDescent="0.3">
      <c r="A7" s="21">
        <v>1</v>
      </c>
      <c r="B7" s="22"/>
      <c r="C7" s="22"/>
      <c r="D7" s="22"/>
      <c r="E7" s="22"/>
      <c r="F7" s="22"/>
      <c r="G7" s="22"/>
      <c r="H7" s="22"/>
      <c r="I7" s="22"/>
      <c r="J7" s="19"/>
      <c r="K7" s="19"/>
      <c r="L7" s="19"/>
      <c r="M7" s="19"/>
      <c r="N7" s="19"/>
      <c r="O7" s="19"/>
      <c r="P7" s="19"/>
      <c r="Q7" s="19"/>
      <c r="R7" s="19"/>
      <c r="S7" s="19"/>
      <c r="T7" s="19"/>
      <c r="U7" s="19"/>
      <c r="V7" s="19"/>
      <c r="W7" s="19"/>
      <c r="X7" s="19"/>
      <c r="Y7" s="19"/>
      <c r="Z7" s="19"/>
      <c r="AA7" s="19"/>
      <c r="AB7" s="19"/>
      <c r="AC7" s="19"/>
    </row>
    <row r="8" spans="1:29" ht="12.75" customHeight="1" x14ac:dyDescent="0.3">
      <c r="A8" s="21">
        <v>2</v>
      </c>
      <c r="B8" s="22"/>
      <c r="C8" s="22"/>
      <c r="D8" s="22"/>
      <c r="E8" s="22"/>
      <c r="F8" s="22"/>
      <c r="G8" s="22"/>
      <c r="H8" s="22"/>
      <c r="I8" s="22"/>
      <c r="J8" s="19"/>
      <c r="K8" s="19"/>
      <c r="L8" s="19"/>
      <c r="M8" s="19"/>
      <c r="N8" s="19"/>
      <c r="O8" s="19"/>
      <c r="P8" s="19"/>
      <c r="Q8" s="19"/>
      <c r="R8" s="19"/>
      <c r="S8" s="19"/>
      <c r="T8" s="19"/>
      <c r="U8" s="19"/>
      <c r="V8" s="19"/>
      <c r="W8" s="19"/>
      <c r="X8" s="19"/>
      <c r="Y8" s="19"/>
      <c r="Z8" s="19"/>
      <c r="AA8" s="19"/>
      <c r="AB8" s="19"/>
      <c r="AC8" s="19"/>
    </row>
    <row r="9" spans="1:29" ht="12.75" customHeight="1" x14ac:dyDescent="0.3">
      <c r="A9" s="21">
        <v>3</v>
      </c>
      <c r="B9" s="22"/>
      <c r="C9" s="22"/>
      <c r="D9" s="22"/>
      <c r="E9" s="22"/>
      <c r="F9" s="22"/>
      <c r="G9" s="22"/>
      <c r="H9" s="22"/>
      <c r="I9" s="22"/>
      <c r="J9" s="19"/>
      <c r="K9" s="19"/>
      <c r="L9" s="19"/>
      <c r="M9" s="19"/>
      <c r="N9" s="19"/>
      <c r="O9" s="19"/>
      <c r="P9" s="19"/>
      <c r="Q9" s="19"/>
      <c r="R9" s="19"/>
      <c r="S9" s="19"/>
      <c r="T9" s="19"/>
      <c r="U9" s="19"/>
      <c r="V9" s="19"/>
      <c r="W9" s="19"/>
      <c r="X9" s="19"/>
      <c r="Y9" s="19"/>
      <c r="Z9" s="19"/>
      <c r="AA9" s="19"/>
      <c r="AB9" s="19"/>
      <c r="AC9" s="19"/>
    </row>
    <row r="10" spans="1:29" ht="12.75" customHeight="1" x14ac:dyDescent="0.3">
      <c r="A10" s="21">
        <v>4</v>
      </c>
      <c r="B10" s="22"/>
      <c r="C10" s="22"/>
      <c r="D10" s="22"/>
      <c r="E10" s="22"/>
      <c r="F10" s="22"/>
      <c r="G10" s="22"/>
      <c r="H10" s="22"/>
      <c r="I10" s="22"/>
      <c r="J10" s="19"/>
      <c r="K10" s="19"/>
      <c r="L10" s="19"/>
      <c r="M10" s="19"/>
      <c r="N10" s="19"/>
      <c r="O10" s="19"/>
      <c r="P10" s="19"/>
      <c r="Q10" s="19"/>
      <c r="R10" s="19"/>
      <c r="S10" s="19"/>
      <c r="T10" s="19"/>
      <c r="U10" s="19"/>
      <c r="V10" s="19"/>
      <c r="W10" s="19"/>
      <c r="X10" s="19"/>
      <c r="Y10" s="19"/>
      <c r="Z10" s="19"/>
      <c r="AA10" s="19"/>
      <c r="AB10" s="19"/>
      <c r="AC10" s="19"/>
    </row>
    <row r="11" spans="1:29" ht="12.75" customHeight="1" x14ac:dyDescent="0.3">
      <c r="A11" s="21">
        <v>5</v>
      </c>
      <c r="B11" s="22"/>
      <c r="C11" s="22"/>
      <c r="D11" s="22"/>
      <c r="E11" s="22"/>
      <c r="F11" s="22"/>
      <c r="G11" s="22"/>
      <c r="H11" s="22"/>
      <c r="I11" s="22"/>
      <c r="J11" s="19"/>
      <c r="K11" s="19"/>
      <c r="L11" s="19"/>
      <c r="M11" s="19"/>
      <c r="N11" s="19"/>
      <c r="O11" s="19"/>
      <c r="P11" s="19"/>
      <c r="Q11" s="19"/>
      <c r="R11" s="19"/>
      <c r="S11" s="19"/>
      <c r="T11" s="19"/>
      <c r="U11" s="19"/>
      <c r="V11" s="19"/>
      <c r="W11" s="19"/>
      <c r="X11" s="19"/>
      <c r="Y11" s="19"/>
      <c r="Z11" s="19"/>
      <c r="AA11" s="19"/>
      <c r="AB11" s="19"/>
      <c r="AC11" s="19"/>
    </row>
    <row r="12" spans="1:29" ht="12.75" customHeight="1" x14ac:dyDescent="0.3">
      <c r="A12" s="21">
        <v>6</v>
      </c>
      <c r="B12" s="22"/>
      <c r="C12" s="22"/>
      <c r="D12" s="22"/>
      <c r="E12" s="22"/>
      <c r="F12" s="22"/>
      <c r="G12" s="22"/>
      <c r="H12" s="22"/>
      <c r="I12" s="22"/>
      <c r="J12" s="19"/>
      <c r="K12" s="19"/>
      <c r="L12" s="19"/>
      <c r="M12" s="19"/>
      <c r="N12" s="19"/>
      <c r="O12" s="19"/>
      <c r="P12" s="19"/>
      <c r="Q12" s="19"/>
      <c r="R12" s="19"/>
      <c r="S12" s="19"/>
      <c r="T12" s="19"/>
      <c r="U12" s="19"/>
      <c r="V12" s="19"/>
      <c r="W12" s="19"/>
      <c r="X12" s="19"/>
      <c r="Y12" s="19"/>
      <c r="Z12" s="19"/>
      <c r="AA12" s="19"/>
      <c r="AB12" s="19"/>
      <c r="AC12" s="19"/>
    </row>
    <row r="13" spans="1:29" ht="12.75" customHeight="1" x14ac:dyDescent="0.3">
      <c r="A13" s="21">
        <v>7</v>
      </c>
      <c r="B13" s="22"/>
      <c r="C13" s="22"/>
      <c r="D13" s="22"/>
      <c r="E13" s="22"/>
      <c r="F13" s="22"/>
      <c r="G13" s="22"/>
      <c r="H13" s="22"/>
      <c r="I13" s="22"/>
      <c r="J13" s="19"/>
      <c r="K13" s="19"/>
      <c r="L13" s="19"/>
      <c r="M13" s="19"/>
      <c r="N13" s="19"/>
      <c r="O13" s="19"/>
      <c r="P13" s="19"/>
      <c r="Q13" s="19"/>
      <c r="R13" s="19"/>
      <c r="S13" s="19"/>
      <c r="T13" s="19"/>
      <c r="U13" s="19"/>
      <c r="V13" s="19"/>
      <c r="W13" s="19"/>
      <c r="X13" s="19"/>
      <c r="Y13" s="19"/>
      <c r="Z13" s="19"/>
      <c r="AA13" s="19"/>
      <c r="AB13" s="19"/>
      <c r="AC13" s="19"/>
    </row>
    <row r="14" spans="1:29" ht="12.75" customHeight="1" x14ac:dyDescent="0.3">
      <c r="A14" s="21">
        <v>8</v>
      </c>
      <c r="B14" s="22"/>
      <c r="C14" s="22"/>
      <c r="D14" s="22"/>
      <c r="E14" s="22"/>
      <c r="F14" s="22"/>
      <c r="G14" s="22"/>
      <c r="H14" s="22"/>
      <c r="I14" s="22"/>
      <c r="J14" s="19"/>
      <c r="K14" s="19"/>
      <c r="L14" s="19"/>
      <c r="M14" s="19"/>
      <c r="N14" s="19"/>
      <c r="O14" s="19"/>
      <c r="P14" s="19"/>
      <c r="Q14" s="19"/>
      <c r="R14" s="19"/>
      <c r="S14" s="19"/>
      <c r="T14" s="19"/>
      <c r="U14" s="19"/>
      <c r="V14" s="19"/>
      <c r="W14" s="19"/>
      <c r="X14" s="19"/>
      <c r="Y14" s="19"/>
      <c r="Z14" s="19"/>
      <c r="AA14" s="19"/>
      <c r="AB14" s="19"/>
      <c r="AC14" s="19"/>
    </row>
    <row r="15" spans="1:29" ht="12.75" customHeight="1" x14ac:dyDescent="0.3">
      <c r="A15" s="21">
        <v>9</v>
      </c>
      <c r="B15" s="22"/>
      <c r="C15" s="22"/>
      <c r="D15" s="22"/>
      <c r="E15" s="22"/>
      <c r="F15" s="22"/>
      <c r="G15" s="22"/>
      <c r="H15" s="22"/>
      <c r="I15" s="22"/>
      <c r="J15" s="19"/>
      <c r="K15" s="19"/>
      <c r="L15" s="19"/>
      <c r="M15" s="19"/>
      <c r="N15" s="19"/>
      <c r="O15" s="19"/>
      <c r="P15" s="19"/>
      <c r="Q15" s="19"/>
      <c r="R15" s="19"/>
      <c r="S15" s="19"/>
      <c r="T15" s="19"/>
      <c r="U15" s="19"/>
      <c r="V15" s="19"/>
      <c r="W15" s="19"/>
      <c r="X15" s="19"/>
      <c r="Y15" s="19"/>
      <c r="Z15" s="19"/>
      <c r="AA15" s="19"/>
      <c r="AB15" s="19"/>
      <c r="AC15" s="19"/>
    </row>
    <row r="16" spans="1:29" ht="12.75" customHeight="1" x14ac:dyDescent="0.3">
      <c r="A16" s="21">
        <v>10</v>
      </c>
      <c r="B16" s="22"/>
      <c r="C16" s="22"/>
      <c r="D16" s="22"/>
      <c r="E16" s="22"/>
      <c r="F16" s="22"/>
      <c r="G16" s="22"/>
      <c r="H16" s="22"/>
      <c r="I16" s="22"/>
      <c r="J16" s="19"/>
      <c r="K16" s="19"/>
      <c r="L16" s="19"/>
      <c r="M16" s="19"/>
      <c r="N16" s="19"/>
      <c r="O16" s="19"/>
      <c r="P16" s="19"/>
      <c r="Q16" s="19"/>
      <c r="R16" s="19"/>
      <c r="S16" s="19"/>
      <c r="T16" s="19"/>
      <c r="U16" s="19"/>
      <c r="V16" s="19"/>
      <c r="W16" s="19"/>
      <c r="X16" s="19"/>
      <c r="Y16" s="19"/>
      <c r="Z16" s="19"/>
      <c r="AA16" s="19"/>
      <c r="AB16" s="19"/>
      <c r="AC16" s="19"/>
    </row>
    <row r="17" spans="1:29" ht="12.75" customHeight="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row>
    <row r="18" spans="1:29" ht="12.75" customHeight="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row>
    <row r="19" spans="1:29" ht="12.75" customHeight="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row>
    <row r="20" spans="1:29" ht="12.75" customHeight="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row>
    <row r="21" spans="1:29" ht="12.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row>
    <row r="22" spans="1:29" ht="12.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row>
    <row r="23" spans="1:29" ht="12.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row>
    <row r="24" spans="1:29" ht="12.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row>
    <row r="25" spans="1:29" ht="12.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row>
    <row r="26" spans="1:29" ht="12.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7" spans="1:29" ht="12.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row>
    <row r="28" spans="1:29" ht="12.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row>
    <row r="29" spans="1:29" ht="12.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row>
    <row r="30" spans="1:29" ht="12.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row>
    <row r="31" spans="1:29" ht="12.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row>
    <row r="32" spans="1:29" ht="12.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row>
    <row r="33" spans="1:29" ht="12.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row>
    <row r="34" spans="1:29" ht="12.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row>
    <row r="35" spans="1:29" ht="12.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row>
    <row r="36" spans="1:29" ht="12.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row>
    <row r="37" spans="1:29" ht="12.75" customHeight="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row>
    <row r="38" spans="1:29" ht="12.75" customHeight="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row>
    <row r="39" spans="1:29" ht="12.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29" ht="12.75" customHeight="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29" ht="12.75" customHeight="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spans="1:29" ht="12.75" customHeight="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spans="1:29" ht="12.75" customHeight="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spans="1:29" ht="12.75" customHeight="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spans="1:29" ht="12.75" customHeight="1"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spans="1:29" ht="12.75" customHeight="1"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ht="12.75" customHeight="1"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spans="1:29" ht="12.75" customHeight="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spans="1:29" ht="12.75" customHeight="1"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ht="12.75" customHeight="1"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spans="1:29" ht="12.75" customHeight="1"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ht="12.75" customHeight="1"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spans="1:29" ht="12.75" customHeight="1"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spans="1:29" ht="12.75" customHeight="1"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spans="1:29" ht="12.75" customHeight="1"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spans="1:29" ht="12.75" customHeight="1"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spans="1:29" ht="12.75" customHeight="1"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spans="1:29" ht="12.75" customHeight="1"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spans="1:29" ht="12.75" customHeight="1"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ht="12.75" customHeight="1"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spans="1:29" ht="12.75" customHeight="1"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spans="1:29" ht="12.75" customHeight="1"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spans="1:29" ht="12.75" customHeight="1"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spans="1:29" ht="12.75" customHeight="1"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spans="1:29" ht="12.75" customHeight="1"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spans="1:29" ht="12.75" customHeight="1"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spans="1:29" ht="12.75" customHeight="1"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ht="12.75" customHeight="1"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spans="1:29" ht="12.75" customHeight="1"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spans="1:29" ht="12.75" customHeight="1"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spans="1:29" ht="12.75" customHeight="1"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spans="1:29" ht="12.75" customHeight="1"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spans="1:29" ht="12.7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spans="1:29" ht="12.75" customHeight="1"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spans="1:29" ht="12.7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spans="1:29" ht="12.7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spans="1:29" ht="12.7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spans="1:29" ht="12.7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spans="1:29" ht="12.7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spans="1:29" ht="12.7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spans="1:29" ht="12.7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spans="1:29" ht="12.7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spans="1:29" ht="12.7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spans="1:29" ht="12.7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spans="1:29" ht="12.7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spans="1:29" ht="12.7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spans="1:29" ht="12.7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spans="1:29" ht="12.7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spans="1:29" ht="12.7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spans="1:29" ht="12.7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spans="1:29" ht="12.7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spans="1:29" ht="12.7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spans="1:29" ht="12.7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spans="1:29" ht="12.7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spans="1:29" ht="12.7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spans="1:29" ht="12.7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spans="1:29" ht="12.7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spans="1:29" ht="12.7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spans="1:29" ht="12.7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spans="1:29" ht="12.7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spans="1:29" ht="12.7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spans="1:29" ht="12.7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spans="1:29" ht="12.7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spans="1:29" ht="12.7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spans="1:29" ht="12.7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spans="1:29" ht="12.7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spans="1:29" ht="12.7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spans="1:29" ht="12.7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spans="1:29" ht="12.7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ht="12.7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spans="1:29" ht="12.7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ht="12.7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spans="1:29" ht="12.7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spans="1:29" ht="12.7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spans="1:29" ht="12.7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spans="1:29" ht="12.7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spans="1:29" ht="12.7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spans="1:29" ht="12.7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ht="12.7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spans="1:29" ht="12.7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ht="12.7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spans="1:29" ht="12.7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spans="1:29" ht="12.7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spans="1:29" ht="12.7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spans="1:29" ht="12.7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spans="1:29" ht="12.7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spans="1:29" ht="12.7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ht="12.7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spans="1:29" ht="12.7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spans="1:29" ht="12.7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spans="1:29" ht="12.7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spans="1:29" ht="12.7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row r="133" spans="1:29" ht="12.7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row>
    <row r="134" spans="1:29" ht="12.7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row>
    <row r="135" spans="1:29" ht="12.7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row>
    <row r="136" spans="1:29" ht="12.7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row>
    <row r="137" spans="1:29" ht="12.7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row>
    <row r="138" spans="1:29" ht="12.7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row>
    <row r="139" spans="1:29" ht="12.7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row>
    <row r="140" spans="1:29" ht="12.7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row>
    <row r="141" spans="1:29" ht="12.7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row>
    <row r="142" spans="1:29" ht="12.7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row>
    <row r="143" spans="1:29" ht="12.7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row>
    <row r="144" spans="1:29" ht="12.7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ht="12.7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row>
    <row r="146" spans="1:29" ht="12.7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ht="12.7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row>
    <row r="148" spans="1:29" ht="12.7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row>
    <row r="149" spans="1:29" ht="12.7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row>
    <row r="150" spans="1:29" ht="12.7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row>
    <row r="151" spans="1:29" ht="12.7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row>
    <row r="152" spans="1:29" ht="12.7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row>
    <row r="153" spans="1:29" ht="12.7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row>
    <row r="154" spans="1:29" ht="12.7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row>
    <row r="155" spans="1:29" ht="12.7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row>
    <row r="156" spans="1:29" ht="12.7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row>
    <row r="157" spans="1:29" ht="12.7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row>
    <row r="158" spans="1:29" ht="12.7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row>
    <row r="159" spans="1:29" ht="12.7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row>
    <row r="160" spans="1:29" ht="12.7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row>
    <row r="161" spans="1:29" ht="12.7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row>
    <row r="162" spans="1:29" ht="12.7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2.7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row>
    <row r="164" spans="1:29" ht="12.7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2.7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row>
    <row r="166" spans="1:29" ht="12.7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2.7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row>
    <row r="168" spans="1:29" ht="12.7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69" spans="1:29" ht="12.7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row>
    <row r="170" spans="1:29" ht="12.7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row>
    <row r="171" spans="1:29" ht="12.7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row>
    <row r="172" spans="1:29" ht="12.7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row>
    <row r="173" spans="1:29" ht="12.7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row>
    <row r="174" spans="1:29" ht="12.7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row>
    <row r="175" spans="1:29" ht="12.7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ht="12.7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row>
    <row r="177" spans="1:29" ht="12.7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ht="12.7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row>
    <row r="179" spans="1:29" ht="12.7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ht="12.7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row>
    <row r="181" spans="1:29" ht="12.7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ht="12.7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row>
    <row r="183" spans="1:29" ht="12.7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row>
    <row r="184" spans="1:29" ht="12.7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row>
    <row r="185" spans="1:29" ht="12.7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row>
    <row r="186" spans="1:29" ht="12.7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row>
    <row r="187" spans="1:29" ht="12.7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row>
    <row r="188" spans="1:29" ht="12.7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row>
    <row r="189" spans="1:29" ht="12.7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row>
    <row r="190" spans="1:29" ht="12.7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row>
    <row r="191" spans="1:29" ht="12.7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row>
    <row r="192" spans="1:29" ht="12.7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row>
    <row r="193" spans="1:29" ht="12.7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row>
    <row r="194" spans="1:29" ht="12.7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row>
    <row r="195" spans="1:29" ht="12.7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row>
    <row r="196" spans="1:29" ht="12.7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row>
    <row r="197" spans="1:29" ht="12.7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row>
    <row r="198" spans="1:29" ht="12.7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row>
    <row r="199" spans="1:29" ht="12.7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row>
    <row r="200" spans="1:29" ht="12.7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row>
    <row r="201" spans="1:29" ht="12.7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row>
    <row r="202" spans="1:29" ht="12.7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row>
    <row r="203" spans="1:29" ht="12.7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row>
    <row r="204" spans="1:29" ht="12.7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row>
    <row r="205" spans="1:29" ht="12.7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row>
    <row r="206" spans="1:29" ht="12.7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row>
    <row r="207" spans="1:29" ht="12.7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row>
    <row r="208" spans="1:29" ht="12.7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row>
    <row r="209" spans="1:29" ht="12.7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row>
    <row r="210" spans="1:29" ht="12.7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row>
    <row r="211" spans="1:29" ht="12.7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row>
    <row r="212" spans="1:29" ht="12.7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row>
    <row r="213" spans="1:29" ht="12.7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row>
    <row r="214" spans="1:29" ht="12.7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row>
    <row r="215" spans="1:29" ht="12.7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row>
    <row r="216" spans="1:29" ht="12.7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row>
    <row r="217" spans="1:29" ht="12.7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row>
    <row r="218" spans="1:29" ht="12.7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row>
    <row r="219" spans="1:29" ht="12.7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row>
    <row r="220" spans="1:29" ht="12.7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row>
    <row r="221" spans="1:29" ht="12.7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row>
    <row r="222" spans="1:29" ht="12.7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row>
    <row r="223" spans="1:29" ht="12.7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row>
    <row r="224" spans="1:29" ht="12.7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row>
    <row r="225" spans="1:29" ht="12.7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row>
    <row r="226" spans="1:29" ht="12.7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row>
    <row r="227" spans="1:29" ht="12.7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row>
    <row r="228" spans="1:29" ht="12.7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row>
    <row r="229" spans="1:29" ht="12.7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row>
    <row r="230" spans="1:29" ht="12.7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row>
    <row r="231" spans="1:29" ht="12.7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row>
    <row r="232" spans="1:29" ht="12.7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row>
    <row r="233" spans="1:29" ht="12.7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row>
    <row r="234" spans="1:29" ht="12.7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row>
    <row r="235" spans="1:29" ht="12.7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row>
    <row r="236" spans="1:29" ht="12.7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row>
    <row r="237" spans="1:29" ht="12.7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row>
    <row r="238" spans="1:29" ht="12.7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row>
    <row r="239" spans="1:29" ht="12.7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row>
    <row r="240" spans="1:29" ht="12.7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row>
    <row r="241" spans="1:29" ht="12.7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row>
    <row r="242" spans="1:29" ht="12.7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row>
    <row r="243" spans="1:29" ht="12.7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row>
    <row r="244" spans="1:29" ht="12.7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row>
    <row r="245" spans="1:29" ht="12.7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row>
    <row r="246" spans="1:29" ht="12.7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row>
    <row r="247" spans="1:29" ht="12.7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row>
    <row r="248" spans="1:29" ht="12.7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row>
    <row r="249" spans="1:29" ht="12.7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row>
    <row r="250" spans="1:29" ht="12.7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row>
    <row r="251" spans="1:29" ht="12.7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row>
    <row r="252" spans="1:29" ht="12.7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row>
    <row r="253" spans="1:29" ht="12.7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row>
    <row r="254" spans="1:29" ht="12.7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row>
    <row r="255" spans="1:29" ht="12.7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row>
    <row r="256" spans="1:29" ht="12.7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row>
    <row r="257" spans="1:29" ht="12.7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row>
    <row r="258" spans="1:29" ht="12.7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row>
    <row r="259" spans="1:29" ht="12.7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row>
    <row r="260" spans="1:29" ht="12.7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row>
    <row r="261" spans="1:29" ht="12.7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row>
    <row r="262" spans="1:29" ht="12.7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row>
    <row r="263" spans="1:29" ht="12.7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row>
    <row r="264" spans="1:29" ht="12.7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row>
    <row r="265" spans="1:29" ht="12.7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row>
    <row r="266" spans="1:29" ht="12.7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row>
    <row r="267" spans="1:29" ht="12.7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row>
    <row r="268" spans="1:29" ht="12.7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row>
    <row r="269" spans="1:29" ht="12.7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row>
    <row r="270" spans="1:29" ht="12.7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row>
    <row r="271" spans="1:29" ht="12.7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row>
    <row r="272" spans="1:29" ht="12.7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row>
    <row r="273" spans="1:29" ht="12.7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row>
    <row r="274" spans="1:29" ht="12.7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row>
    <row r="275" spans="1:29" ht="12.7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row>
    <row r="276" spans="1:29" ht="12.7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row>
    <row r="277" spans="1:29" ht="12.7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row>
    <row r="278" spans="1:29" ht="12.7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row>
    <row r="279" spans="1:29" ht="12.7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row>
    <row r="280" spans="1:29" ht="12.7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row>
    <row r="281" spans="1:29" ht="12.7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row>
    <row r="282" spans="1:29" ht="12.7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row>
    <row r="283" spans="1:29" ht="12.7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row>
    <row r="284" spans="1:29" ht="12.7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row>
    <row r="285" spans="1:29" ht="12.7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row>
    <row r="286" spans="1:29" ht="12.7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row>
    <row r="287" spans="1:29" ht="12.7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row>
    <row r="288" spans="1:29" ht="12.7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row>
    <row r="289" spans="1:29" ht="12.7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row>
    <row r="290" spans="1:29" ht="12.7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row>
    <row r="291" spans="1:29" ht="12.7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row>
    <row r="292" spans="1:29" ht="12.7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row>
    <row r="293" spans="1:29" ht="12.7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row>
    <row r="294" spans="1:29" ht="12.7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row>
    <row r="295" spans="1:29" ht="12.7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row>
    <row r="296" spans="1:29" ht="12.7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row>
    <row r="297" spans="1:29" ht="12.7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row>
    <row r="298" spans="1:29" ht="12.7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row>
    <row r="299" spans="1:29" ht="12.7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row>
    <row r="300" spans="1:29" ht="12.7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row>
    <row r="301" spans="1:29" ht="12.7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r="302" spans="1:29" ht="12.7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row>
    <row r="303" spans="1:29" ht="12.7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row>
    <row r="304" spans="1:29" ht="12.7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row>
    <row r="305" spans="1:29" ht="12.7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row>
    <row r="306" spans="1:29" ht="12.7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row>
    <row r="307" spans="1:29" ht="12.7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row>
    <row r="308" spans="1:29" ht="12.7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row>
    <row r="309" spans="1:29" ht="12.7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row>
    <row r="310" spans="1:29" ht="12.7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row>
    <row r="311" spans="1:29" ht="12.7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row>
    <row r="312" spans="1:29" ht="12.7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row>
    <row r="313" spans="1:29" ht="12.7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row>
    <row r="314" spans="1:29" ht="12.7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row>
    <row r="315" spans="1:29" ht="12.7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row>
    <row r="316" spans="1:29" ht="12.7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row>
    <row r="317" spans="1:29" ht="12.7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row>
    <row r="318" spans="1:29" ht="12.7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row>
    <row r="319" spans="1:29" ht="12.7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row>
    <row r="320" spans="1:29" ht="12.7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row>
    <row r="321" spans="1:29" ht="12.7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row>
    <row r="322" spans="1:29" ht="12.7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row>
    <row r="323" spans="1:29" ht="12.7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row>
    <row r="324" spans="1:29" ht="12.7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row>
    <row r="325" spans="1:29" ht="12.7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row>
    <row r="326" spans="1:29" ht="12.7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row>
    <row r="327" spans="1:29" ht="12.7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row>
    <row r="328" spans="1:29" ht="12.7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row>
    <row r="329" spans="1:29" ht="12.7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row>
    <row r="330" spans="1:29" ht="12.7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row>
    <row r="331" spans="1:29" ht="12.7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row>
    <row r="332" spans="1:29" ht="12.7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row>
    <row r="333" spans="1:29" ht="12.7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row>
    <row r="334" spans="1:29" ht="12.7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row>
    <row r="335" spans="1:29" ht="12.7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row>
    <row r="336" spans="1:29" ht="12.7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row>
    <row r="337" spans="1:29" ht="12.7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row>
    <row r="338" spans="1:29" ht="12.7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row>
    <row r="339" spans="1:29" ht="12.7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row>
    <row r="340" spans="1:29" ht="12.7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row>
    <row r="341" spans="1:29" ht="12.7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row>
    <row r="342" spans="1:29" ht="12.7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row>
    <row r="343" spans="1:29" ht="12.7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row>
    <row r="344" spans="1:29" ht="12.7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row>
    <row r="345" spans="1:29" ht="12.7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row>
    <row r="346" spans="1:29" ht="12.7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row>
    <row r="347" spans="1:29" ht="12.7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row>
    <row r="348" spans="1:29" ht="12.7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row>
    <row r="349" spans="1:29" ht="12.7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row>
    <row r="350" spans="1:29" ht="12.7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row>
    <row r="351" spans="1:29" ht="12.7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row>
    <row r="352" spans="1:29" ht="12.7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row>
    <row r="353" spans="1:29" ht="12.7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row>
    <row r="354" spans="1:29" ht="12.7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row>
    <row r="355" spans="1:29" ht="12.7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row>
    <row r="356" spans="1:29" ht="12.7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row>
    <row r="357" spans="1:29" ht="12.7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row>
    <row r="358" spans="1:29" ht="12.7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row>
    <row r="359" spans="1:29" ht="12.7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row>
    <row r="360" spans="1:29" ht="12.7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row>
    <row r="361" spans="1:29" ht="12.7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row>
    <row r="362" spans="1:29" ht="12.7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row>
    <row r="363" spans="1:29" ht="12.7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row>
    <row r="364" spans="1:29" ht="12.7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row>
    <row r="365" spans="1:29" ht="12.7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row>
    <row r="366" spans="1:29" ht="12.7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row>
    <row r="367" spans="1:29" ht="12.7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row>
    <row r="368" spans="1:29" ht="12.7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row>
    <row r="369" spans="1:29" ht="12.7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row>
    <row r="370" spans="1:29" ht="12.7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row>
    <row r="371" spans="1:29" ht="12.7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row>
    <row r="372" spans="1:29" ht="12.7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row>
    <row r="373" spans="1:29" ht="12.7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row>
    <row r="374" spans="1:29" ht="12.7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row>
    <row r="375" spans="1:29" ht="12.7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row>
    <row r="376" spans="1:29" ht="12.7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row>
    <row r="377" spans="1:29" ht="12.7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row>
    <row r="378" spans="1:29" ht="12.7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row>
    <row r="379" spans="1:29" ht="12.7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row>
    <row r="380" spans="1:29" ht="12.7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row>
    <row r="381" spans="1:29" ht="12.7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row>
    <row r="382" spans="1:29" ht="12.7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row>
    <row r="383" spans="1:29" ht="12.7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row>
    <row r="384" spans="1:29" ht="12.7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row>
    <row r="385" spans="1:29" ht="12.7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row>
    <row r="386" spans="1:29" ht="12.7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row>
    <row r="387" spans="1:29" ht="12.7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row>
    <row r="388" spans="1:29" ht="12.7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row>
    <row r="389" spans="1:29" ht="12.7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row>
    <row r="390" spans="1:29" ht="12.7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row>
    <row r="391" spans="1:29" ht="12.7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row>
    <row r="392" spans="1:29" ht="12.7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row>
    <row r="393" spans="1:29" ht="12.7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row>
    <row r="394" spans="1:29" ht="12.7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row>
    <row r="395" spans="1:29" ht="12.7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row>
    <row r="396" spans="1:29" ht="12.7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row>
    <row r="397" spans="1:29" ht="12.7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row>
    <row r="398" spans="1:29" ht="12.7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row>
    <row r="399" spans="1:29" ht="12.7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row>
    <row r="400" spans="1:29" ht="12.7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row>
    <row r="401" spans="1:29" ht="12.7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row>
    <row r="402" spans="1:29" ht="12.7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row>
    <row r="403" spans="1:29" ht="12.7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row>
    <row r="404" spans="1:29" ht="12.7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row>
    <row r="405" spans="1:29" ht="12.7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row>
    <row r="406" spans="1:29" ht="12.7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row>
    <row r="407" spans="1:29" ht="12.7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row>
    <row r="408" spans="1:29" ht="12.7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row>
    <row r="409" spans="1:29" ht="12.7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row>
    <row r="410" spans="1:29" ht="12.7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row>
    <row r="411" spans="1:29" ht="12.7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row>
    <row r="412" spans="1:29" ht="12.7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row>
    <row r="413" spans="1:29" ht="12.7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row>
    <row r="414" spans="1:29" ht="12.7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row>
    <row r="415" spans="1:29" ht="12.7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row>
    <row r="416" spans="1:29" ht="12.7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row>
    <row r="417" spans="1:29" ht="12.7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row>
    <row r="418" spans="1:29" ht="12.7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row>
    <row r="419" spans="1:29" ht="12.7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row>
    <row r="420" spans="1:29" ht="12.7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row>
    <row r="421" spans="1:29" ht="12.7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row>
    <row r="422" spans="1:29" ht="12.7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row>
    <row r="423" spans="1:29" ht="12.7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row>
    <row r="424" spans="1:29" ht="12.7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row>
    <row r="425" spans="1:29" ht="12.7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row>
    <row r="426" spans="1:29" ht="12.7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row>
    <row r="427" spans="1:29" ht="12.7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row>
    <row r="428" spans="1:29" ht="12.7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row>
    <row r="429" spans="1:29" ht="12.7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row>
    <row r="430" spans="1:29" ht="12.7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row>
    <row r="431" spans="1:29" ht="12.7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row>
    <row r="432" spans="1:29" ht="12.7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row>
    <row r="433" spans="1:29" ht="12.7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row>
    <row r="434" spans="1:29" ht="12.7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row>
    <row r="435" spans="1:29" ht="12.7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row>
    <row r="436" spans="1:29" ht="12.7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row>
    <row r="437" spans="1:29" ht="12.7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row>
    <row r="438" spans="1:29" ht="12.7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row>
    <row r="439" spans="1:29" ht="12.7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row>
    <row r="440" spans="1:29" ht="12.7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row>
    <row r="441" spans="1:29" ht="12.7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row>
    <row r="442" spans="1:29" ht="12.7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row>
    <row r="443" spans="1:29" ht="12.7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row>
    <row r="444" spans="1:29" ht="12.7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row>
    <row r="445" spans="1:29" ht="12.7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row>
    <row r="446" spans="1:29" ht="12.7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row>
    <row r="447" spans="1:29" ht="12.7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row>
    <row r="448" spans="1:29" ht="12.7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row>
    <row r="449" spans="1:29" ht="12.7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row>
    <row r="450" spans="1:29" ht="12.7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row>
    <row r="451" spans="1:29" ht="12.7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row>
    <row r="452" spans="1:29" ht="12.7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row>
    <row r="453" spans="1:29" ht="12.7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row>
    <row r="454" spans="1:29" ht="12.7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row>
    <row r="455" spans="1:29" ht="12.7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row>
    <row r="456" spans="1:29" ht="12.7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row>
    <row r="457" spans="1:29" ht="12.7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row>
    <row r="458" spans="1:29" ht="12.7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row>
    <row r="459" spans="1:29" ht="12.7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row>
    <row r="460" spans="1:29" ht="12.7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row>
    <row r="461" spans="1:29" ht="12.7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row>
    <row r="462" spans="1:29" ht="12.7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row>
    <row r="463" spans="1:29" ht="12.7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row>
    <row r="464" spans="1:29" ht="12.7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row>
    <row r="465" spans="1:29" ht="12.7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row>
    <row r="466" spans="1:29" ht="12.7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row>
    <row r="467" spans="1:29" ht="12.7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row>
    <row r="468" spans="1:29" ht="12.7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row>
    <row r="469" spans="1:29" ht="12.7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row>
    <row r="470" spans="1:29" ht="12.7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row>
    <row r="471" spans="1:29" ht="12.7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row>
    <row r="472" spans="1:29" ht="12.7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row>
    <row r="473" spans="1:29" ht="12.7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row>
    <row r="474" spans="1:29" ht="12.7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row>
    <row r="475" spans="1:29" ht="12.7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row>
    <row r="476" spans="1:29" ht="12.7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row>
    <row r="477" spans="1:29" ht="12.7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row>
    <row r="478" spans="1:29" ht="12.7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row>
    <row r="479" spans="1:29" ht="12.7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row>
    <row r="480" spans="1:29" ht="12.7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row>
    <row r="481" spans="1:29" ht="12.7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row>
    <row r="482" spans="1:29" ht="12.7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row>
    <row r="483" spans="1:29" ht="12.7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row>
    <row r="484" spans="1:29" ht="12.7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row>
    <row r="485" spans="1:29" ht="12.7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row>
    <row r="486" spans="1:29" ht="12.7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row>
    <row r="487" spans="1:29" ht="12.7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row>
    <row r="488" spans="1:29" ht="12.7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row>
    <row r="489" spans="1:29" ht="12.7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row>
    <row r="490" spans="1:29" ht="12.7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row>
    <row r="491" spans="1:29" ht="12.7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row>
    <row r="492" spans="1:29" ht="12.7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row>
    <row r="493" spans="1:29" ht="12.7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row>
    <row r="494" spans="1:29" ht="12.7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row>
    <row r="495" spans="1:29" ht="12.7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row>
    <row r="496" spans="1:29" ht="12.7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row>
    <row r="497" spans="1:29" ht="12.7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row>
    <row r="498" spans="1:29" ht="12.7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row>
    <row r="499" spans="1:29" ht="12.7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row>
    <row r="500" spans="1:29" ht="12.7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row>
    <row r="501" spans="1:29" ht="12.7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row>
    <row r="502" spans="1:29" ht="12.7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row>
    <row r="503" spans="1:29" ht="12.7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row>
    <row r="504" spans="1:29" ht="12.7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row>
    <row r="505" spans="1:29" ht="12.7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row>
    <row r="506" spans="1:29" ht="12.7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row>
    <row r="507" spans="1:29" ht="12.7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row>
    <row r="508" spans="1:29" ht="12.7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row>
    <row r="509" spans="1:29" ht="12.7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row>
    <row r="510" spans="1:29" ht="12.7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row>
    <row r="511" spans="1:29" ht="12.7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row>
    <row r="512" spans="1:29" ht="12.7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row>
    <row r="513" spans="1:29" ht="12.7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row>
    <row r="514" spans="1:29" ht="12.7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row>
    <row r="515" spans="1:29" ht="12.7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row>
    <row r="516" spans="1:29" ht="12.7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row>
    <row r="517" spans="1:29" ht="12.7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row>
    <row r="518" spans="1:29" ht="12.7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row>
    <row r="519" spans="1:29" ht="12.7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row>
    <row r="520" spans="1:29" ht="12.7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row>
    <row r="521" spans="1:29" ht="12.7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row>
    <row r="522" spans="1:29" ht="12.7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row>
    <row r="523" spans="1:29" ht="12.7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row>
    <row r="524" spans="1:29" ht="12.7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row>
    <row r="525" spans="1:29" ht="12.7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row>
    <row r="526" spans="1:29" ht="12.7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row>
    <row r="527" spans="1:29" ht="12.7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row>
    <row r="528" spans="1:29" ht="12.7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row>
    <row r="529" spans="1:29" ht="12.7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row>
    <row r="530" spans="1:29" ht="12.7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row>
    <row r="531" spans="1:29" ht="12.7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row>
    <row r="532" spans="1:29" ht="12.7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row>
    <row r="533" spans="1:29" ht="12.7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row>
    <row r="534" spans="1:29" ht="12.7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row>
    <row r="535" spans="1:29" ht="12.7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row>
    <row r="536" spans="1:29" ht="12.7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row>
    <row r="537" spans="1:29" ht="12.7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row>
    <row r="538" spans="1:29" ht="12.7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row>
    <row r="539" spans="1:29" ht="12.7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row>
    <row r="540" spans="1:29" ht="12.7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row>
    <row r="541" spans="1:29" ht="12.7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row>
    <row r="542" spans="1:29" ht="12.7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row>
    <row r="543" spans="1:29" ht="12.7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row>
    <row r="544" spans="1:29" ht="12.7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row>
    <row r="545" spans="1:29" ht="12.7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row>
    <row r="546" spans="1:29" ht="12.7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row>
    <row r="547" spans="1:29" ht="12.7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row>
    <row r="548" spans="1:29" ht="12.7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row>
    <row r="549" spans="1:29" ht="12.7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row>
    <row r="550" spans="1:29" ht="12.7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row>
    <row r="551" spans="1:29" ht="12.7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row>
    <row r="552" spans="1:29" ht="12.7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row>
    <row r="553" spans="1:29" ht="12.7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row>
    <row r="554" spans="1:29" ht="12.7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row>
    <row r="555" spans="1:29" ht="12.7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row>
    <row r="556" spans="1:29" ht="12.7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row>
    <row r="557" spans="1:29" ht="12.7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row>
    <row r="558" spans="1:29" ht="12.7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row>
    <row r="559" spans="1:29" ht="12.7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row>
    <row r="560" spans="1:29" ht="12.7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row>
    <row r="561" spans="1:29" ht="12.7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row>
    <row r="562" spans="1:29" ht="12.7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row>
    <row r="563" spans="1:29" ht="12.7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row>
    <row r="564" spans="1:29" ht="12.7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row>
    <row r="565" spans="1:29" ht="12.7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row>
    <row r="566" spans="1:29" ht="12.7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row>
    <row r="567" spans="1:29" ht="12.7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row>
    <row r="568" spans="1:29" ht="12.7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row>
    <row r="569" spans="1:29" ht="12.7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row>
    <row r="570" spans="1:29" ht="12.7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row>
    <row r="571" spans="1:29" ht="12.7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row>
    <row r="572" spans="1:29" ht="12.7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row>
    <row r="573" spans="1:29" ht="12.7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row>
    <row r="574" spans="1:29" ht="12.7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row>
    <row r="575" spans="1:29" ht="12.7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row>
    <row r="576" spans="1:29" ht="12.7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row>
    <row r="577" spans="1:29" ht="12.7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row>
    <row r="578" spans="1:29" ht="12.7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row>
    <row r="579" spans="1:29" ht="12.7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row>
    <row r="580" spans="1:29" ht="12.7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row>
    <row r="581" spans="1:29" ht="12.7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row>
    <row r="582" spans="1:29" ht="12.7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row>
    <row r="583" spans="1:29" ht="12.7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row>
    <row r="584" spans="1:29" ht="12.7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row>
    <row r="585" spans="1:29" ht="12.7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row>
    <row r="586" spans="1:29" ht="12.7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row>
    <row r="587" spans="1:29" ht="12.7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row>
    <row r="588" spans="1:29" ht="12.7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row>
    <row r="589" spans="1:29" ht="12.7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row>
    <row r="590" spans="1:29" ht="12.7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row>
    <row r="591" spans="1:29" ht="12.7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row>
    <row r="592" spans="1:29" ht="12.7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row>
    <row r="593" spans="1:29" ht="12.7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row>
    <row r="594" spans="1:29" ht="12.7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row>
    <row r="595" spans="1:29" ht="12.7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row>
    <row r="596" spans="1:29" ht="12.7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row>
    <row r="597" spans="1:29" ht="12.7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row>
    <row r="598" spans="1:29" ht="12.7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row>
    <row r="599" spans="1:29" ht="12.7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row>
    <row r="600" spans="1:29" ht="12.7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row>
    <row r="601" spans="1:29" ht="12.7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row>
    <row r="602" spans="1:29" ht="12.7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row>
    <row r="603" spans="1:29" ht="12.7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row>
    <row r="604" spans="1:29" ht="12.7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row>
    <row r="605" spans="1:29" ht="12.7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row>
    <row r="606" spans="1:29" ht="12.7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row>
    <row r="607" spans="1:29" ht="12.7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row>
    <row r="608" spans="1:29" ht="12.7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row>
    <row r="609" spans="1:29" ht="12.7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row>
    <row r="610" spans="1:29" ht="12.7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row>
    <row r="611" spans="1:29" ht="12.7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row>
    <row r="612" spans="1:29" ht="12.7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row>
    <row r="613" spans="1:29" ht="12.7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row>
    <row r="614" spans="1:29" ht="12.7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row>
    <row r="615" spans="1:29" ht="12.7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row>
    <row r="616" spans="1:29" ht="12.7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row>
    <row r="617" spans="1:29" ht="12.7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row>
    <row r="618" spans="1:29" ht="12.7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row>
    <row r="619" spans="1:29" ht="12.7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row>
    <row r="620" spans="1:29" ht="12.7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row>
    <row r="621" spans="1:29" ht="12.7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row>
    <row r="622" spans="1:29" ht="12.7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row>
    <row r="623" spans="1:29" ht="12.7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row>
    <row r="624" spans="1:29" ht="12.7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row>
    <row r="625" spans="1:29" ht="12.7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row>
    <row r="626" spans="1:29" ht="12.7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row>
    <row r="627" spans="1:29" ht="12.7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row>
    <row r="628" spans="1:29" ht="12.7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row>
    <row r="629" spans="1:29" ht="12.7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row>
    <row r="630" spans="1:29" ht="12.7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row>
    <row r="631" spans="1:29" ht="12.7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row>
    <row r="632" spans="1:29" ht="12.7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row>
    <row r="633" spans="1:29" ht="12.7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row>
    <row r="634" spans="1:29" ht="12.7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row>
    <row r="635" spans="1:29" ht="12.7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row>
    <row r="636" spans="1:29" ht="12.7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row>
    <row r="637" spans="1:29" ht="12.7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row>
    <row r="638" spans="1:29" ht="12.7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row>
    <row r="639" spans="1:29" ht="12.7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row>
    <row r="640" spans="1:29" ht="12.7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row>
    <row r="641" spans="1:29" ht="12.7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row>
    <row r="642" spans="1:29" ht="12.7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row>
    <row r="643" spans="1:29" ht="12.7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row>
    <row r="644" spans="1:29" ht="12.7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row>
    <row r="645" spans="1:29" ht="12.7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row>
    <row r="646" spans="1:29" ht="12.7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row>
    <row r="647" spans="1:29" ht="12.7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row>
    <row r="648" spans="1:29" ht="12.7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row>
    <row r="649" spans="1:29" ht="12.7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row>
    <row r="650" spans="1:29" ht="12.7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row>
    <row r="651" spans="1:29" ht="12.7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row>
    <row r="652" spans="1:29" ht="12.7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row>
    <row r="653" spans="1:29" ht="12.7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row>
    <row r="654" spans="1:29" ht="12.7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row>
    <row r="655" spans="1:29" ht="12.7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row>
    <row r="656" spans="1:29" ht="12.7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row>
    <row r="657" spans="1:29" ht="12.7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row>
    <row r="658" spans="1:29" ht="12.7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row>
    <row r="659" spans="1:29" ht="12.7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row>
    <row r="660" spans="1:29" ht="12.7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row>
    <row r="661" spans="1:29" ht="12.7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row>
    <row r="662" spans="1:29" ht="12.7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row>
    <row r="663" spans="1:29" ht="12.7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row>
    <row r="664" spans="1:29" ht="12.7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row>
    <row r="665" spans="1:29" ht="12.7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row>
    <row r="666" spans="1:29" ht="12.7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row>
    <row r="667" spans="1:29" ht="12.7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row>
    <row r="668" spans="1:29" ht="12.7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row>
    <row r="669" spans="1:29" ht="12.7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row>
    <row r="670" spans="1:29" ht="12.7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row>
    <row r="671" spans="1:29" ht="12.7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row>
    <row r="672" spans="1:29" ht="12.7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row>
    <row r="673" spans="1:29" ht="12.7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row>
    <row r="674" spans="1:29" ht="12.7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row>
    <row r="675" spans="1:29" ht="12.7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row>
    <row r="676" spans="1:29" ht="12.7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row>
    <row r="677" spans="1:29" ht="12.7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row>
    <row r="678" spans="1:29" ht="12.7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row>
    <row r="679" spans="1:29" ht="12.7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row>
    <row r="680" spans="1:29" ht="12.7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row>
    <row r="681" spans="1:29" ht="12.7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row>
    <row r="682" spans="1:29" ht="12.7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row>
    <row r="683" spans="1:29" ht="12.7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row>
    <row r="684" spans="1:29" ht="12.7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row>
    <row r="685" spans="1:29" ht="12.7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row>
    <row r="686" spans="1:29" ht="12.7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row>
    <row r="687" spans="1:29" ht="12.7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row>
    <row r="688" spans="1:29" ht="12.7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row>
    <row r="689" spans="1:29" ht="12.7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row>
    <row r="690" spans="1:29" ht="12.7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row>
    <row r="691" spans="1:29" ht="12.7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row>
    <row r="692" spans="1:29" ht="12.7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row>
    <row r="693" spans="1:29" ht="12.7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row>
    <row r="694" spans="1:29" ht="12.7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row>
    <row r="695" spans="1:29" ht="12.7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row>
    <row r="696" spans="1:29" ht="12.7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row>
    <row r="697" spans="1:29" ht="12.7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row>
    <row r="698" spans="1:29" ht="12.7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row>
    <row r="699" spans="1:29" ht="12.7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row>
    <row r="700" spans="1:29" ht="12.7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row>
    <row r="701" spans="1:29" ht="12.7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row>
    <row r="702" spans="1:29" ht="12.7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row>
    <row r="703" spans="1:29" ht="12.7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row>
    <row r="704" spans="1:29" ht="12.7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row>
    <row r="705" spans="1:29" ht="12.7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row>
    <row r="706" spans="1:29" ht="12.7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row>
    <row r="707" spans="1:29" ht="12.7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row>
    <row r="708" spans="1:29" ht="12.7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row>
    <row r="709" spans="1:29" ht="12.7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row>
    <row r="710" spans="1:29" ht="12.7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row>
    <row r="711" spans="1:29" ht="12.7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row>
    <row r="712" spans="1:29" ht="12.7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row>
    <row r="713" spans="1:29" ht="12.7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row>
    <row r="714" spans="1:29" ht="12.7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row>
    <row r="715" spans="1:29" ht="12.7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row>
    <row r="716" spans="1:29" ht="12.7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row>
    <row r="717" spans="1:29" ht="12.7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row>
    <row r="718" spans="1:29" ht="12.7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row>
    <row r="719" spans="1:29" ht="12.7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row>
    <row r="720" spans="1:29" ht="12.7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row>
    <row r="721" spans="1:29" ht="12.7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row>
    <row r="722" spans="1:29" ht="12.7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row>
    <row r="723" spans="1:29" ht="12.7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row>
    <row r="724" spans="1:29" ht="12.7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row>
    <row r="725" spans="1:29" ht="12.7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row>
    <row r="726" spans="1:29" ht="12.7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row>
    <row r="727" spans="1:29" ht="12.7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row>
    <row r="728" spans="1:29" ht="12.7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row>
    <row r="729" spans="1:29" ht="12.7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row>
    <row r="730" spans="1:29" ht="12.7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row>
    <row r="731" spans="1:29" ht="12.7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row>
    <row r="732" spans="1:29" ht="12.7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row>
    <row r="733" spans="1:29" ht="12.7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row>
    <row r="734" spans="1:29" ht="12.7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row>
    <row r="735" spans="1:29" ht="12.7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row>
    <row r="736" spans="1:29" ht="12.7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row>
    <row r="737" spans="1:29" ht="12.7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row>
    <row r="738" spans="1:29" ht="12.7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row>
    <row r="739" spans="1:29" ht="12.7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row>
    <row r="740" spans="1:29" ht="12.7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row>
    <row r="741" spans="1:29" ht="12.7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row>
    <row r="742" spans="1:29" ht="12.7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row>
    <row r="743" spans="1:29" ht="12.7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row>
    <row r="744" spans="1:29" ht="12.7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row>
    <row r="745" spans="1:29" ht="12.7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row>
    <row r="746" spans="1:29" ht="12.7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row>
    <row r="747" spans="1:29" ht="12.7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row>
    <row r="748" spans="1:29" ht="12.7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row>
    <row r="749" spans="1:29" ht="12.7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row>
    <row r="750" spans="1:29" ht="12.7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row>
    <row r="751" spans="1:29" ht="12.7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row>
    <row r="752" spans="1:29" ht="12.7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row>
    <row r="753" spans="1:29" ht="12.7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row>
    <row r="754" spans="1:29" ht="12.7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row>
    <row r="755" spans="1:29" ht="12.7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row>
    <row r="756" spans="1:29" ht="12.7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row>
    <row r="757" spans="1:29" ht="12.7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row>
    <row r="758" spans="1:29" ht="12.7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row>
    <row r="759" spans="1:29" ht="12.7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row>
    <row r="760" spans="1:29" ht="12.7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row>
    <row r="761" spans="1:29" ht="12.7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row>
    <row r="762" spans="1:29" ht="12.7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row>
    <row r="763" spans="1:29" ht="12.7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row>
    <row r="764" spans="1:29" ht="12.7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row>
    <row r="765" spans="1:29" ht="12.7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row>
    <row r="766" spans="1:29" ht="12.7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row>
    <row r="767" spans="1:29" ht="12.7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row>
    <row r="768" spans="1:29" ht="12.7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row>
    <row r="769" spans="1:29" ht="12.7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row>
    <row r="770" spans="1:29" ht="12.7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row>
    <row r="771" spans="1:29" ht="12.7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row>
    <row r="772" spans="1:29" ht="12.7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row>
    <row r="773" spans="1:29" ht="12.7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row>
    <row r="774" spans="1:29" ht="12.7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row>
    <row r="775" spans="1:29" ht="12.7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row>
    <row r="776" spans="1:29" ht="12.7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row>
    <row r="777" spans="1:29" ht="12.7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row>
    <row r="778" spans="1:29" ht="12.7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row>
    <row r="779" spans="1:29" ht="12.7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row>
    <row r="780" spans="1:29" ht="12.7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row>
    <row r="781" spans="1:29" ht="12.7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row>
    <row r="782" spans="1:29" ht="12.7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row>
    <row r="783" spans="1:29" ht="12.7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row>
    <row r="784" spans="1:29" ht="12.7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row>
    <row r="785" spans="1:29" ht="12.7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row>
    <row r="786" spans="1:29" ht="12.7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row>
    <row r="787" spans="1:29" ht="12.7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row>
    <row r="788" spans="1:29" ht="12.7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row>
    <row r="789" spans="1:29" ht="12.7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row>
    <row r="790" spans="1:29" ht="12.7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row>
    <row r="791" spans="1:29" ht="12.7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row>
    <row r="792" spans="1:29" ht="12.7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row>
    <row r="793" spans="1:29" ht="12.7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row>
    <row r="794" spans="1:29" ht="12.7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row>
    <row r="795" spans="1:29" ht="12.7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row>
    <row r="796" spans="1:29" ht="12.7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row>
    <row r="797" spans="1:29" ht="12.7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row>
    <row r="798" spans="1:29" ht="12.7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row>
    <row r="799" spans="1:29" ht="12.7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row>
    <row r="800" spans="1:29" ht="12.7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row>
    <row r="801" spans="1:29" ht="12.7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row>
    <row r="802" spans="1:29" ht="12.7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row>
    <row r="803" spans="1:29" ht="12.7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row>
    <row r="804" spans="1:29" ht="12.7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row>
    <row r="805" spans="1:29" ht="12.7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row>
    <row r="806" spans="1:29" ht="12.7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row>
    <row r="807" spans="1:29" ht="12.7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row>
    <row r="808" spans="1:29" ht="12.7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row>
    <row r="809" spans="1:29" ht="12.7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row>
    <row r="810" spans="1:29" ht="12.7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row>
    <row r="811" spans="1:29" ht="12.7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row>
    <row r="812" spans="1:29" ht="12.7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row>
    <row r="813" spans="1:29" ht="12.7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row>
    <row r="814" spans="1:29" ht="12.7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row>
    <row r="815" spans="1:29" ht="12.7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row>
    <row r="816" spans="1:29" ht="12.7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row>
    <row r="817" spans="1:29" ht="12.7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row>
    <row r="818" spans="1:29" ht="12.7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row>
    <row r="819" spans="1:29" ht="12.7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row>
    <row r="820" spans="1:29" ht="12.7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row>
    <row r="821" spans="1:29" ht="12.7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row>
    <row r="822" spans="1:29" ht="12.7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row>
    <row r="823" spans="1:29" ht="12.7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row>
    <row r="824" spans="1:29" ht="12.7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row>
    <row r="825" spans="1:29" ht="12.7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row>
    <row r="826" spans="1:29" ht="12.7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row>
    <row r="827" spans="1:29" ht="12.7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row>
    <row r="828" spans="1:29" ht="12.7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row>
    <row r="829" spans="1:29" ht="12.7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row>
    <row r="830" spans="1:29" ht="12.7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row>
    <row r="831" spans="1:29" ht="12.7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row>
    <row r="832" spans="1:29" ht="12.7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row>
    <row r="833" spans="1:29" ht="12.7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row>
    <row r="834" spans="1:29" ht="12.7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row>
    <row r="835" spans="1:29" ht="12.7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row>
    <row r="836" spans="1:29" ht="12.7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row>
    <row r="837" spans="1:29" ht="12.7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row>
    <row r="838" spans="1:29" ht="12.7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row>
    <row r="839" spans="1:29" ht="12.7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row>
    <row r="840" spans="1:29" ht="12.7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row>
    <row r="841" spans="1:29" ht="12.7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row>
    <row r="842" spans="1:29" ht="12.7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row>
    <row r="843" spans="1:29" ht="12.7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row>
    <row r="844" spans="1:29" ht="12.7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row>
    <row r="845" spans="1:29" ht="12.7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row>
    <row r="846" spans="1:29" ht="12.7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row>
    <row r="847" spans="1:29" ht="12.7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row>
    <row r="848" spans="1:29" ht="12.7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row>
    <row r="849" spans="1:29" ht="12.7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row>
    <row r="850" spans="1:29" ht="12.7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row>
    <row r="851" spans="1:29" ht="12.7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row>
    <row r="852" spans="1:29" ht="12.7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row>
    <row r="853" spans="1:29" ht="12.7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row>
    <row r="854" spans="1:29" ht="12.7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row>
    <row r="855" spans="1:29" ht="12.7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row>
    <row r="856" spans="1:29" ht="12.7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row>
    <row r="857" spans="1:29" ht="12.7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row>
    <row r="858" spans="1:29" ht="12.7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row>
    <row r="859" spans="1:29" ht="12.7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row>
    <row r="860" spans="1:29" ht="12.7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row>
    <row r="861" spans="1:29" ht="12.7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row>
    <row r="862" spans="1:29" ht="12.7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row>
    <row r="863" spans="1:29" ht="12.7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row>
    <row r="864" spans="1:29" ht="12.7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row>
    <row r="865" spans="1:29" ht="12.7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row>
    <row r="866" spans="1:29" ht="12.7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row>
    <row r="867" spans="1:29" ht="12.7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row>
    <row r="868" spans="1:29" ht="12.7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row>
    <row r="869" spans="1:29" ht="12.7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row>
    <row r="870" spans="1:29" ht="12.7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row>
    <row r="871" spans="1:29" ht="12.7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row>
    <row r="872" spans="1:29" ht="12.7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row>
    <row r="873" spans="1:29" ht="12.7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row>
    <row r="874" spans="1:29" ht="12.7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row>
    <row r="875" spans="1:29" ht="12.7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row>
    <row r="876" spans="1:29" ht="12.7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row>
    <row r="877" spans="1:29" ht="12.7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row>
    <row r="878" spans="1:29" ht="12.7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row>
    <row r="879" spans="1:29" ht="12.7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row>
    <row r="880" spans="1:29" ht="12.7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row>
    <row r="881" spans="1:29" ht="12.7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row>
    <row r="882" spans="1:29" ht="12.7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row>
    <row r="883" spans="1:29" ht="12.7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row>
    <row r="884" spans="1:29" ht="12.7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row>
    <row r="885" spans="1:29" ht="12.7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row>
    <row r="886" spans="1:29" ht="12.7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row>
    <row r="887" spans="1:29" ht="12.7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row>
    <row r="888" spans="1:29" ht="12.7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row>
    <row r="889" spans="1:29" ht="12.7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row>
    <row r="890" spans="1:29" ht="12.7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row>
    <row r="891" spans="1:29" ht="12.7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row>
    <row r="892" spans="1:29" ht="12.7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row>
    <row r="893" spans="1:29" ht="12.7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row>
    <row r="894" spans="1:29" ht="12.7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row>
    <row r="895" spans="1:29" ht="12.7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row>
    <row r="896" spans="1:29" ht="12.7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row>
    <row r="897" spans="1:29" ht="12.7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row>
    <row r="898" spans="1:29" ht="12.7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row>
    <row r="899" spans="1:29" ht="12.7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row>
    <row r="900" spans="1:29" ht="12.7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row>
    <row r="901" spans="1:29" ht="12.7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row>
    <row r="902" spans="1:29" ht="12.7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row>
    <row r="903" spans="1:29" ht="12.7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row>
    <row r="904" spans="1:29" ht="12.7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row>
    <row r="905" spans="1:29" ht="12.7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row>
    <row r="906" spans="1:29" ht="12.7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row>
    <row r="907" spans="1:29" ht="12.7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row>
    <row r="908" spans="1:29" ht="12.7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row>
    <row r="909" spans="1:29" ht="12.7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row>
    <row r="910" spans="1:29" ht="12.7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row>
    <row r="911" spans="1:29" ht="12.7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row>
    <row r="912" spans="1:29" ht="12.7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row>
    <row r="913" spans="1:29" ht="12.7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row>
    <row r="914" spans="1:29" ht="12.7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row>
    <row r="915" spans="1:29" ht="12.7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row>
    <row r="916" spans="1:29" ht="12.7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row>
    <row r="917" spans="1:29" ht="12.7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row>
    <row r="918" spans="1:29" ht="12.7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row>
    <row r="919" spans="1:29" ht="12.7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row>
    <row r="920" spans="1:29" ht="12.7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row>
    <row r="921" spans="1:29" ht="12.7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row>
    <row r="922" spans="1:29" ht="12.7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row>
    <row r="923" spans="1:29" ht="12.7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row>
    <row r="924" spans="1:29" ht="12.7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row>
    <row r="925" spans="1:29" ht="12.7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row>
    <row r="926" spans="1:29" ht="12.7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row>
    <row r="927" spans="1:29" ht="12.7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row>
    <row r="928" spans="1:29" ht="12.7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row>
    <row r="929" spans="1:29" ht="12.7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row>
    <row r="930" spans="1:29" ht="12.7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row>
    <row r="931" spans="1:29" ht="12.7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row>
    <row r="932" spans="1:29" ht="12.7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row>
    <row r="933" spans="1:29" ht="12.7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row>
    <row r="934" spans="1:29" ht="12.7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row>
    <row r="935" spans="1:29" ht="12.7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row>
    <row r="936" spans="1:29" ht="12.7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row>
    <row r="937" spans="1:29" ht="12.7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row>
    <row r="938" spans="1:29" ht="12.7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row>
    <row r="939" spans="1:29" ht="12.7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row>
    <row r="940" spans="1:29" ht="12.7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row>
    <row r="941" spans="1:29" ht="12.7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row>
    <row r="942" spans="1:29" ht="12.7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row>
    <row r="943" spans="1:29" ht="12.7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row>
    <row r="944" spans="1:29" ht="12.7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row>
    <row r="945" spans="1:29" ht="12.7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row>
    <row r="946" spans="1:29" ht="12.7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row>
    <row r="947" spans="1:29" ht="12.7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row>
    <row r="948" spans="1:29" ht="12.7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row>
    <row r="949" spans="1:29" ht="12.7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row>
    <row r="950" spans="1:29" ht="12.7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row>
    <row r="951" spans="1:29" ht="12.7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row>
    <row r="952" spans="1:29" ht="12.7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row>
    <row r="953" spans="1:29" ht="12.7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row>
    <row r="954" spans="1:29" ht="12.7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row>
    <row r="955" spans="1:29" ht="12.7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row>
    <row r="956" spans="1:29" ht="12.7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row>
    <row r="957" spans="1:29" ht="12.7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row>
    <row r="958" spans="1:29" ht="12.7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row>
    <row r="959" spans="1:29" ht="12.7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row>
    <row r="960" spans="1:29" ht="12.7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row>
    <row r="961" spans="1:29" ht="12.7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row>
    <row r="962" spans="1:29" ht="12.7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row>
    <row r="963" spans="1:29" ht="12.7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row>
    <row r="964" spans="1:29" ht="12.7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row>
    <row r="965" spans="1:29" ht="12.7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row>
    <row r="966" spans="1:29" ht="12.7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row>
    <row r="967" spans="1:29" ht="12.7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row>
    <row r="968" spans="1:29" ht="12.7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row>
    <row r="969" spans="1:29" ht="12.7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row>
    <row r="970" spans="1:29" ht="12.7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row>
    <row r="971" spans="1:29" ht="12.7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row>
    <row r="972" spans="1:29" ht="12.7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row>
    <row r="973" spans="1:29" ht="12.7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row>
    <row r="974" spans="1:29" ht="12.7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row>
    <row r="975" spans="1:29" ht="12.7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row>
    <row r="976" spans="1:29" ht="12.7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row>
    <row r="977" spans="1:29" ht="12.7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row>
    <row r="978" spans="1:29" ht="12.7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row>
    <row r="979" spans="1:29" ht="12.7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row>
    <row r="980" spans="1:29" ht="12.7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row>
    <row r="981" spans="1:29" ht="12.7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row>
    <row r="982" spans="1:29" ht="12.7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row>
    <row r="983" spans="1:29" ht="12.7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row>
    <row r="984" spans="1:29" ht="12.7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row>
    <row r="985" spans="1:29" ht="12.7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row>
    <row r="986" spans="1:29" ht="12.7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row>
    <row r="987" spans="1:29" ht="12.7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row>
    <row r="988" spans="1:29" ht="12.7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row>
    <row r="989" spans="1:29" ht="12.7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row>
    <row r="990" spans="1:29" ht="12.7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row>
    <row r="991" spans="1:29" ht="12.7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row>
    <row r="992" spans="1:29" ht="12.7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row>
    <row r="993" spans="1:29" ht="12.7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row>
    <row r="994" spans="1:29" ht="12.7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row>
    <row r="995" spans="1:29" ht="12.7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row>
    <row r="996" spans="1:29" ht="12.7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row>
    <row r="997" spans="1:29" ht="12.7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row>
    <row r="998" spans="1:29" ht="12.7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row>
    <row r="999" spans="1:29" ht="12.7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row>
    <row r="1000" spans="1:29" ht="12.7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row>
  </sheetData>
  <mergeCells count="3">
    <mergeCell ref="A1:I1"/>
    <mergeCell ref="A2:I2"/>
    <mergeCell ref="A3:I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65" workbookViewId="0">
      <selection sqref="A1:E1"/>
    </sheetView>
  </sheetViews>
  <sheetFormatPr defaultColWidth="11.19921875" defaultRowHeight="15" customHeight="1" x14ac:dyDescent="0.3"/>
  <cols>
    <col min="1" max="1" width="16.296875" customWidth="1"/>
    <col min="2" max="2" width="23.19921875" customWidth="1"/>
    <col min="3" max="3" width="18.19921875" customWidth="1"/>
    <col min="4" max="4" width="14.3984375" customWidth="1"/>
    <col min="5" max="6" width="16.796875" customWidth="1"/>
    <col min="7" max="7" width="24.796875" customWidth="1"/>
    <col min="8" max="8" width="12" customWidth="1"/>
    <col min="9" max="9" width="10.19921875" customWidth="1"/>
    <col min="10" max="10" width="8.59765625" customWidth="1"/>
    <col min="11" max="11" width="11" customWidth="1"/>
    <col min="12" max="26" width="8.59765625" customWidth="1"/>
  </cols>
  <sheetData>
    <row r="1" spans="1:26" ht="17.399999999999999" x14ac:dyDescent="0.3">
      <c r="A1" s="411" t="s">
        <v>48</v>
      </c>
      <c r="B1" s="412"/>
      <c r="C1" s="412"/>
      <c r="D1" s="412"/>
      <c r="E1" s="412"/>
      <c r="F1" s="23"/>
      <c r="G1" s="1"/>
    </row>
    <row r="2" spans="1:26" ht="15.6" x14ac:dyDescent="0.3">
      <c r="A2" s="24" t="s">
        <v>49</v>
      </c>
      <c r="B2" s="24" t="s">
        <v>50</v>
      </c>
      <c r="C2" s="24" t="s">
        <v>51</v>
      </c>
      <c r="D2" s="24" t="s">
        <v>52</v>
      </c>
      <c r="E2" s="24" t="s">
        <v>53</v>
      </c>
      <c r="F2" s="25"/>
      <c r="G2" s="1"/>
    </row>
    <row r="3" spans="1:26" ht="15.6" x14ac:dyDescent="0.3">
      <c r="A3" s="24">
        <v>9</v>
      </c>
      <c r="B3" s="24">
        <v>5</v>
      </c>
      <c r="C3" s="26">
        <f t="shared" ref="C3:C6" si="0">POWER(A3+B3,2)</f>
        <v>196</v>
      </c>
      <c r="D3" s="26">
        <f t="shared" ref="D3:D6" si="1">A3*A3+B3*B3+2*A3*B3</f>
        <v>196</v>
      </c>
      <c r="E3" s="26">
        <f t="shared" ref="E3:E6" si="2">3*A3*B3</f>
        <v>135</v>
      </c>
      <c r="F3" s="27"/>
      <c r="G3" s="28"/>
      <c r="H3" s="28"/>
      <c r="I3" s="28"/>
      <c r="J3" s="28"/>
      <c r="K3" s="28"/>
      <c r="L3" s="28"/>
      <c r="M3" s="28"/>
      <c r="N3" s="28"/>
      <c r="O3" s="28"/>
      <c r="P3" s="28"/>
      <c r="Q3" s="28"/>
      <c r="R3" s="28"/>
      <c r="S3" s="28"/>
      <c r="T3" s="28"/>
      <c r="U3" s="28"/>
      <c r="V3" s="28"/>
      <c r="W3" s="28"/>
      <c r="X3" s="28"/>
      <c r="Y3" s="28"/>
      <c r="Z3" s="28"/>
    </row>
    <row r="4" spans="1:26" ht="15.6" x14ac:dyDescent="0.3">
      <c r="A4" s="24">
        <v>125</v>
      </c>
      <c r="B4" s="24">
        <v>48</v>
      </c>
      <c r="C4" s="26">
        <f t="shared" si="0"/>
        <v>29929</v>
      </c>
      <c r="D4" s="26">
        <f t="shared" si="1"/>
        <v>29929</v>
      </c>
      <c r="E4" s="26">
        <f t="shared" si="2"/>
        <v>18000</v>
      </c>
      <c r="F4" s="27"/>
      <c r="G4" s="1"/>
    </row>
    <row r="5" spans="1:26" ht="15.6" x14ac:dyDescent="0.3">
      <c r="A5" s="24">
        <v>32</v>
      </c>
      <c r="B5" s="24">
        <v>18</v>
      </c>
      <c r="C5" s="26">
        <f t="shared" si="0"/>
        <v>2500</v>
      </c>
      <c r="D5" s="26">
        <f t="shared" si="1"/>
        <v>2500</v>
      </c>
      <c r="E5" s="26">
        <f t="shared" si="2"/>
        <v>1728</v>
      </c>
      <c r="F5" s="27"/>
      <c r="G5" s="1"/>
    </row>
    <row r="6" spans="1:26" ht="15.6" x14ac:dyDescent="0.3">
      <c r="A6" s="24">
        <v>29</v>
      </c>
      <c r="B6" s="24">
        <v>12</v>
      </c>
      <c r="C6" s="26">
        <f t="shared" si="0"/>
        <v>1681</v>
      </c>
      <c r="D6" s="26">
        <f t="shared" si="1"/>
        <v>1681</v>
      </c>
      <c r="E6" s="26">
        <f t="shared" si="2"/>
        <v>1044</v>
      </c>
      <c r="F6" s="27"/>
      <c r="G6" s="1"/>
    </row>
    <row r="7" spans="1:26" ht="15.6" x14ac:dyDescent="0.3">
      <c r="A7" s="1"/>
      <c r="B7" s="1"/>
      <c r="C7" s="1"/>
      <c r="D7" s="1"/>
      <c r="E7" s="1"/>
      <c r="F7" s="1"/>
      <c r="G7" s="1"/>
    </row>
    <row r="8" spans="1:26" ht="17.399999999999999" x14ac:dyDescent="0.3">
      <c r="A8" s="411" t="s">
        <v>54</v>
      </c>
      <c r="B8" s="412"/>
      <c r="C8" s="412"/>
      <c r="D8" s="412"/>
      <c r="E8" s="412"/>
      <c r="F8" s="412"/>
      <c r="G8" s="412"/>
    </row>
    <row r="9" spans="1:26" ht="15.6" x14ac:dyDescent="0.3">
      <c r="A9" s="24" t="s">
        <v>49</v>
      </c>
      <c r="B9" s="24" t="s">
        <v>50</v>
      </c>
      <c r="C9" s="24" t="s">
        <v>55</v>
      </c>
      <c r="D9" s="24" t="s">
        <v>56</v>
      </c>
      <c r="E9" s="24" t="s">
        <v>57</v>
      </c>
      <c r="F9" s="24"/>
      <c r="G9" s="24" t="s">
        <v>58</v>
      </c>
    </row>
    <row r="10" spans="1:26" ht="15.6" x14ac:dyDescent="0.3">
      <c r="A10" s="24">
        <v>7</v>
      </c>
      <c r="B10" s="24">
        <v>2</v>
      </c>
      <c r="C10" s="26">
        <f t="shared" ref="C10:C13" si="3">MOD(A10,B10)</f>
        <v>1</v>
      </c>
      <c r="D10" s="26">
        <f t="shared" ref="D10:D13" si="4">INT(A10/B10)</f>
        <v>3</v>
      </c>
      <c r="E10" s="26">
        <f t="shared" ref="E10:E13" si="5">ROUND(A10/B10,2)</f>
        <v>3.5</v>
      </c>
      <c r="F10" s="26"/>
      <c r="G10" s="29">
        <f t="shared" ref="G10:G13" si="6">PRODUCT(A10,B10)</f>
        <v>14</v>
      </c>
    </row>
    <row r="11" spans="1:26" ht="15.6" x14ac:dyDescent="0.3">
      <c r="A11" s="24">
        <v>13</v>
      </c>
      <c r="B11" s="24">
        <v>-4</v>
      </c>
      <c r="C11" s="26">
        <f t="shared" si="3"/>
        <v>-3</v>
      </c>
      <c r="D11" s="26">
        <f t="shared" si="4"/>
        <v>-4</v>
      </c>
      <c r="E11" s="26">
        <f t="shared" si="5"/>
        <v>-3.25</v>
      </c>
      <c r="F11" s="26"/>
      <c r="G11" s="29">
        <f t="shared" si="6"/>
        <v>-52</v>
      </c>
    </row>
    <row r="12" spans="1:26" ht="15.6" x14ac:dyDescent="0.3">
      <c r="A12" s="24">
        <v>15</v>
      </c>
      <c r="B12" s="24">
        <v>66</v>
      </c>
      <c r="C12" s="26">
        <f t="shared" si="3"/>
        <v>15</v>
      </c>
      <c r="D12" s="26">
        <f t="shared" si="4"/>
        <v>0</v>
      </c>
      <c r="E12" s="26">
        <f t="shared" si="5"/>
        <v>0.23</v>
      </c>
      <c r="F12" s="26"/>
      <c r="G12" s="29">
        <f t="shared" si="6"/>
        <v>990</v>
      </c>
    </row>
    <row r="13" spans="1:26" ht="15.6" x14ac:dyDescent="0.3">
      <c r="A13" s="24">
        <v>8</v>
      </c>
      <c r="B13" s="24">
        <v>8</v>
      </c>
      <c r="C13" s="26">
        <f t="shared" si="3"/>
        <v>0</v>
      </c>
      <c r="D13" s="26">
        <f t="shared" si="4"/>
        <v>1</v>
      </c>
      <c r="E13" s="26">
        <f t="shared" si="5"/>
        <v>1</v>
      </c>
      <c r="F13" s="26"/>
      <c r="G13" s="29">
        <f t="shared" si="6"/>
        <v>64</v>
      </c>
    </row>
    <row r="14" spans="1:26" ht="15.6" x14ac:dyDescent="0.3">
      <c r="A14" s="1"/>
      <c r="B14" s="1"/>
      <c r="C14" s="1"/>
      <c r="D14" s="1"/>
      <c r="E14" s="1"/>
      <c r="F14" s="1"/>
      <c r="G14" s="1"/>
    </row>
    <row r="15" spans="1:26" ht="15.6" x14ac:dyDescent="0.3">
      <c r="A15" s="413" t="s">
        <v>59</v>
      </c>
      <c r="B15" s="392"/>
      <c r="C15" s="392"/>
      <c r="D15" s="392"/>
      <c r="E15" s="30" t="s">
        <v>60</v>
      </c>
      <c r="F15" s="30"/>
      <c r="G15" s="1"/>
    </row>
    <row r="16" spans="1:26" ht="15.6" x14ac:dyDescent="0.3">
      <c r="A16" s="414" t="s">
        <v>61</v>
      </c>
      <c r="B16" s="402"/>
      <c r="C16" s="402"/>
      <c r="D16" s="403"/>
      <c r="E16" s="31">
        <v>22000</v>
      </c>
      <c r="F16" s="31"/>
      <c r="G16" s="1"/>
    </row>
    <row r="17" spans="1:11" ht="15.6" x14ac:dyDescent="0.3">
      <c r="A17" s="32" t="s">
        <v>62</v>
      </c>
      <c r="B17" s="32" t="s">
        <v>63</v>
      </c>
      <c r="C17" s="32" t="s">
        <v>64</v>
      </c>
      <c r="D17" s="32" t="s">
        <v>65</v>
      </c>
      <c r="E17" s="32" t="s">
        <v>66</v>
      </c>
      <c r="F17" s="28"/>
      <c r="G17" s="1"/>
    </row>
    <row r="18" spans="1:11" ht="15.6" x14ac:dyDescent="0.3">
      <c r="A18" s="32" t="s">
        <v>67</v>
      </c>
      <c r="B18" s="33">
        <v>36935</v>
      </c>
      <c r="C18" s="33">
        <v>36950</v>
      </c>
      <c r="D18" s="34">
        <v>120</v>
      </c>
      <c r="E18" s="35">
        <f>(D18*E16)*B20</f>
        <v>39600000</v>
      </c>
      <c r="F18" s="36"/>
      <c r="G18" s="1"/>
    </row>
    <row r="19" spans="1:11" ht="15.6" x14ac:dyDescent="0.3">
      <c r="A19" s="1"/>
      <c r="B19" s="1"/>
      <c r="C19" s="1"/>
      <c r="D19" s="1"/>
      <c r="E19" s="1"/>
      <c r="F19" s="1"/>
      <c r="G19" s="1"/>
    </row>
    <row r="20" spans="1:11" ht="15.6" x14ac:dyDescent="0.3">
      <c r="A20" s="37" t="s">
        <v>68</v>
      </c>
      <c r="B20" s="38">
        <f>C18-B18</f>
        <v>15</v>
      </c>
      <c r="C20" s="32"/>
      <c r="D20" s="32"/>
      <c r="E20" s="1"/>
      <c r="F20" s="1"/>
      <c r="G20" s="1"/>
    </row>
    <row r="21" spans="1:11" ht="15.75" customHeight="1" x14ac:dyDescent="0.3">
      <c r="A21" s="37" t="s">
        <v>69</v>
      </c>
      <c r="B21" s="38" t="str">
        <f>INT((C18-B18)/7) &amp; " Tuần"</f>
        <v>2 Tuần</v>
      </c>
      <c r="C21" s="32" t="s">
        <v>70</v>
      </c>
      <c r="D21" s="38" t="str">
        <f>MOD((C18-B18),7) &amp; " Ngày"</f>
        <v>1 Ngày</v>
      </c>
      <c r="E21" s="1"/>
      <c r="F21" s="1"/>
      <c r="G21" s="1"/>
    </row>
    <row r="22" spans="1:11" ht="15.75" customHeight="1" x14ac:dyDescent="0.3">
      <c r="A22" s="1"/>
      <c r="B22" s="1"/>
      <c r="C22" s="1"/>
      <c r="D22" s="1"/>
      <c r="E22" s="1"/>
      <c r="F22" s="1"/>
      <c r="G22" s="1"/>
    </row>
    <row r="23" spans="1:11" ht="15.75" customHeight="1" x14ac:dyDescent="0.3">
      <c r="A23" s="1" t="s">
        <v>71</v>
      </c>
      <c r="B23" s="1"/>
      <c r="C23" s="1"/>
      <c r="D23" s="1"/>
      <c r="E23" s="1"/>
      <c r="F23" s="1"/>
      <c r="G23" s="1"/>
    </row>
    <row r="24" spans="1:11" ht="15.75" customHeight="1" x14ac:dyDescent="0.3">
      <c r="A24" s="1" t="s">
        <v>72</v>
      </c>
      <c r="B24" s="1"/>
      <c r="C24" s="1"/>
      <c r="D24" s="1"/>
      <c r="E24" s="1"/>
      <c r="F24" s="1"/>
      <c r="G24" s="1"/>
    </row>
    <row r="25" spans="1:11" ht="15.75" customHeight="1" x14ac:dyDescent="0.3">
      <c r="A25" s="1" t="s">
        <v>73</v>
      </c>
      <c r="B25" s="1"/>
      <c r="C25" s="1"/>
      <c r="D25" s="1"/>
      <c r="E25" s="1"/>
      <c r="F25" s="1"/>
      <c r="G25" s="1"/>
    </row>
    <row r="26" spans="1:11" ht="15.75" customHeight="1" x14ac:dyDescent="0.3">
      <c r="A26" s="1" t="s">
        <v>74</v>
      </c>
      <c r="B26" s="1"/>
      <c r="C26" s="1"/>
      <c r="D26" s="1"/>
      <c r="E26" s="1"/>
      <c r="F26" s="1"/>
      <c r="G26" s="1"/>
    </row>
    <row r="27" spans="1:11" ht="15.75" customHeight="1" x14ac:dyDescent="0.3">
      <c r="A27" s="1" t="s">
        <v>75</v>
      </c>
    </row>
    <row r="28" spans="1:11" ht="15.75" customHeight="1" x14ac:dyDescent="0.3"/>
    <row r="29" spans="1:11" ht="15.75" customHeight="1" x14ac:dyDescent="0.3"/>
    <row r="30" spans="1:11" ht="15.75" customHeight="1" x14ac:dyDescent="0.3">
      <c r="A30" s="415" t="s">
        <v>76</v>
      </c>
      <c r="B30" s="399"/>
      <c r="C30" s="399"/>
      <c r="D30" s="399"/>
      <c r="E30" s="399"/>
      <c r="F30" s="399"/>
      <c r="G30" s="399"/>
      <c r="H30" s="399"/>
      <c r="I30" s="399"/>
      <c r="J30" s="399"/>
      <c r="K30" s="399"/>
    </row>
    <row r="31" spans="1:11" ht="15.75" customHeight="1" x14ac:dyDescent="0.3">
      <c r="A31" s="39" t="s">
        <v>77</v>
      </c>
      <c r="B31" s="39" t="s">
        <v>78</v>
      </c>
      <c r="C31" s="39" t="s">
        <v>79</v>
      </c>
      <c r="D31" s="39" t="s">
        <v>5</v>
      </c>
      <c r="E31" s="39" t="s">
        <v>80</v>
      </c>
      <c r="F31" s="39" t="s">
        <v>80</v>
      </c>
      <c r="G31" s="39" t="s">
        <v>81</v>
      </c>
      <c r="H31" s="39" t="s">
        <v>82</v>
      </c>
      <c r="I31" s="40" t="s">
        <v>83</v>
      </c>
      <c r="J31" s="40" t="s">
        <v>84</v>
      </c>
      <c r="K31" s="40" t="s">
        <v>85</v>
      </c>
    </row>
    <row r="32" spans="1:11" ht="15.75" customHeight="1" x14ac:dyDescent="0.3">
      <c r="A32" s="37">
        <v>1</v>
      </c>
      <c r="B32" s="37" t="s">
        <v>86</v>
      </c>
      <c r="C32" s="37" t="s">
        <v>87</v>
      </c>
      <c r="D32" s="37" t="s">
        <v>88</v>
      </c>
      <c r="E32" s="41">
        <v>2000</v>
      </c>
      <c r="F32" s="42">
        <v>2000</v>
      </c>
      <c r="G32" s="37">
        <v>9</v>
      </c>
      <c r="H32" s="37">
        <v>9</v>
      </c>
      <c r="I32" s="43">
        <f t="shared" ref="I32:I41" si="7">ROUND((H32*3+G32)/4,1)</f>
        <v>9</v>
      </c>
      <c r="J32" s="43">
        <f t="shared" ref="J32:J41" si="8">ROUND((H32*3+G32)/4,0.5)</f>
        <v>9</v>
      </c>
      <c r="K32" s="43">
        <f t="shared" ref="K32:K41" si="9">RANK(I32,I32:I41,0)</f>
        <v>3</v>
      </c>
    </row>
    <row r="33" spans="1:11" ht="15.75" customHeight="1" x14ac:dyDescent="0.3">
      <c r="A33" s="37">
        <v>2</v>
      </c>
      <c r="B33" s="37" t="s">
        <v>89</v>
      </c>
      <c r="C33" s="37" t="s">
        <v>90</v>
      </c>
      <c r="D33" s="37" t="s">
        <v>91</v>
      </c>
      <c r="E33" s="41">
        <v>2000</v>
      </c>
      <c r="F33" s="42">
        <v>2000</v>
      </c>
      <c r="G33" s="37">
        <v>10</v>
      </c>
      <c r="H33" s="37">
        <v>5</v>
      </c>
      <c r="I33" s="43">
        <f t="shared" si="7"/>
        <v>6.3</v>
      </c>
      <c r="J33" s="43">
        <f t="shared" si="8"/>
        <v>6</v>
      </c>
      <c r="K33" s="43">
        <f t="shared" si="9"/>
        <v>7</v>
      </c>
    </row>
    <row r="34" spans="1:11" ht="15.75" customHeight="1" x14ac:dyDescent="0.3">
      <c r="A34" s="37">
        <v>3</v>
      </c>
      <c r="B34" s="37" t="s">
        <v>92</v>
      </c>
      <c r="C34" s="37" t="s">
        <v>93</v>
      </c>
      <c r="D34" s="37" t="s">
        <v>94</v>
      </c>
      <c r="E34" s="41">
        <v>1999</v>
      </c>
      <c r="F34" s="42">
        <v>1999</v>
      </c>
      <c r="G34" s="37">
        <v>8</v>
      </c>
      <c r="H34" s="37">
        <v>9</v>
      </c>
      <c r="I34" s="43">
        <f t="shared" si="7"/>
        <v>8.8000000000000007</v>
      </c>
      <c r="J34" s="43">
        <f t="shared" si="8"/>
        <v>9</v>
      </c>
      <c r="K34" s="43">
        <f t="shared" si="9"/>
        <v>3</v>
      </c>
    </row>
    <row r="35" spans="1:11" ht="15.75" customHeight="1" x14ac:dyDescent="0.3">
      <c r="A35" s="37">
        <v>4</v>
      </c>
      <c r="B35" s="37" t="s">
        <v>95</v>
      </c>
      <c r="C35" s="37" t="s">
        <v>96</v>
      </c>
      <c r="D35" s="37" t="s">
        <v>94</v>
      </c>
      <c r="E35" s="41">
        <v>2000</v>
      </c>
      <c r="F35" s="42">
        <v>2000</v>
      </c>
      <c r="G35" s="37">
        <v>5</v>
      </c>
      <c r="H35" s="37">
        <v>8</v>
      </c>
      <c r="I35" s="43">
        <f t="shared" si="7"/>
        <v>7.3</v>
      </c>
      <c r="J35" s="43">
        <f t="shared" si="8"/>
        <v>7</v>
      </c>
      <c r="K35" s="43">
        <f t="shared" si="9"/>
        <v>5</v>
      </c>
    </row>
    <row r="36" spans="1:11" ht="15.75" customHeight="1" x14ac:dyDescent="0.3">
      <c r="A36" s="37">
        <v>5</v>
      </c>
      <c r="B36" s="37" t="s">
        <v>97</v>
      </c>
      <c r="C36" s="37" t="s">
        <v>98</v>
      </c>
      <c r="D36" s="37" t="s">
        <v>99</v>
      </c>
      <c r="E36" s="41">
        <v>2001</v>
      </c>
      <c r="F36" s="42">
        <v>2001</v>
      </c>
      <c r="G36" s="37">
        <v>4</v>
      </c>
      <c r="H36" s="37">
        <v>4</v>
      </c>
      <c r="I36" s="43">
        <f t="shared" si="7"/>
        <v>4</v>
      </c>
      <c r="J36" s="43">
        <f t="shared" si="8"/>
        <v>4</v>
      </c>
      <c r="K36" s="43">
        <f t="shared" si="9"/>
        <v>6</v>
      </c>
    </row>
    <row r="37" spans="1:11" ht="15.75" customHeight="1" x14ac:dyDescent="0.3">
      <c r="A37" s="37">
        <v>6</v>
      </c>
      <c r="B37" s="37" t="s">
        <v>100</v>
      </c>
      <c r="C37" s="37" t="s">
        <v>101</v>
      </c>
      <c r="D37" s="37" t="s">
        <v>34</v>
      </c>
      <c r="E37" s="41">
        <v>2001</v>
      </c>
      <c r="F37" s="42">
        <v>2001</v>
      </c>
      <c r="G37" s="37">
        <v>9</v>
      </c>
      <c r="H37" s="37">
        <v>8</v>
      </c>
      <c r="I37" s="43">
        <f t="shared" si="7"/>
        <v>8.3000000000000007</v>
      </c>
      <c r="J37" s="43">
        <f t="shared" si="8"/>
        <v>8</v>
      </c>
      <c r="K37" s="43">
        <f t="shared" si="9"/>
        <v>3</v>
      </c>
    </row>
    <row r="38" spans="1:11" ht="15.75" customHeight="1" x14ac:dyDescent="0.3">
      <c r="A38" s="37">
        <v>7</v>
      </c>
      <c r="B38" s="37" t="s">
        <v>102</v>
      </c>
      <c r="C38" s="37" t="s">
        <v>103</v>
      </c>
      <c r="D38" s="37" t="s">
        <v>104</v>
      </c>
      <c r="E38" s="41">
        <v>1999</v>
      </c>
      <c r="F38" s="42">
        <v>1999</v>
      </c>
      <c r="G38" s="37">
        <v>9</v>
      </c>
      <c r="H38" s="37">
        <v>10</v>
      </c>
      <c r="I38" s="43">
        <f t="shared" si="7"/>
        <v>9.8000000000000007</v>
      </c>
      <c r="J38" s="43">
        <f t="shared" si="8"/>
        <v>10</v>
      </c>
      <c r="K38" s="43">
        <f t="shared" si="9"/>
        <v>1</v>
      </c>
    </row>
    <row r="39" spans="1:11" ht="15.75" customHeight="1" x14ac:dyDescent="0.3">
      <c r="A39" s="37">
        <v>8</v>
      </c>
      <c r="B39" s="37" t="s">
        <v>105</v>
      </c>
      <c r="C39" s="37" t="s">
        <v>106</v>
      </c>
      <c r="D39" s="37" t="s">
        <v>15</v>
      </c>
      <c r="E39" s="41">
        <v>1999</v>
      </c>
      <c r="F39" s="42">
        <v>1999</v>
      </c>
      <c r="G39" s="37">
        <v>5</v>
      </c>
      <c r="H39" s="37">
        <v>9</v>
      </c>
      <c r="I39" s="43">
        <f t="shared" si="7"/>
        <v>8</v>
      </c>
      <c r="J39" s="43">
        <f t="shared" si="8"/>
        <v>8</v>
      </c>
      <c r="K39" s="43">
        <f t="shared" si="9"/>
        <v>2</v>
      </c>
    </row>
    <row r="40" spans="1:11" ht="15.75" customHeight="1" x14ac:dyDescent="0.3">
      <c r="A40" s="37">
        <v>9</v>
      </c>
      <c r="B40" s="37" t="s">
        <v>107</v>
      </c>
      <c r="C40" s="37" t="s">
        <v>108</v>
      </c>
      <c r="D40" s="37" t="s">
        <v>21</v>
      </c>
      <c r="E40" s="41">
        <v>2000</v>
      </c>
      <c r="F40" s="42">
        <v>2000</v>
      </c>
      <c r="G40" s="37">
        <v>8</v>
      </c>
      <c r="H40" s="37">
        <v>4</v>
      </c>
      <c r="I40" s="43">
        <f t="shared" si="7"/>
        <v>5</v>
      </c>
      <c r="J40" s="43">
        <f t="shared" si="8"/>
        <v>5</v>
      </c>
      <c r="K40" s="43">
        <f t="shared" si="9"/>
        <v>2</v>
      </c>
    </row>
    <row r="41" spans="1:11" ht="15.75" customHeight="1" x14ac:dyDescent="0.3">
      <c r="A41" s="37">
        <v>10</v>
      </c>
      <c r="B41" s="37" t="s">
        <v>109</v>
      </c>
      <c r="C41" s="37" t="s">
        <v>110</v>
      </c>
      <c r="D41" s="37" t="s">
        <v>111</v>
      </c>
      <c r="E41" s="41">
        <v>1999</v>
      </c>
      <c r="F41" s="42">
        <v>1999</v>
      </c>
      <c r="G41" s="37">
        <v>10</v>
      </c>
      <c r="H41" s="37">
        <v>9</v>
      </c>
      <c r="I41" s="43">
        <f t="shared" si="7"/>
        <v>9.3000000000000007</v>
      </c>
      <c r="J41" s="43">
        <f t="shared" si="8"/>
        <v>9</v>
      </c>
      <c r="K41" s="43">
        <f t="shared" si="9"/>
        <v>1</v>
      </c>
    </row>
    <row r="42" spans="1:11" ht="15.75" customHeight="1" x14ac:dyDescent="0.3"/>
    <row r="43" spans="1:11" ht="15.75" customHeight="1" x14ac:dyDescent="0.3">
      <c r="A43" s="1" t="s">
        <v>112</v>
      </c>
    </row>
    <row r="44" spans="1:11" ht="15.75" customHeight="1" x14ac:dyDescent="0.3">
      <c r="A44" s="1" t="s">
        <v>113</v>
      </c>
    </row>
    <row r="45" spans="1:11" ht="15.75" customHeight="1" x14ac:dyDescent="0.3">
      <c r="A45" s="1" t="s">
        <v>114</v>
      </c>
    </row>
    <row r="46" spans="1:11" ht="15.75" customHeight="1" x14ac:dyDescent="0.3">
      <c r="A46" s="1" t="s">
        <v>115</v>
      </c>
    </row>
    <row r="47" spans="1:11" ht="15.75" customHeight="1" x14ac:dyDescent="0.3">
      <c r="A47" s="1"/>
    </row>
    <row r="48" spans="1:11" ht="15.75" customHeight="1" x14ac:dyDescent="0.3"/>
    <row r="49" spans="1:12" ht="15.75" customHeight="1" x14ac:dyDescent="0.3">
      <c r="A49" s="1"/>
      <c r="B49" s="1"/>
      <c r="C49" s="1"/>
      <c r="D49" s="1"/>
      <c r="E49" s="1"/>
      <c r="F49" s="1"/>
      <c r="G49" s="1"/>
      <c r="H49" s="1"/>
      <c r="I49" s="1"/>
      <c r="J49" s="1"/>
      <c r="K49" s="1"/>
      <c r="L49" s="1"/>
    </row>
    <row r="50" spans="1:12" ht="15.75" customHeight="1" x14ac:dyDescent="0.3">
      <c r="A50" s="1" t="s">
        <v>116</v>
      </c>
      <c r="B50" s="1"/>
      <c r="C50" s="1"/>
      <c r="D50" s="1"/>
      <c r="E50" s="1"/>
      <c r="F50" s="1"/>
      <c r="G50" s="1"/>
      <c r="H50" s="1"/>
      <c r="I50" s="1"/>
      <c r="J50" s="1"/>
      <c r="K50" s="1"/>
      <c r="L50" s="1"/>
    </row>
    <row r="51" spans="1:12" ht="15.75" customHeight="1" x14ac:dyDescent="0.3">
      <c r="A51" s="1" t="s">
        <v>117</v>
      </c>
      <c r="B51" s="1" t="s">
        <v>118</v>
      </c>
      <c r="C51" s="1"/>
      <c r="D51" s="1"/>
      <c r="E51" s="1"/>
      <c r="F51" s="1"/>
      <c r="G51" s="1"/>
      <c r="H51" s="1"/>
      <c r="I51" s="1"/>
      <c r="J51" s="1"/>
      <c r="K51" s="1"/>
      <c r="L51" s="1"/>
    </row>
    <row r="52" spans="1:12" ht="15.75" customHeight="1" x14ac:dyDescent="0.3">
      <c r="A52" s="1" t="s">
        <v>119</v>
      </c>
      <c r="B52" s="1" t="s">
        <v>120</v>
      </c>
      <c r="C52" s="1"/>
      <c r="D52" s="1"/>
      <c r="E52" s="1"/>
      <c r="F52" s="1"/>
      <c r="G52" s="1"/>
      <c r="H52" s="1"/>
      <c r="I52" s="1"/>
      <c r="J52" s="1"/>
      <c r="K52" s="1"/>
      <c r="L52" s="1"/>
    </row>
    <row r="53" spans="1:12" ht="15.75" customHeight="1" x14ac:dyDescent="0.3">
      <c r="A53" s="44" t="s">
        <v>121</v>
      </c>
      <c r="B53" s="44" t="s">
        <v>122</v>
      </c>
      <c r="C53" s="44" t="s">
        <v>123</v>
      </c>
      <c r="D53" s="44" t="s">
        <v>124</v>
      </c>
      <c r="E53" s="44" t="s">
        <v>125</v>
      </c>
      <c r="F53" s="44" t="s">
        <v>126</v>
      </c>
      <c r="G53" s="44" t="s">
        <v>127</v>
      </c>
      <c r="H53" s="44" t="s">
        <v>128</v>
      </c>
      <c r="I53" s="44" t="s">
        <v>129</v>
      </c>
      <c r="J53" s="44" t="s">
        <v>130</v>
      </c>
      <c r="L53" s="1"/>
    </row>
    <row r="54" spans="1:12" ht="15.75" customHeight="1" x14ac:dyDescent="0.3">
      <c r="A54" s="32" t="s">
        <v>131</v>
      </c>
      <c r="B54" s="32">
        <v>3</v>
      </c>
      <c r="C54" s="32">
        <v>9</v>
      </c>
      <c r="D54" s="32">
        <v>7</v>
      </c>
      <c r="E54" s="32">
        <v>8</v>
      </c>
      <c r="F54" s="32">
        <v>5</v>
      </c>
      <c r="G54" s="32">
        <v>4</v>
      </c>
      <c r="H54" s="32">
        <v>6</v>
      </c>
      <c r="I54" s="32">
        <v>7</v>
      </c>
      <c r="J54" s="32">
        <v>8</v>
      </c>
      <c r="L54" s="1"/>
    </row>
    <row r="55" spans="1:12" ht="15.75" customHeight="1" x14ac:dyDescent="0.3">
      <c r="A55" s="1"/>
      <c r="B55" s="1"/>
      <c r="C55" s="1"/>
      <c r="D55" s="1"/>
      <c r="E55" s="1"/>
      <c r="F55" s="1"/>
      <c r="G55" s="1"/>
      <c r="H55" s="1"/>
      <c r="I55" s="1"/>
      <c r="J55" s="1"/>
      <c r="K55" s="1"/>
      <c r="L55" s="1"/>
    </row>
    <row r="56" spans="1:12" ht="15.75" customHeight="1" x14ac:dyDescent="0.3">
      <c r="A56" s="37" t="s">
        <v>132</v>
      </c>
      <c r="B56" s="45">
        <f>AVERAGE(B54:J54)</f>
        <v>6.333333333333333</v>
      </c>
      <c r="C56" s="1"/>
      <c r="D56" s="1"/>
      <c r="E56" s="1"/>
      <c r="F56" s="1"/>
      <c r="G56" s="1"/>
      <c r="H56" s="1"/>
      <c r="I56" s="1"/>
      <c r="J56" s="1"/>
      <c r="K56" s="1"/>
      <c r="L56" s="1"/>
    </row>
    <row r="57" spans="1:12" ht="15.75" customHeight="1" x14ac:dyDescent="0.3">
      <c r="A57" s="37" t="s">
        <v>133</v>
      </c>
      <c r="B57" s="45">
        <f>MAX(B54:J54)</f>
        <v>9</v>
      </c>
      <c r="C57" s="1"/>
      <c r="D57" s="1"/>
      <c r="E57" s="1"/>
      <c r="F57" s="1"/>
      <c r="G57" s="1"/>
      <c r="H57" s="1"/>
      <c r="I57" s="1"/>
      <c r="J57" s="1"/>
      <c r="K57" s="1"/>
      <c r="L57" s="1"/>
    </row>
    <row r="58" spans="1:12" ht="15.75" customHeight="1" x14ac:dyDescent="0.3">
      <c r="A58" s="37" t="s">
        <v>134</v>
      </c>
      <c r="B58" s="45">
        <f>MIN(B54:J54)</f>
        <v>3</v>
      </c>
      <c r="C58" s="1"/>
      <c r="D58" s="1"/>
      <c r="E58" s="1"/>
      <c r="F58" s="1"/>
      <c r="G58" s="1"/>
      <c r="H58" s="1"/>
      <c r="I58" s="1"/>
      <c r="J58" s="1"/>
      <c r="K58" s="1"/>
      <c r="L58" s="1"/>
    </row>
    <row r="59" spans="1:12" ht="15.75" customHeight="1" x14ac:dyDescent="0.3">
      <c r="A59" s="37" t="s">
        <v>135</v>
      </c>
      <c r="B59" s="45">
        <f>COUNTA(B53:J53)</f>
        <v>9</v>
      </c>
      <c r="C59" s="1"/>
      <c r="D59" s="1"/>
      <c r="E59" s="1"/>
      <c r="F59" s="1"/>
      <c r="G59" s="1"/>
      <c r="H59" s="1"/>
      <c r="I59" s="1"/>
      <c r="J59" s="1"/>
      <c r="K59" s="1"/>
      <c r="L59" s="1"/>
    </row>
    <row r="60" spans="1:12" ht="15.75" customHeight="1" x14ac:dyDescent="0.3">
      <c r="A60" s="37" t="s">
        <v>136</v>
      </c>
      <c r="B60" s="45">
        <f>SUM(B54:J54)</f>
        <v>57</v>
      </c>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t="s">
        <v>137</v>
      </c>
      <c r="B64" s="1"/>
      <c r="C64" s="1"/>
      <c r="D64" s="1"/>
      <c r="E64" s="1"/>
      <c r="F64" s="1"/>
      <c r="G64" s="1"/>
      <c r="H64" s="1"/>
      <c r="I64" s="1"/>
      <c r="J64" s="1"/>
      <c r="K64" s="1"/>
      <c r="L64" s="1"/>
    </row>
    <row r="65" spans="1:12" ht="15.75" customHeight="1" x14ac:dyDescent="0.3">
      <c r="A65" s="46">
        <v>14</v>
      </c>
      <c r="B65" s="46">
        <v>28</v>
      </c>
      <c r="C65" s="46">
        <v>36</v>
      </c>
      <c r="D65" s="46" t="s">
        <v>138</v>
      </c>
      <c r="E65" s="46">
        <v>2</v>
      </c>
      <c r="F65" s="47"/>
      <c r="G65" s="1"/>
      <c r="H65" s="1"/>
      <c r="I65" s="1"/>
      <c r="J65" s="1"/>
      <c r="K65" s="1"/>
      <c r="L65" s="1"/>
    </row>
    <row r="66" spans="1:12" ht="15.75" customHeight="1" x14ac:dyDescent="0.3">
      <c r="A66" s="46" t="s">
        <v>139</v>
      </c>
      <c r="B66" s="46"/>
      <c r="C66" s="46">
        <v>43</v>
      </c>
      <c r="D66" s="46">
        <v>57</v>
      </c>
      <c r="E66" s="46">
        <v>85</v>
      </c>
      <c r="F66" s="47"/>
      <c r="G66" s="1"/>
      <c r="H66" s="1"/>
      <c r="I66" s="1"/>
      <c r="J66" s="1"/>
      <c r="K66" s="1"/>
      <c r="L66" s="1"/>
    </row>
    <row r="67" spans="1:12" ht="15.75" customHeight="1" x14ac:dyDescent="0.3">
      <c r="A67" s="46">
        <v>19</v>
      </c>
      <c r="B67" s="46">
        <v>35</v>
      </c>
      <c r="C67" s="46" t="s">
        <v>140</v>
      </c>
      <c r="D67" s="46" t="s">
        <v>141</v>
      </c>
      <c r="E67" s="46">
        <v>13</v>
      </c>
      <c r="F67" s="47"/>
      <c r="G67" s="1"/>
      <c r="H67" s="1"/>
      <c r="I67" s="1"/>
      <c r="J67" s="1"/>
      <c r="K67" s="1"/>
      <c r="L67" s="1"/>
    </row>
    <row r="68" spans="1:12" ht="15.75" customHeight="1" x14ac:dyDescent="0.3">
      <c r="A68" s="46">
        <v>23</v>
      </c>
      <c r="B68" s="46">
        <v>56</v>
      </c>
      <c r="C68" s="46">
        <v>14</v>
      </c>
      <c r="D68" s="46">
        <v>10</v>
      </c>
      <c r="E68" s="46" t="s">
        <v>142</v>
      </c>
      <c r="F68" s="47"/>
      <c r="G68" s="1"/>
      <c r="H68" s="1"/>
      <c r="I68" s="1"/>
      <c r="J68" s="1"/>
      <c r="K68" s="1"/>
      <c r="L68" s="1"/>
    </row>
    <row r="69" spans="1:12" ht="15.75" customHeight="1" x14ac:dyDescent="0.3">
      <c r="A69" s="46" t="s">
        <v>143</v>
      </c>
      <c r="B69" s="46">
        <v>49</v>
      </c>
      <c r="C69" s="46">
        <v>28</v>
      </c>
      <c r="D69" s="46">
        <v>53</v>
      </c>
      <c r="E69" s="46"/>
      <c r="F69" s="47"/>
      <c r="G69" s="1"/>
      <c r="H69" s="1"/>
      <c r="I69" s="1"/>
      <c r="J69" s="1"/>
      <c r="K69" s="1"/>
      <c r="L69" s="1"/>
    </row>
    <row r="70" spans="1:12" ht="15.75" customHeight="1" x14ac:dyDescent="0.3">
      <c r="A70" s="46">
        <v>65</v>
      </c>
      <c r="B70" s="46">
        <v>8</v>
      </c>
      <c r="C70" s="46" t="s">
        <v>144</v>
      </c>
      <c r="D70" s="46">
        <v>52</v>
      </c>
      <c r="E70" s="46">
        <v>24</v>
      </c>
      <c r="F70" s="47"/>
      <c r="G70" s="1"/>
      <c r="H70" s="1"/>
      <c r="I70" s="1"/>
      <c r="J70" s="1"/>
      <c r="K70" s="1"/>
      <c r="L70" s="1"/>
    </row>
    <row r="71" spans="1:12" ht="15.75" customHeight="1" x14ac:dyDescent="0.3">
      <c r="A71" s="46">
        <v>66</v>
      </c>
      <c r="B71" s="46"/>
      <c r="C71" s="46">
        <v>51</v>
      </c>
      <c r="D71" s="46">
        <v>38</v>
      </c>
      <c r="E71" s="46" t="s">
        <v>145</v>
      </c>
      <c r="F71" s="47"/>
      <c r="G71" s="1"/>
      <c r="H71" s="1"/>
      <c r="I71" s="1"/>
      <c r="J71" s="1"/>
      <c r="K71" s="1"/>
      <c r="L71" s="1"/>
    </row>
    <row r="72" spans="1:12" ht="15.75" customHeight="1" x14ac:dyDescent="0.3">
      <c r="A72" s="46"/>
      <c r="B72" s="46"/>
      <c r="C72" s="46"/>
      <c r="D72" s="46"/>
      <c r="E72" s="46"/>
      <c r="F72" s="47"/>
      <c r="G72" s="1"/>
      <c r="H72" s="1"/>
      <c r="I72" s="1"/>
      <c r="J72" s="1"/>
      <c r="K72" s="1"/>
      <c r="L72" s="1"/>
    </row>
    <row r="73" spans="1:12" ht="15.75" customHeight="1" x14ac:dyDescent="0.3">
      <c r="A73" s="1"/>
      <c r="B73" s="1"/>
      <c r="C73" s="1"/>
      <c r="D73" s="1"/>
      <c r="E73" s="1"/>
      <c r="F73" s="1"/>
      <c r="G73" s="37" t="s">
        <v>146</v>
      </c>
      <c r="H73" s="45">
        <f>MAX(A65:E72)</f>
        <v>85</v>
      </c>
      <c r="I73" s="1"/>
      <c r="J73" s="1"/>
      <c r="K73" s="1"/>
      <c r="L73" s="1"/>
    </row>
    <row r="74" spans="1:12" ht="15.75" customHeight="1" x14ac:dyDescent="0.3">
      <c r="A74" s="1"/>
      <c r="B74" s="1"/>
      <c r="C74" s="1"/>
      <c r="D74" s="1"/>
      <c r="E74" s="1"/>
      <c r="F74" s="1"/>
      <c r="G74" s="37" t="s">
        <v>147</v>
      </c>
      <c r="H74" s="45">
        <f>MIN(A65:E72)</f>
        <v>2</v>
      </c>
      <c r="I74" s="1"/>
      <c r="J74" s="1"/>
      <c r="K74" s="1"/>
      <c r="L74" s="1"/>
    </row>
    <row r="75" spans="1:12" ht="15.75" customHeight="1" x14ac:dyDescent="0.3">
      <c r="A75" s="1"/>
      <c r="B75" s="1"/>
      <c r="C75" s="1"/>
      <c r="D75" s="1"/>
      <c r="E75" s="1"/>
      <c r="F75" s="1"/>
      <c r="G75" s="37" t="s">
        <v>148</v>
      </c>
      <c r="H75" s="45">
        <f>AVERAGE(A65:E72)</f>
        <v>36.208333333333336</v>
      </c>
      <c r="I75" s="1"/>
      <c r="J75" s="1"/>
      <c r="K75" s="1"/>
      <c r="L75" s="1"/>
    </row>
    <row r="76" spans="1:12" ht="15.75" customHeight="1" x14ac:dyDescent="0.3">
      <c r="A76" s="1"/>
      <c r="B76" s="1"/>
      <c r="C76" s="1"/>
      <c r="D76" s="1"/>
      <c r="E76" s="1"/>
      <c r="F76" s="1"/>
      <c r="G76" s="37" t="s">
        <v>149</v>
      </c>
      <c r="H76" s="45">
        <f>SUM(A65:E72)</f>
        <v>869</v>
      </c>
      <c r="I76" s="1"/>
      <c r="J76" s="1"/>
      <c r="K76" s="1"/>
      <c r="L76" s="1"/>
    </row>
    <row r="77" spans="1:12" ht="15.75" customHeight="1" x14ac:dyDescent="0.3">
      <c r="A77" s="1"/>
      <c r="B77" s="1"/>
      <c r="C77" s="1"/>
      <c r="D77" s="1"/>
      <c r="E77" s="1"/>
      <c r="F77" s="1"/>
      <c r="G77" s="37" t="s">
        <v>150</v>
      </c>
      <c r="H77" s="45">
        <f>COUNT(A65:E72)</f>
        <v>24</v>
      </c>
      <c r="I77" s="1"/>
      <c r="J77" s="1"/>
      <c r="K77" s="1"/>
      <c r="L77" s="1"/>
    </row>
    <row r="78" spans="1:12" ht="15.75" customHeight="1" x14ac:dyDescent="0.3">
      <c r="A78" s="1"/>
      <c r="B78" s="1"/>
      <c r="C78" s="1"/>
      <c r="D78" s="1"/>
      <c r="E78" s="1"/>
      <c r="F78" s="1"/>
      <c r="G78" s="37" t="s">
        <v>151</v>
      </c>
      <c r="H78" s="45">
        <f>COUNTBLANK(A65:E72)</f>
        <v>8</v>
      </c>
      <c r="I78" s="1"/>
      <c r="J78" s="1"/>
      <c r="K78" s="1"/>
      <c r="L78" s="1"/>
    </row>
    <row r="79" spans="1:12" ht="15.75" customHeight="1" x14ac:dyDescent="0.3">
      <c r="A79" s="1"/>
      <c r="B79" s="1"/>
      <c r="C79" s="1"/>
      <c r="D79" s="1"/>
      <c r="E79" s="1"/>
      <c r="F79" s="1"/>
      <c r="G79" s="37" t="s">
        <v>152</v>
      </c>
      <c r="H79" s="45">
        <f>COUNTA(A65:E72)-COUNT(A65:E72)</f>
        <v>8</v>
      </c>
      <c r="I79" s="1"/>
      <c r="J79" s="1"/>
      <c r="K79" s="1"/>
      <c r="L79" s="1"/>
    </row>
    <row r="80" spans="1:12" ht="15.75" customHeight="1" x14ac:dyDescent="0.3">
      <c r="A80" s="1"/>
      <c r="B80" s="1"/>
      <c r="C80" s="1"/>
      <c r="D80" s="1"/>
      <c r="E80" s="1"/>
      <c r="F80" s="1"/>
      <c r="G80" s="37" t="s">
        <v>153</v>
      </c>
      <c r="H80" s="45">
        <f>COUNTIF(A65:E72,"&gt;50")</f>
        <v>8</v>
      </c>
      <c r="I80" s="1"/>
      <c r="J80" s="1"/>
      <c r="K80" s="1"/>
      <c r="L80" s="1"/>
    </row>
    <row r="81" spans="1:12" ht="15.75" customHeight="1" x14ac:dyDescent="0.3">
      <c r="A81" s="1"/>
      <c r="B81" s="1"/>
      <c r="C81" s="1"/>
      <c r="D81" s="1"/>
      <c r="E81" s="1"/>
      <c r="F81" s="1"/>
      <c r="G81" s="37" t="s">
        <v>154</v>
      </c>
      <c r="H81" s="45">
        <f>COUNTIF(A65:E72,"com*")</f>
        <v>3</v>
      </c>
      <c r="I81" s="1"/>
      <c r="J81" s="1"/>
      <c r="K81" s="1"/>
      <c r="L81" s="1"/>
    </row>
    <row r="82" spans="1:12" ht="15.75" customHeight="1" x14ac:dyDescent="0.3">
      <c r="A82" s="1"/>
      <c r="B82" s="1"/>
      <c r="C82" s="1"/>
      <c r="D82" s="1"/>
      <c r="E82" s="1"/>
      <c r="F82" s="1"/>
      <c r="G82" s="37" t="s">
        <v>155</v>
      </c>
      <c r="H82" s="45">
        <f>SUMIF(A65:E72,"&gt;=50")</f>
        <v>485</v>
      </c>
      <c r="I82" s="1"/>
      <c r="J82" s="1"/>
      <c r="K82" s="1"/>
      <c r="L82" s="1"/>
    </row>
    <row r="83" spans="1:12" ht="15.75" customHeight="1" x14ac:dyDescent="0.3">
      <c r="A83" s="1" t="s">
        <v>156</v>
      </c>
      <c r="B83" s="1"/>
      <c r="C83" s="1"/>
      <c r="D83" s="1"/>
      <c r="E83" s="1"/>
      <c r="F83" s="1"/>
      <c r="G83" s="1"/>
      <c r="H83" s="1"/>
      <c r="I83" s="1"/>
      <c r="J83" s="1"/>
      <c r="K83" s="1"/>
      <c r="L83" s="1"/>
    </row>
    <row r="84" spans="1:12" ht="15.75" customHeight="1" x14ac:dyDescent="0.3"/>
    <row r="85" spans="1:12" ht="15.75" customHeight="1" x14ac:dyDescent="0.3"/>
    <row r="86" spans="1:12" ht="15.75" customHeight="1" x14ac:dyDescent="0.3">
      <c r="A86" s="408" t="s">
        <v>157</v>
      </c>
      <c r="B86" s="389"/>
      <c r="C86" s="390"/>
    </row>
    <row r="87" spans="1:12" ht="15.75" customHeight="1" x14ac:dyDescent="0.3">
      <c r="A87" s="48" t="s">
        <v>158</v>
      </c>
      <c r="B87" s="48" t="s">
        <v>159</v>
      </c>
      <c r="C87" s="48" t="s">
        <v>131</v>
      </c>
    </row>
    <row r="88" spans="1:12" ht="15.75" customHeight="1" x14ac:dyDescent="0.3">
      <c r="A88" s="49" t="s">
        <v>160</v>
      </c>
      <c r="B88" s="32" t="s">
        <v>34</v>
      </c>
      <c r="C88" s="32">
        <v>8</v>
      </c>
    </row>
    <row r="89" spans="1:12" ht="15.75" customHeight="1" x14ac:dyDescent="0.3">
      <c r="A89" s="49" t="s">
        <v>161</v>
      </c>
      <c r="B89" s="32" t="s">
        <v>162</v>
      </c>
      <c r="C89" s="32" t="s">
        <v>163</v>
      </c>
    </row>
    <row r="90" spans="1:12" ht="15.75" customHeight="1" x14ac:dyDescent="0.3">
      <c r="A90" s="49" t="s">
        <v>164</v>
      </c>
      <c r="B90" s="32" t="s">
        <v>162</v>
      </c>
      <c r="C90" s="32"/>
    </row>
    <row r="91" spans="1:12" ht="15.75" customHeight="1" x14ac:dyDescent="0.3">
      <c r="A91" s="49" t="s">
        <v>165</v>
      </c>
      <c r="B91" s="32" t="s">
        <v>34</v>
      </c>
      <c r="C91" s="32">
        <v>9</v>
      </c>
    </row>
    <row r="92" spans="1:12" ht="15.75" customHeight="1" x14ac:dyDescent="0.3">
      <c r="A92" s="49" t="s">
        <v>166</v>
      </c>
      <c r="B92" s="32" t="s">
        <v>162</v>
      </c>
      <c r="C92" s="32" t="s">
        <v>163</v>
      </c>
    </row>
    <row r="93" spans="1:12" ht="15.75" customHeight="1" x14ac:dyDescent="0.3">
      <c r="A93" s="49" t="s">
        <v>167</v>
      </c>
      <c r="B93" s="32" t="s">
        <v>34</v>
      </c>
      <c r="C93" s="32" t="s">
        <v>163</v>
      </c>
    </row>
    <row r="94" spans="1:12" ht="15.75" customHeight="1" x14ac:dyDescent="0.3">
      <c r="A94" s="49" t="s">
        <v>168</v>
      </c>
      <c r="B94" s="32" t="s">
        <v>34</v>
      </c>
      <c r="C94" s="32">
        <v>7</v>
      </c>
    </row>
    <row r="95" spans="1:12" ht="15.75" customHeight="1" x14ac:dyDescent="0.3">
      <c r="A95" s="409" t="s">
        <v>169</v>
      </c>
      <c r="B95" s="390"/>
      <c r="C95" s="50">
        <f>COUNT(C88:C94)</f>
        <v>3</v>
      </c>
    </row>
    <row r="96" spans="1:12" ht="15.75" customHeight="1" x14ac:dyDescent="0.3">
      <c r="A96" s="1"/>
      <c r="B96" s="1"/>
      <c r="C96" s="1"/>
      <c r="E96" s="51" t="s">
        <v>170</v>
      </c>
    </row>
    <row r="97" spans="1:4" ht="15.75" customHeight="1" x14ac:dyDescent="0.3">
      <c r="A97" s="1" t="s">
        <v>171</v>
      </c>
      <c r="B97" s="1"/>
      <c r="C97" s="1"/>
    </row>
    <row r="98" spans="1:4" ht="15.75" customHeight="1" x14ac:dyDescent="0.3">
      <c r="A98" s="1" t="s">
        <v>172</v>
      </c>
      <c r="B98" s="1"/>
      <c r="C98" s="1"/>
    </row>
    <row r="99" spans="1:4" ht="15.75" customHeight="1" x14ac:dyDescent="0.3">
      <c r="A99" s="1" t="s">
        <v>173</v>
      </c>
      <c r="B99" s="1"/>
      <c r="C99" s="1">
        <f>COUNTBLANK(C88:C95)</f>
        <v>1</v>
      </c>
    </row>
    <row r="100" spans="1:4" ht="15.75" customHeight="1" x14ac:dyDescent="0.3">
      <c r="A100" s="1" t="s">
        <v>174</v>
      </c>
      <c r="B100" s="1"/>
      <c r="C100" s="1">
        <f>COUNTA(C88:C94)</f>
        <v>6</v>
      </c>
    </row>
    <row r="101" spans="1:4" ht="15.75" customHeight="1" x14ac:dyDescent="0.3">
      <c r="A101" s="1" t="s">
        <v>175</v>
      </c>
      <c r="B101" s="1"/>
      <c r="C101" s="1">
        <f>COUNTIF(B88:B94,"Nam")</f>
        <v>4</v>
      </c>
    </row>
    <row r="102" spans="1:4" ht="15.75" customHeight="1" x14ac:dyDescent="0.3"/>
    <row r="103" spans="1:4" ht="15.75" customHeight="1" x14ac:dyDescent="0.3"/>
    <row r="104" spans="1:4" ht="15.75" customHeight="1" x14ac:dyDescent="0.3">
      <c r="A104" s="401" t="s">
        <v>176</v>
      </c>
      <c r="B104" s="402"/>
      <c r="C104" s="402"/>
      <c r="D104" s="403"/>
    </row>
    <row r="105" spans="1:4" ht="15.75" customHeight="1" x14ac:dyDescent="0.3">
      <c r="A105" s="52" t="s">
        <v>177</v>
      </c>
      <c r="B105" s="52" t="s">
        <v>178</v>
      </c>
      <c r="C105" s="52" t="s">
        <v>179</v>
      </c>
      <c r="D105" s="52" t="s">
        <v>159</v>
      </c>
    </row>
    <row r="106" spans="1:4" ht="15.75" customHeight="1" x14ac:dyDescent="0.3">
      <c r="A106" s="53">
        <v>1</v>
      </c>
      <c r="B106" s="53" t="s">
        <v>180</v>
      </c>
      <c r="C106" s="53" t="s">
        <v>160</v>
      </c>
      <c r="D106" s="49" t="s">
        <v>34</v>
      </c>
    </row>
    <row r="107" spans="1:4" ht="15.75" customHeight="1" x14ac:dyDescent="0.3">
      <c r="A107" s="53">
        <v>2</v>
      </c>
      <c r="B107" s="53" t="s">
        <v>181</v>
      </c>
      <c r="C107" s="53" t="s">
        <v>161</v>
      </c>
      <c r="D107" s="49" t="s">
        <v>162</v>
      </c>
    </row>
    <row r="108" spans="1:4" ht="15.75" customHeight="1" x14ac:dyDescent="0.3">
      <c r="A108" s="53">
        <v>3</v>
      </c>
      <c r="B108" s="53" t="s">
        <v>182</v>
      </c>
      <c r="C108" s="53" t="s">
        <v>164</v>
      </c>
      <c r="D108" s="49" t="s">
        <v>162</v>
      </c>
    </row>
    <row r="109" spans="1:4" ht="15.75" customHeight="1" x14ac:dyDescent="0.3">
      <c r="A109" s="53">
        <v>4</v>
      </c>
      <c r="B109" s="53" t="s">
        <v>183</v>
      </c>
      <c r="C109" s="53" t="s">
        <v>184</v>
      </c>
      <c r="D109" s="49" t="s">
        <v>34</v>
      </c>
    </row>
    <row r="110" spans="1:4" ht="15.75" customHeight="1" x14ac:dyDescent="0.3">
      <c r="A110" s="53">
        <v>5</v>
      </c>
      <c r="B110" s="53" t="s">
        <v>185</v>
      </c>
      <c r="C110" s="53" t="s">
        <v>186</v>
      </c>
      <c r="D110" s="49" t="s">
        <v>162</v>
      </c>
    </row>
    <row r="111" spans="1:4" ht="15.75" customHeight="1" x14ac:dyDescent="0.3">
      <c r="A111" s="53">
        <v>6</v>
      </c>
      <c r="B111" s="53" t="s">
        <v>187</v>
      </c>
      <c r="C111" s="53" t="s">
        <v>188</v>
      </c>
      <c r="D111" s="49" t="s">
        <v>162</v>
      </c>
    </row>
    <row r="112" spans="1:4" ht="15.75" customHeight="1" x14ac:dyDescent="0.3">
      <c r="A112" s="53">
        <v>7</v>
      </c>
      <c r="B112" s="53" t="s">
        <v>189</v>
      </c>
      <c r="C112" s="53" t="s">
        <v>190</v>
      </c>
      <c r="D112" s="49" t="s">
        <v>34</v>
      </c>
    </row>
    <row r="113" spans="1:8" ht="15.75" customHeight="1" x14ac:dyDescent="0.3">
      <c r="A113" s="53">
        <v>8</v>
      </c>
      <c r="B113" s="53" t="s">
        <v>191</v>
      </c>
      <c r="C113" s="53" t="s">
        <v>192</v>
      </c>
      <c r="D113" s="49" t="s">
        <v>162</v>
      </c>
    </row>
    <row r="114" spans="1:8" ht="15.75" customHeight="1" x14ac:dyDescent="0.3">
      <c r="A114" s="53">
        <v>9</v>
      </c>
      <c r="B114" s="53" t="s">
        <v>193</v>
      </c>
      <c r="C114" s="53" t="s">
        <v>194</v>
      </c>
      <c r="D114" s="49" t="s">
        <v>162</v>
      </c>
    </row>
    <row r="115" spans="1:8" ht="15.75" customHeight="1" x14ac:dyDescent="0.3">
      <c r="A115" s="53">
        <v>10</v>
      </c>
      <c r="B115" s="53" t="s">
        <v>195</v>
      </c>
      <c r="C115" s="53" t="s">
        <v>196</v>
      </c>
      <c r="D115" s="49" t="s">
        <v>34</v>
      </c>
    </row>
    <row r="116" spans="1:8" ht="15.75" customHeight="1" x14ac:dyDescent="0.3">
      <c r="A116" s="1"/>
      <c r="B116" s="1"/>
      <c r="C116" s="1" t="s">
        <v>197</v>
      </c>
      <c r="D116" s="1"/>
      <c r="G116" s="54">
        <f>COUNTIF(D106:D115,"Nam")</f>
        <v>4</v>
      </c>
    </row>
    <row r="117" spans="1:8" ht="15.75" customHeight="1" x14ac:dyDescent="0.3">
      <c r="A117" s="1"/>
      <c r="B117" s="1"/>
      <c r="C117" s="1" t="s">
        <v>198</v>
      </c>
      <c r="D117" s="1"/>
      <c r="G117" s="54">
        <f>COUNTIF(D106:D115,"Nữ")</f>
        <v>6</v>
      </c>
    </row>
    <row r="118" spans="1:8" ht="15.75" customHeight="1" x14ac:dyDescent="0.3">
      <c r="A118" s="1"/>
      <c r="B118" s="1"/>
      <c r="C118" s="1" t="s">
        <v>199</v>
      </c>
      <c r="D118" s="1"/>
      <c r="G118" s="54">
        <f>COUNTIF(C106:C115,"Trần*")</f>
        <v>4</v>
      </c>
    </row>
    <row r="119" spans="1:8" ht="15.75" customHeight="1" x14ac:dyDescent="0.3">
      <c r="A119" s="1"/>
      <c r="B119" s="1"/>
      <c r="C119" s="1" t="s">
        <v>200</v>
      </c>
      <c r="D119" s="1"/>
      <c r="G119" s="54">
        <f>COUNTIF(C106:C115,"*Thị*")</f>
        <v>2</v>
      </c>
    </row>
    <row r="120" spans="1:8" ht="15.75" customHeight="1" x14ac:dyDescent="0.3">
      <c r="A120" s="1"/>
      <c r="B120" s="1"/>
      <c r="C120" s="1" t="s">
        <v>201</v>
      </c>
      <c r="D120" s="1"/>
      <c r="G120" s="54">
        <f>COUNTIF(B106:B115,"*1")</f>
        <v>3</v>
      </c>
    </row>
    <row r="121" spans="1:8" ht="15.75" customHeight="1" x14ac:dyDescent="0.3"/>
    <row r="122" spans="1:8" ht="15.75" customHeight="1" x14ac:dyDescent="0.3">
      <c r="A122" s="404" t="s">
        <v>202</v>
      </c>
      <c r="B122" s="389"/>
      <c r="C122" s="389"/>
      <c r="D122" s="389"/>
      <c r="E122" s="389"/>
      <c r="F122" s="389"/>
      <c r="G122" s="389"/>
      <c r="H122" s="390"/>
    </row>
    <row r="123" spans="1:8" ht="15.75" customHeight="1" x14ac:dyDescent="0.3">
      <c r="A123" s="52" t="s">
        <v>177</v>
      </c>
      <c r="B123" s="52" t="s">
        <v>179</v>
      </c>
      <c r="C123" s="52" t="s">
        <v>178</v>
      </c>
      <c r="D123" s="52" t="s">
        <v>159</v>
      </c>
      <c r="E123" s="52" t="s">
        <v>203</v>
      </c>
      <c r="F123" s="52" t="s">
        <v>204</v>
      </c>
      <c r="G123" s="52" t="s">
        <v>205</v>
      </c>
    </row>
    <row r="124" spans="1:8" ht="15.75" customHeight="1" x14ac:dyDescent="0.3">
      <c r="A124" s="53">
        <v>1</v>
      </c>
      <c r="B124" s="53" t="s">
        <v>206</v>
      </c>
      <c r="C124" s="53" t="s">
        <v>180</v>
      </c>
      <c r="D124" s="37" t="s">
        <v>34</v>
      </c>
      <c r="E124" s="49" t="s">
        <v>207</v>
      </c>
      <c r="F124" s="55">
        <v>550000</v>
      </c>
      <c r="G124" s="56">
        <f t="shared" ref="G124:G133" si="10">ROUND(F124*5.25,-3)</f>
        <v>2888000</v>
      </c>
    </row>
    <row r="125" spans="1:8" ht="15.75" customHeight="1" x14ac:dyDescent="0.3">
      <c r="A125" s="53">
        <v>2</v>
      </c>
      <c r="B125" s="53" t="s">
        <v>208</v>
      </c>
      <c r="C125" s="53" t="s">
        <v>181</v>
      </c>
      <c r="D125" s="37" t="s">
        <v>162</v>
      </c>
      <c r="E125" s="49" t="s">
        <v>209</v>
      </c>
      <c r="F125" s="55">
        <v>450000</v>
      </c>
      <c r="G125" s="56">
        <f t="shared" si="10"/>
        <v>2363000</v>
      </c>
    </row>
    <row r="126" spans="1:8" ht="15.75" customHeight="1" x14ac:dyDescent="0.3">
      <c r="A126" s="53">
        <v>3</v>
      </c>
      <c r="B126" s="53" t="s">
        <v>210</v>
      </c>
      <c r="C126" s="53" t="s">
        <v>182</v>
      </c>
      <c r="D126" s="37" t="s">
        <v>162</v>
      </c>
      <c r="E126" s="49" t="s">
        <v>211</v>
      </c>
      <c r="F126" s="55">
        <v>430000</v>
      </c>
      <c r="G126" s="56">
        <f t="shared" si="10"/>
        <v>2258000</v>
      </c>
    </row>
    <row r="127" spans="1:8" ht="15.75" customHeight="1" x14ac:dyDescent="0.3">
      <c r="A127" s="53">
        <v>4</v>
      </c>
      <c r="B127" s="53" t="s">
        <v>212</v>
      </c>
      <c r="C127" s="53" t="s">
        <v>183</v>
      </c>
      <c r="D127" s="37" t="s">
        <v>34</v>
      </c>
      <c r="E127" s="49" t="s">
        <v>207</v>
      </c>
      <c r="F127" s="55">
        <v>300000</v>
      </c>
      <c r="G127" s="56">
        <f t="shared" si="10"/>
        <v>1575000</v>
      </c>
    </row>
    <row r="128" spans="1:8" ht="15.75" customHeight="1" x14ac:dyDescent="0.3">
      <c r="A128" s="53">
        <v>5</v>
      </c>
      <c r="B128" s="53" t="s">
        <v>186</v>
      </c>
      <c r="C128" s="53" t="s">
        <v>185</v>
      </c>
      <c r="D128" s="37" t="s">
        <v>162</v>
      </c>
      <c r="E128" s="49" t="s">
        <v>209</v>
      </c>
      <c r="F128" s="55">
        <v>450000</v>
      </c>
      <c r="G128" s="56">
        <f t="shared" si="10"/>
        <v>2363000</v>
      </c>
    </row>
    <row r="129" spans="1:8" ht="15.75" customHeight="1" x14ac:dyDescent="0.3">
      <c r="A129" s="53">
        <v>6</v>
      </c>
      <c r="B129" s="53" t="s">
        <v>213</v>
      </c>
      <c r="C129" s="53" t="s">
        <v>187</v>
      </c>
      <c r="D129" s="37" t="s">
        <v>162</v>
      </c>
      <c r="E129" s="49" t="s">
        <v>211</v>
      </c>
      <c r="F129" s="55">
        <v>350000</v>
      </c>
      <c r="G129" s="56">
        <f t="shared" si="10"/>
        <v>1838000</v>
      </c>
    </row>
    <row r="130" spans="1:8" ht="15.75" customHeight="1" x14ac:dyDescent="0.3">
      <c r="A130" s="53">
        <v>7</v>
      </c>
      <c r="B130" s="53" t="s">
        <v>214</v>
      </c>
      <c r="C130" s="53" t="s">
        <v>189</v>
      </c>
      <c r="D130" s="37" t="s">
        <v>34</v>
      </c>
      <c r="E130" s="49" t="s">
        <v>207</v>
      </c>
      <c r="F130" s="55">
        <v>300000</v>
      </c>
      <c r="G130" s="56">
        <f t="shared" si="10"/>
        <v>1575000</v>
      </c>
    </row>
    <row r="131" spans="1:8" ht="15.75" customHeight="1" x14ac:dyDescent="0.3">
      <c r="A131" s="53">
        <v>8</v>
      </c>
      <c r="B131" s="53" t="s">
        <v>192</v>
      </c>
      <c r="C131" s="53" t="s">
        <v>191</v>
      </c>
      <c r="D131" s="37" t="s">
        <v>162</v>
      </c>
      <c r="E131" s="49" t="s">
        <v>209</v>
      </c>
      <c r="F131" s="55">
        <v>330000</v>
      </c>
      <c r="G131" s="56">
        <f t="shared" si="10"/>
        <v>1733000</v>
      </c>
    </row>
    <row r="132" spans="1:8" ht="15.75" customHeight="1" x14ac:dyDescent="0.3">
      <c r="A132" s="53">
        <v>9</v>
      </c>
      <c r="B132" s="53" t="s">
        <v>215</v>
      </c>
      <c r="C132" s="53" t="s">
        <v>193</v>
      </c>
      <c r="D132" s="37" t="s">
        <v>34</v>
      </c>
      <c r="E132" s="49" t="s">
        <v>207</v>
      </c>
      <c r="F132" s="55">
        <v>320000</v>
      </c>
      <c r="G132" s="56">
        <f t="shared" si="10"/>
        <v>1680000</v>
      </c>
    </row>
    <row r="133" spans="1:8" ht="15.75" customHeight="1" x14ac:dyDescent="0.3">
      <c r="A133" s="53">
        <v>10</v>
      </c>
      <c r="B133" s="53" t="s">
        <v>190</v>
      </c>
      <c r="C133" s="53" t="s">
        <v>195</v>
      </c>
      <c r="D133" s="37" t="s">
        <v>34</v>
      </c>
      <c r="E133" s="49" t="s">
        <v>209</v>
      </c>
      <c r="F133" s="55">
        <v>310000</v>
      </c>
      <c r="G133" s="56">
        <f t="shared" si="10"/>
        <v>1628000</v>
      </c>
    </row>
    <row r="134" spans="1:8" ht="15.75" customHeight="1" x14ac:dyDescent="0.3">
      <c r="D134" s="405"/>
      <c r="E134" s="406"/>
      <c r="F134" s="28"/>
    </row>
    <row r="135" spans="1:8" ht="15.75" customHeight="1" x14ac:dyDescent="0.3">
      <c r="D135" s="407" t="s">
        <v>216</v>
      </c>
      <c r="E135" s="392"/>
      <c r="F135" s="28"/>
      <c r="G135" s="57">
        <f>SUMIF($E$124:$E$133,"Kinh doanh",$G$124:$G$133)</f>
        <v>7718000</v>
      </c>
    </row>
    <row r="136" spans="1:8" ht="15.75" customHeight="1" x14ac:dyDescent="0.3">
      <c r="D136" s="407" t="s">
        <v>217</v>
      </c>
      <c r="E136" s="392"/>
      <c r="F136" s="28"/>
      <c r="G136" s="57">
        <f>SUMIF($E$124:$E$133,"Kế toán",$G$124:$G$133)</f>
        <v>4096000</v>
      </c>
    </row>
    <row r="137" spans="1:8" ht="15.75" customHeight="1" x14ac:dyDescent="0.3">
      <c r="D137" s="407" t="s">
        <v>218</v>
      </c>
      <c r="E137" s="392"/>
      <c r="F137" s="28"/>
      <c r="G137" s="57">
        <f>SUMIF($E$124:$E$133,"Kỹ thuật",$G$124:$G$133)</f>
        <v>8087000</v>
      </c>
    </row>
    <row r="138" spans="1:8" ht="15.75" customHeight="1" x14ac:dyDescent="0.3">
      <c r="A138" s="1" t="s">
        <v>171</v>
      </c>
      <c r="B138" s="1"/>
      <c r="C138" s="1"/>
      <c r="D138" s="1"/>
      <c r="E138" s="1"/>
      <c r="F138" s="1"/>
      <c r="G138" s="1"/>
      <c r="H138" s="1"/>
    </row>
    <row r="139" spans="1:8" ht="15.75" customHeight="1" x14ac:dyDescent="0.3">
      <c r="A139" s="1" t="s">
        <v>219</v>
      </c>
      <c r="B139" s="1"/>
      <c r="C139" s="1"/>
      <c r="D139" s="1"/>
      <c r="E139" s="1"/>
      <c r="F139" s="1"/>
      <c r="G139" s="1"/>
      <c r="H139" s="1"/>
    </row>
    <row r="140" spans="1:8" ht="15.75" customHeight="1" x14ac:dyDescent="0.3">
      <c r="A140" s="1" t="s">
        <v>220</v>
      </c>
      <c r="B140" s="1"/>
      <c r="C140" s="1"/>
      <c r="D140" s="1"/>
      <c r="E140" s="1"/>
      <c r="F140" s="1"/>
      <c r="G140" s="1"/>
      <c r="H140" s="1"/>
    </row>
    <row r="141" spans="1:8" ht="15.75" customHeight="1" x14ac:dyDescent="0.3"/>
    <row r="142" spans="1:8" ht="15.75" customHeight="1" x14ac:dyDescent="0.3">
      <c r="A142" s="58" t="s">
        <v>77</v>
      </c>
      <c r="B142" s="58" t="s">
        <v>221</v>
      </c>
      <c r="C142" s="58" t="s">
        <v>222</v>
      </c>
      <c r="D142" s="58" t="s">
        <v>223</v>
      </c>
    </row>
    <row r="143" spans="1:8" ht="15.75" customHeight="1" x14ac:dyDescent="0.3">
      <c r="A143" s="53">
        <v>1</v>
      </c>
      <c r="B143" s="32">
        <v>7</v>
      </c>
      <c r="C143" s="59">
        <f t="shared" ref="C143:C148" si="11">RANK(B143,$B$143:$B$148,0)</f>
        <v>3</v>
      </c>
      <c r="D143" s="59">
        <f t="shared" ref="D143:D148" si="12">RANK(B143,$B$143:$B$148,1)</f>
        <v>4</v>
      </c>
    </row>
    <row r="144" spans="1:8" ht="15.75" customHeight="1" x14ac:dyDescent="0.3">
      <c r="A144" s="32">
        <v>2</v>
      </c>
      <c r="B144" s="32">
        <v>9</v>
      </c>
      <c r="C144" s="59">
        <f t="shared" si="11"/>
        <v>2</v>
      </c>
      <c r="D144" s="59">
        <f t="shared" si="12"/>
        <v>5</v>
      </c>
    </row>
    <row r="145" spans="1:12" ht="15.75" customHeight="1" x14ac:dyDescent="0.3">
      <c r="A145" s="53">
        <v>3</v>
      </c>
      <c r="B145" s="32">
        <v>3</v>
      </c>
      <c r="C145" s="59">
        <f t="shared" si="11"/>
        <v>5</v>
      </c>
      <c r="D145" s="59">
        <f t="shared" si="12"/>
        <v>2</v>
      </c>
    </row>
    <row r="146" spans="1:12" ht="15.75" customHeight="1" x14ac:dyDescent="0.3">
      <c r="A146" s="32">
        <v>4</v>
      </c>
      <c r="B146" s="32">
        <v>5</v>
      </c>
      <c r="C146" s="59">
        <f t="shared" si="11"/>
        <v>4</v>
      </c>
      <c r="D146" s="59">
        <f t="shared" si="12"/>
        <v>3</v>
      </c>
    </row>
    <row r="147" spans="1:12" ht="15.75" customHeight="1" x14ac:dyDescent="0.3">
      <c r="A147" s="53">
        <v>5</v>
      </c>
      <c r="B147" s="32">
        <v>11</v>
      </c>
      <c r="C147" s="59">
        <f t="shared" si="11"/>
        <v>1</v>
      </c>
      <c r="D147" s="59">
        <f t="shared" si="12"/>
        <v>6</v>
      </c>
    </row>
    <row r="148" spans="1:12" ht="15.75" customHeight="1" x14ac:dyDescent="0.3">
      <c r="A148" s="32">
        <v>6</v>
      </c>
      <c r="B148" s="32">
        <v>2</v>
      </c>
      <c r="C148" s="59">
        <f t="shared" si="11"/>
        <v>6</v>
      </c>
      <c r="D148" s="59">
        <f t="shared" si="12"/>
        <v>1</v>
      </c>
    </row>
    <row r="149" spans="1:12" ht="15.75" customHeight="1" x14ac:dyDescent="0.3"/>
    <row r="150" spans="1:12" ht="15.75" customHeight="1" x14ac:dyDescent="0.3">
      <c r="A150" s="1" t="s">
        <v>224</v>
      </c>
    </row>
    <row r="151" spans="1:12" ht="15.75" customHeight="1" x14ac:dyDescent="0.3">
      <c r="A151" s="1" t="s">
        <v>225</v>
      </c>
    </row>
    <row r="152" spans="1:12" ht="15.75" customHeight="1" x14ac:dyDescent="0.3"/>
    <row r="153" spans="1:12" ht="15.75" customHeight="1" x14ac:dyDescent="0.3"/>
    <row r="154" spans="1:12" ht="15.75" customHeight="1" x14ac:dyDescent="0.3">
      <c r="A154" s="1" t="s">
        <v>226</v>
      </c>
      <c r="B154" s="1"/>
      <c r="C154" s="1"/>
      <c r="D154" s="1"/>
      <c r="E154" s="1"/>
      <c r="F154" s="1"/>
      <c r="G154" s="1"/>
      <c r="H154" s="1"/>
      <c r="I154" s="1"/>
      <c r="J154" s="1"/>
      <c r="K154" s="1"/>
      <c r="L154" s="1"/>
    </row>
    <row r="155" spans="1:12" ht="15.75" customHeight="1" x14ac:dyDescent="0.3">
      <c r="A155" s="396" t="s">
        <v>227</v>
      </c>
      <c r="B155" s="396" t="s">
        <v>228</v>
      </c>
      <c r="C155" s="396" t="s">
        <v>229</v>
      </c>
      <c r="D155" s="410" t="s">
        <v>131</v>
      </c>
      <c r="E155" s="389"/>
      <c r="F155" s="390"/>
      <c r="G155" s="396" t="s">
        <v>230</v>
      </c>
      <c r="H155" s="396" t="s">
        <v>231</v>
      </c>
      <c r="I155" s="396" t="s">
        <v>232</v>
      </c>
      <c r="J155" s="1"/>
      <c r="K155" s="1"/>
    </row>
    <row r="156" spans="1:12" ht="15.75" customHeight="1" x14ac:dyDescent="0.3">
      <c r="A156" s="397"/>
      <c r="B156" s="397"/>
      <c r="C156" s="397"/>
      <c r="D156" s="60" t="s">
        <v>126</v>
      </c>
      <c r="E156" s="60" t="s">
        <v>127</v>
      </c>
      <c r="F156" s="60" t="s">
        <v>124</v>
      </c>
      <c r="G156" s="397"/>
      <c r="H156" s="397"/>
      <c r="I156" s="397"/>
      <c r="J156" s="1"/>
      <c r="K156" s="1"/>
    </row>
    <row r="157" spans="1:12" ht="15.75" customHeight="1" x14ac:dyDescent="0.3">
      <c r="A157" s="37" t="s">
        <v>233</v>
      </c>
      <c r="B157" s="37" t="s">
        <v>234</v>
      </c>
      <c r="C157" s="37" t="s">
        <v>235</v>
      </c>
      <c r="D157" s="37">
        <v>5</v>
      </c>
      <c r="E157" s="37">
        <v>5</v>
      </c>
      <c r="F157" s="37">
        <v>8</v>
      </c>
      <c r="G157" s="37">
        <v>30</v>
      </c>
      <c r="H157" s="37" t="s">
        <v>236</v>
      </c>
      <c r="I157" s="37" t="s">
        <v>237</v>
      </c>
      <c r="J157" s="1"/>
      <c r="K157" s="1"/>
    </row>
    <row r="158" spans="1:12" ht="15.75" customHeight="1" x14ac:dyDescent="0.3">
      <c r="A158" s="37" t="s">
        <v>238</v>
      </c>
      <c r="B158" s="37" t="s">
        <v>239</v>
      </c>
      <c r="C158" s="37" t="s">
        <v>240</v>
      </c>
      <c r="D158" s="37">
        <v>4</v>
      </c>
      <c r="E158" s="37">
        <v>5</v>
      </c>
      <c r="F158" s="37">
        <v>7</v>
      </c>
      <c r="G158" s="37">
        <v>23</v>
      </c>
      <c r="H158" s="37" t="s">
        <v>241</v>
      </c>
      <c r="I158" s="37" t="s">
        <v>242</v>
      </c>
      <c r="J158" s="1"/>
      <c r="K158" s="1"/>
    </row>
    <row r="159" spans="1:12" ht="15.75" customHeight="1" x14ac:dyDescent="0.3">
      <c r="A159" s="37" t="s">
        <v>243</v>
      </c>
      <c r="B159" s="37" t="s">
        <v>244</v>
      </c>
      <c r="C159" s="37" t="s">
        <v>245</v>
      </c>
      <c r="D159" s="37">
        <v>6</v>
      </c>
      <c r="E159" s="37">
        <v>6</v>
      </c>
      <c r="F159" s="37">
        <v>6</v>
      </c>
      <c r="G159" s="37">
        <v>28</v>
      </c>
      <c r="H159" s="37" t="s">
        <v>241</v>
      </c>
      <c r="I159" s="37" t="s">
        <v>246</v>
      </c>
      <c r="J159" s="1"/>
      <c r="K159" s="1"/>
    </row>
    <row r="160" spans="1:12" ht="15.75" customHeight="1" x14ac:dyDescent="0.3">
      <c r="A160" s="37" t="s">
        <v>247</v>
      </c>
      <c r="B160" s="37" t="s">
        <v>248</v>
      </c>
      <c r="C160" s="37" t="s">
        <v>240</v>
      </c>
      <c r="D160" s="37">
        <v>3</v>
      </c>
      <c r="E160" s="37">
        <v>8</v>
      </c>
      <c r="F160" s="37">
        <v>8</v>
      </c>
      <c r="G160" s="37">
        <v>24</v>
      </c>
      <c r="H160" s="37" t="s">
        <v>236</v>
      </c>
      <c r="I160" s="37" t="s">
        <v>237</v>
      </c>
      <c r="J160" s="1"/>
      <c r="K160" s="1"/>
    </row>
    <row r="161" spans="1:12" ht="15.75" customHeight="1" x14ac:dyDescent="0.3">
      <c r="A161" s="37" t="s">
        <v>249</v>
      </c>
      <c r="B161" s="37" t="s">
        <v>250</v>
      </c>
      <c r="C161" s="37" t="s">
        <v>235</v>
      </c>
      <c r="D161" s="37">
        <v>8</v>
      </c>
      <c r="E161" s="37">
        <v>5</v>
      </c>
      <c r="F161" s="37">
        <v>9</v>
      </c>
      <c r="G161" s="37">
        <v>36</v>
      </c>
      <c r="H161" s="37" t="s">
        <v>241</v>
      </c>
      <c r="I161" s="37" t="s">
        <v>242</v>
      </c>
      <c r="J161" s="1"/>
      <c r="K161" s="1"/>
    </row>
    <row r="162" spans="1:12" ht="15.75" customHeight="1" x14ac:dyDescent="0.3">
      <c r="A162" s="37" t="s">
        <v>251</v>
      </c>
      <c r="B162" s="37" t="s">
        <v>252</v>
      </c>
      <c r="C162" s="37" t="s">
        <v>240</v>
      </c>
      <c r="D162" s="37">
        <v>3</v>
      </c>
      <c r="E162" s="37">
        <v>4</v>
      </c>
      <c r="F162" s="37">
        <v>9</v>
      </c>
      <c r="G162" s="37">
        <v>22</v>
      </c>
      <c r="H162" s="37" t="s">
        <v>236</v>
      </c>
      <c r="I162" s="37" t="s">
        <v>237</v>
      </c>
      <c r="J162" s="1"/>
      <c r="K162" s="1"/>
    </row>
    <row r="163" spans="1:12" ht="15.75" customHeight="1" x14ac:dyDescent="0.3">
      <c r="A163" s="37" t="s">
        <v>253</v>
      </c>
      <c r="B163" s="37" t="s">
        <v>254</v>
      </c>
      <c r="C163" s="37" t="s">
        <v>235</v>
      </c>
      <c r="D163" s="37">
        <v>3</v>
      </c>
      <c r="E163" s="37">
        <v>2</v>
      </c>
      <c r="F163" s="37">
        <v>8</v>
      </c>
      <c r="G163" s="37">
        <v>24</v>
      </c>
      <c r="H163" s="37" t="s">
        <v>236</v>
      </c>
      <c r="I163" s="37" t="s">
        <v>237</v>
      </c>
      <c r="J163" s="1"/>
      <c r="K163" s="1"/>
    </row>
    <row r="164" spans="1:12" ht="15.75" customHeight="1" x14ac:dyDescent="0.3">
      <c r="A164" s="37" t="s">
        <v>255</v>
      </c>
      <c r="B164" s="37" t="s">
        <v>256</v>
      </c>
      <c r="C164" s="37" t="s">
        <v>245</v>
      </c>
      <c r="D164" s="37">
        <v>2</v>
      </c>
      <c r="E164" s="37">
        <v>4</v>
      </c>
      <c r="F164" s="37">
        <v>6</v>
      </c>
      <c r="G164" s="37">
        <v>18</v>
      </c>
      <c r="H164" s="37" t="s">
        <v>236</v>
      </c>
      <c r="I164" s="37" t="s">
        <v>237</v>
      </c>
      <c r="J164" s="1"/>
      <c r="K164" s="1"/>
    </row>
    <row r="165" spans="1:12" ht="15.75" customHeight="1" x14ac:dyDescent="0.3">
      <c r="A165" s="37" t="s">
        <v>257</v>
      </c>
      <c r="B165" s="37" t="s">
        <v>258</v>
      </c>
      <c r="C165" s="37" t="s">
        <v>235</v>
      </c>
      <c r="D165" s="37">
        <v>5</v>
      </c>
      <c r="E165" s="37">
        <v>3</v>
      </c>
      <c r="F165" s="37">
        <v>4</v>
      </c>
      <c r="G165" s="37">
        <v>19</v>
      </c>
      <c r="H165" s="37" t="s">
        <v>236</v>
      </c>
      <c r="I165" s="37" t="s">
        <v>237</v>
      </c>
      <c r="J165" s="1"/>
      <c r="K165" s="1"/>
    </row>
    <row r="166" spans="1:12" ht="15.75" customHeight="1" x14ac:dyDescent="0.3">
      <c r="A166" s="37" t="s">
        <v>259</v>
      </c>
      <c r="B166" s="37" t="s">
        <v>260</v>
      </c>
      <c r="C166" s="37" t="s">
        <v>245</v>
      </c>
      <c r="D166" s="37">
        <v>3</v>
      </c>
      <c r="E166" s="37">
        <v>7</v>
      </c>
      <c r="F166" s="37">
        <v>4</v>
      </c>
      <c r="G166" s="37">
        <v>24</v>
      </c>
      <c r="H166" s="37" t="s">
        <v>236</v>
      </c>
      <c r="I166" s="37" t="s">
        <v>237</v>
      </c>
      <c r="J166" s="1"/>
      <c r="K166" s="1"/>
    </row>
    <row r="167" spans="1:12" ht="15.75" customHeight="1" x14ac:dyDescent="0.3">
      <c r="A167" s="1" t="s">
        <v>261</v>
      </c>
      <c r="B167" s="1"/>
      <c r="C167" s="1"/>
      <c r="D167" s="1"/>
      <c r="E167" s="1"/>
      <c r="F167" s="1"/>
      <c r="G167" s="1"/>
      <c r="H167" s="1"/>
      <c r="I167" s="1"/>
      <c r="J167" s="1"/>
      <c r="K167" s="1"/>
      <c r="L167" s="1"/>
    </row>
    <row r="168" spans="1:12" ht="15.75" customHeight="1" x14ac:dyDescent="0.3">
      <c r="A168" s="37" t="s">
        <v>262</v>
      </c>
      <c r="B168" s="37"/>
      <c r="C168" s="37"/>
      <c r="D168" s="45">
        <f>COUNTA(B157:B166)</f>
        <v>10</v>
      </c>
      <c r="E168" s="37"/>
      <c r="F168" s="37"/>
      <c r="G168" s="1"/>
      <c r="H168" s="1"/>
      <c r="I168" s="1"/>
      <c r="J168" s="1"/>
      <c r="K168" s="1"/>
    </row>
    <row r="169" spans="1:12" ht="15.75" customHeight="1" x14ac:dyDescent="0.3">
      <c r="A169" s="37" t="s">
        <v>263</v>
      </c>
      <c r="B169" s="37"/>
      <c r="C169" s="37"/>
      <c r="D169" s="37" t="s">
        <v>127</v>
      </c>
      <c r="E169" s="37" t="s">
        <v>126</v>
      </c>
      <c r="F169" s="37" t="s">
        <v>124</v>
      </c>
      <c r="G169" s="1"/>
      <c r="H169" s="1"/>
      <c r="I169" s="1"/>
      <c r="J169" s="1"/>
      <c r="K169" s="1"/>
    </row>
    <row r="170" spans="1:12" ht="15.75" customHeight="1" x14ac:dyDescent="0.3">
      <c r="A170" s="37"/>
      <c r="B170" s="37"/>
      <c r="C170" s="37"/>
      <c r="D170" s="45">
        <f>SUM(E157:E168)</f>
        <v>49</v>
      </c>
      <c r="E170" s="45">
        <f>SUM(D157:D166)</f>
        <v>42</v>
      </c>
      <c r="F170" s="45">
        <f>SUM(F157:F166)</f>
        <v>69</v>
      </c>
      <c r="G170" s="1"/>
      <c r="H170" s="1"/>
      <c r="I170" s="1"/>
      <c r="J170" s="1"/>
      <c r="K170" s="1"/>
    </row>
    <row r="171" spans="1:12" ht="15.75" customHeight="1" x14ac:dyDescent="0.3">
      <c r="A171" s="37" t="s">
        <v>264</v>
      </c>
      <c r="B171" s="37"/>
      <c r="C171" s="37"/>
      <c r="D171" s="45">
        <f>COUNTIF(H157:H166,"Rot")</f>
        <v>7</v>
      </c>
      <c r="E171" s="37"/>
      <c r="F171" s="37"/>
      <c r="G171" s="1"/>
      <c r="H171" s="1"/>
      <c r="I171" s="1"/>
      <c r="J171" s="1"/>
      <c r="K171" s="1"/>
    </row>
    <row r="172" spans="1:12" ht="15.75" customHeight="1" x14ac:dyDescent="0.3">
      <c r="A172" s="37" t="s">
        <v>265</v>
      </c>
      <c r="B172" s="37"/>
      <c r="C172" s="37"/>
      <c r="D172" s="45">
        <f>COUNTIF(I157:I166,"Co")</f>
        <v>1</v>
      </c>
      <c r="E172" s="37"/>
      <c r="F172" s="37"/>
      <c r="G172" s="1"/>
      <c r="H172" s="1"/>
      <c r="I172" s="1"/>
      <c r="J172" s="1"/>
      <c r="K172" s="1"/>
    </row>
    <row r="173" spans="1:12" ht="15.75" customHeight="1" x14ac:dyDescent="0.3"/>
    <row r="174" spans="1:12" ht="15.75" customHeight="1" x14ac:dyDescent="0.3"/>
    <row r="175" spans="1:12" ht="15.75" customHeight="1" x14ac:dyDescent="0.3">
      <c r="A175" s="51" t="s">
        <v>266</v>
      </c>
    </row>
    <row r="176" spans="1:12" ht="15.75" customHeight="1" x14ac:dyDescent="0.3">
      <c r="A176" s="39" t="s">
        <v>267</v>
      </c>
      <c r="B176" s="39" t="s">
        <v>268</v>
      </c>
      <c r="C176" s="61" t="s">
        <v>269</v>
      </c>
      <c r="D176" s="61" t="s">
        <v>270</v>
      </c>
      <c r="E176" s="39" t="s">
        <v>271</v>
      </c>
      <c r="F176" s="39" t="s">
        <v>272</v>
      </c>
    </row>
    <row r="177" spans="1:7" ht="15.75" customHeight="1" x14ac:dyDescent="0.3">
      <c r="A177" s="37" t="s">
        <v>273</v>
      </c>
      <c r="B177" s="37" t="s">
        <v>274</v>
      </c>
      <c r="C177" s="37" t="s">
        <v>275</v>
      </c>
      <c r="D177" s="37">
        <v>34000</v>
      </c>
      <c r="E177" s="37">
        <v>0</v>
      </c>
      <c r="F177" s="37">
        <v>34000</v>
      </c>
    </row>
    <row r="178" spans="1:7" ht="15.75" customHeight="1" x14ac:dyDescent="0.3">
      <c r="A178" s="37" t="s">
        <v>276</v>
      </c>
      <c r="B178" s="37" t="s">
        <v>277</v>
      </c>
      <c r="C178" s="37" t="s">
        <v>275</v>
      </c>
      <c r="D178" s="37">
        <v>21500</v>
      </c>
      <c r="E178" s="37">
        <v>0</v>
      </c>
      <c r="F178" s="37">
        <v>21500</v>
      </c>
    </row>
    <row r="179" spans="1:7" ht="15.75" customHeight="1" x14ac:dyDescent="0.3">
      <c r="A179" s="37" t="s">
        <v>278</v>
      </c>
      <c r="B179" s="37" t="s">
        <v>277</v>
      </c>
      <c r="C179" s="37" t="s">
        <v>279</v>
      </c>
      <c r="D179" s="37">
        <v>23000</v>
      </c>
      <c r="E179" s="37">
        <v>2300</v>
      </c>
      <c r="F179" s="37">
        <v>25300</v>
      </c>
    </row>
    <row r="180" spans="1:7" ht="15.75" customHeight="1" x14ac:dyDescent="0.3">
      <c r="A180" s="37" t="s">
        <v>280</v>
      </c>
      <c r="B180" s="37" t="s">
        <v>281</v>
      </c>
      <c r="C180" s="37" t="s">
        <v>275</v>
      </c>
      <c r="D180" s="37">
        <v>20000</v>
      </c>
      <c r="E180" s="37">
        <v>0</v>
      </c>
      <c r="F180" s="37">
        <v>20000</v>
      </c>
    </row>
    <row r="181" spans="1:7" ht="15.75" customHeight="1" x14ac:dyDescent="0.3">
      <c r="A181" s="37" t="s">
        <v>282</v>
      </c>
      <c r="B181" s="37" t="s">
        <v>281</v>
      </c>
      <c r="C181" s="37" t="s">
        <v>279</v>
      </c>
      <c r="D181" s="37">
        <v>21000</v>
      </c>
      <c r="E181" s="37">
        <v>2100</v>
      </c>
      <c r="F181" s="37">
        <v>23100</v>
      </c>
    </row>
    <row r="182" spans="1:7" ht="15.75" customHeight="1" x14ac:dyDescent="0.3">
      <c r="A182" s="37" t="s">
        <v>283</v>
      </c>
      <c r="B182" s="37" t="s">
        <v>284</v>
      </c>
      <c r="C182" s="37" t="s">
        <v>275</v>
      </c>
      <c r="D182" s="37">
        <v>36000</v>
      </c>
      <c r="E182" s="37">
        <v>0</v>
      </c>
      <c r="F182" s="37">
        <v>36000</v>
      </c>
    </row>
    <row r="183" spans="1:7" ht="15.75" customHeight="1" x14ac:dyDescent="0.3">
      <c r="A183" s="37" t="s">
        <v>285</v>
      </c>
      <c r="B183" s="37" t="s">
        <v>286</v>
      </c>
      <c r="C183" s="37" t="s">
        <v>275</v>
      </c>
      <c r="D183" s="37">
        <v>36300</v>
      </c>
      <c r="E183" s="37">
        <v>0</v>
      </c>
      <c r="F183" s="37">
        <v>36300</v>
      </c>
    </row>
    <row r="184" spans="1:7" ht="15.75" customHeight="1" x14ac:dyDescent="0.3">
      <c r="A184" s="37" t="s">
        <v>287</v>
      </c>
      <c r="B184" s="37" t="s">
        <v>288</v>
      </c>
      <c r="C184" s="37" t="s">
        <v>279</v>
      </c>
      <c r="D184" s="37">
        <v>21500</v>
      </c>
      <c r="E184" s="37">
        <v>2150</v>
      </c>
      <c r="F184" s="37">
        <v>23650</v>
      </c>
    </row>
    <row r="185" spans="1:7" ht="15.75" customHeight="1" x14ac:dyDescent="0.3">
      <c r="A185" s="37" t="s">
        <v>289</v>
      </c>
      <c r="B185" s="37" t="s">
        <v>290</v>
      </c>
      <c r="C185" s="37" t="s">
        <v>275</v>
      </c>
      <c r="D185" s="37">
        <v>20000</v>
      </c>
      <c r="E185" s="37">
        <v>0</v>
      </c>
      <c r="F185" s="37">
        <v>20000</v>
      </c>
    </row>
    <row r="186" spans="1:7" ht="15.75" customHeight="1" x14ac:dyDescent="0.3"/>
    <row r="187" spans="1:7" ht="15.75" customHeight="1" x14ac:dyDescent="0.3">
      <c r="D187" s="398" t="s">
        <v>291</v>
      </c>
      <c r="E187" s="399"/>
      <c r="F187" s="399"/>
      <c r="G187" s="399"/>
    </row>
    <row r="188" spans="1:7" ht="15.75" customHeight="1" x14ac:dyDescent="0.3">
      <c r="D188" s="62" t="s">
        <v>292</v>
      </c>
      <c r="E188" s="62" t="s">
        <v>293</v>
      </c>
      <c r="F188" s="62" t="s">
        <v>272</v>
      </c>
    </row>
    <row r="189" spans="1:7" ht="15.75" customHeight="1" x14ac:dyDescent="0.3">
      <c r="D189" s="20" t="s">
        <v>294</v>
      </c>
      <c r="E189" s="63">
        <f>COUNTIF($B$177:$B$185,"TOYOTA*")</f>
        <v>3</v>
      </c>
      <c r="F189" s="63">
        <f>SUMIF($B$177:$B$185,"TOYOTA*",F177:F185)</f>
        <v>79950</v>
      </c>
    </row>
    <row r="190" spans="1:7" ht="15.75" customHeight="1" x14ac:dyDescent="0.3">
      <c r="D190" s="20" t="s">
        <v>295</v>
      </c>
      <c r="E190" s="63">
        <f>COUNTIF($B$177:$B$185,"FORD*")</f>
        <v>3</v>
      </c>
      <c r="F190" s="63">
        <f>SUMIF($B$177:$B$185,"FORD*",F177:F185)</f>
        <v>80800</v>
      </c>
    </row>
    <row r="191" spans="1:7" ht="15.75" customHeight="1" x14ac:dyDescent="0.3">
      <c r="D191" s="20" t="s">
        <v>296</v>
      </c>
      <c r="E191" s="63">
        <f>COUNTIF($B$177:$B$185,"MITSUBISHI*")</f>
        <v>3</v>
      </c>
      <c r="F191" s="63">
        <f>SUMIF($B$177:$B$185,"MITSUBISHI*",F177:F185)</f>
        <v>79100</v>
      </c>
    </row>
    <row r="192" spans="1:7" ht="15.75" customHeight="1" x14ac:dyDescent="0.3"/>
    <row r="193" spans="1:10" ht="15.75" customHeight="1" x14ac:dyDescent="0.3"/>
    <row r="194" spans="1:10" ht="15.75" customHeight="1" x14ac:dyDescent="0.3">
      <c r="A194" s="1" t="s">
        <v>297</v>
      </c>
      <c r="B194" s="1"/>
      <c r="C194" s="1"/>
      <c r="D194" s="1"/>
      <c r="E194" s="1"/>
      <c r="F194" s="1"/>
      <c r="G194" s="1"/>
      <c r="H194" s="1"/>
      <c r="I194" s="1"/>
      <c r="J194" s="1"/>
    </row>
    <row r="195" spans="1:10" ht="15.75" customHeight="1" x14ac:dyDescent="0.3">
      <c r="A195" s="1"/>
      <c r="B195" s="1"/>
      <c r="C195" s="1"/>
      <c r="D195" s="1"/>
      <c r="E195" s="1"/>
      <c r="F195" s="1"/>
      <c r="G195" s="1"/>
      <c r="H195" s="1"/>
      <c r="I195" s="1"/>
      <c r="J195" s="1"/>
    </row>
    <row r="196" spans="1:10" ht="15.75" customHeight="1" x14ac:dyDescent="0.3">
      <c r="A196" s="39" t="s">
        <v>77</v>
      </c>
      <c r="B196" s="39" t="s">
        <v>228</v>
      </c>
      <c r="C196" s="61" t="s">
        <v>298</v>
      </c>
      <c r="D196" s="39" t="s">
        <v>299</v>
      </c>
      <c r="E196" s="39" t="s">
        <v>300</v>
      </c>
      <c r="F196" s="39" t="s">
        <v>301</v>
      </c>
      <c r="G196" s="39" t="s">
        <v>302</v>
      </c>
      <c r="H196" s="39" t="s">
        <v>303</v>
      </c>
      <c r="I196" s="39" t="s">
        <v>304</v>
      </c>
    </row>
    <row r="197" spans="1:10" ht="15.75" customHeight="1" x14ac:dyDescent="0.3">
      <c r="A197" s="37">
        <v>1</v>
      </c>
      <c r="B197" s="37" t="s">
        <v>305</v>
      </c>
      <c r="C197" s="37">
        <v>15111</v>
      </c>
      <c r="D197" s="37">
        <v>260</v>
      </c>
      <c r="E197" s="37">
        <v>502</v>
      </c>
      <c r="F197" s="37">
        <v>28</v>
      </c>
      <c r="G197" s="37">
        <v>530</v>
      </c>
      <c r="H197" s="37">
        <v>270</v>
      </c>
      <c r="I197" s="37">
        <v>6750000</v>
      </c>
    </row>
    <row r="198" spans="1:10" ht="15.75" customHeight="1" x14ac:dyDescent="0.3">
      <c r="A198" s="37">
        <v>2</v>
      </c>
      <c r="B198" s="37" t="s">
        <v>306</v>
      </c>
      <c r="C198" s="37">
        <v>15110</v>
      </c>
      <c r="D198" s="37">
        <v>280</v>
      </c>
      <c r="E198" s="37">
        <v>112</v>
      </c>
      <c r="F198" s="37">
        <v>140</v>
      </c>
      <c r="G198" s="37">
        <v>252</v>
      </c>
      <c r="H198" s="37">
        <v>0</v>
      </c>
      <c r="I198" s="37">
        <v>0</v>
      </c>
    </row>
    <row r="199" spans="1:10" ht="15.75" customHeight="1" x14ac:dyDescent="0.3">
      <c r="A199" s="37">
        <v>3</v>
      </c>
      <c r="B199" s="37" t="s">
        <v>307</v>
      </c>
      <c r="C199" s="37">
        <v>15111</v>
      </c>
      <c r="D199" s="37">
        <v>260</v>
      </c>
      <c r="E199" s="37">
        <v>563.5</v>
      </c>
      <c r="F199" s="37"/>
      <c r="G199" s="37">
        <v>563.5</v>
      </c>
      <c r="H199" s="37">
        <v>303.5</v>
      </c>
      <c r="I199" s="37">
        <v>7587500</v>
      </c>
    </row>
    <row r="200" spans="1:10" ht="15.75" customHeight="1" x14ac:dyDescent="0.3">
      <c r="A200" s="37">
        <v>4</v>
      </c>
      <c r="B200" s="37" t="s">
        <v>308</v>
      </c>
      <c r="C200" s="37">
        <v>15111</v>
      </c>
      <c r="D200" s="37">
        <v>260</v>
      </c>
      <c r="E200" s="37">
        <v>628.5</v>
      </c>
      <c r="F200" s="37"/>
      <c r="G200" s="37">
        <v>628.5</v>
      </c>
      <c r="H200" s="37">
        <v>368.5</v>
      </c>
      <c r="I200" s="37">
        <v>9212500</v>
      </c>
    </row>
    <row r="201" spans="1:10" ht="15.75" customHeight="1" x14ac:dyDescent="0.3">
      <c r="A201" s="37">
        <v>5</v>
      </c>
      <c r="B201" s="37" t="s">
        <v>309</v>
      </c>
      <c r="C201" s="37">
        <v>15113</v>
      </c>
      <c r="D201" s="37">
        <v>240</v>
      </c>
      <c r="E201" s="37">
        <v>567</v>
      </c>
      <c r="F201" s="37"/>
      <c r="G201" s="37">
        <v>567</v>
      </c>
      <c r="H201" s="37">
        <v>327</v>
      </c>
      <c r="I201" s="37">
        <v>6540000</v>
      </c>
    </row>
    <row r="202" spans="1:10" ht="15.75" customHeight="1" x14ac:dyDescent="0.3">
      <c r="A202" s="37">
        <v>6</v>
      </c>
      <c r="B202" s="37" t="s">
        <v>310</v>
      </c>
      <c r="C202" s="37">
        <v>15110</v>
      </c>
      <c r="D202" s="37">
        <v>280</v>
      </c>
      <c r="E202" s="37">
        <v>500</v>
      </c>
      <c r="F202" s="37">
        <v>42</v>
      </c>
      <c r="G202" s="37">
        <v>542</v>
      </c>
      <c r="H202" s="37">
        <v>262</v>
      </c>
      <c r="I202" s="37">
        <v>7860000</v>
      </c>
    </row>
    <row r="203" spans="1:10" ht="15.75" customHeight="1" x14ac:dyDescent="0.3">
      <c r="A203" s="37">
        <v>7</v>
      </c>
      <c r="B203" s="37" t="s">
        <v>311</v>
      </c>
      <c r="C203" s="37">
        <v>15111</v>
      </c>
      <c r="D203" s="37">
        <v>260</v>
      </c>
      <c r="E203" s="37">
        <v>280</v>
      </c>
      <c r="F203" s="37">
        <v>56</v>
      </c>
      <c r="G203" s="37">
        <v>336</v>
      </c>
      <c r="H203" s="37">
        <v>76</v>
      </c>
      <c r="I203" s="37">
        <v>1900000</v>
      </c>
    </row>
    <row r="204" spans="1:10" ht="15.75" customHeight="1" x14ac:dyDescent="0.3">
      <c r="A204" s="37">
        <v>8</v>
      </c>
      <c r="B204" s="37" t="s">
        <v>312</v>
      </c>
      <c r="C204" s="37">
        <v>15111</v>
      </c>
      <c r="D204" s="37">
        <v>260</v>
      </c>
      <c r="E204" s="37">
        <v>336</v>
      </c>
      <c r="F204" s="37">
        <v>140</v>
      </c>
      <c r="G204" s="37">
        <v>476</v>
      </c>
      <c r="H204" s="37">
        <v>216</v>
      </c>
      <c r="I204" s="37">
        <v>5400000</v>
      </c>
    </row>
    <row r="205" spans="1:10" ht="15.75" customHeight="1" x14ac:dyDescent="0.3">
      <c r="A205" s="37">
        <v>9</v>
      </c>
      <c r="B205" s="37" t="s">
        <v>313</v>
      </c>
      <c r="C205" s="37">
        <v>15111</v>
      </c>
      <c r="D205" s="37">
        <v>260</v>
      </c>
      <c r="E205" s="37">
        <v>576.5</v>
      </c>
      <c r="F205" s="37">
        <v>42</v>
      </c>
      <c r="G205" s="37">
        <v>618.5</v>
      </c>
      <c r="H205" s="37">
        <v>358.5</v>
      </c>
      <c r="I205" s="37">
        <v>8962500</v>
      </c>
    </row>
    <row r="206" spans="1:10" ht="15.75" customHeight="1" x14ac:dyDescent="0.3">
      <c r="A206" s="37">
        <v>10</v>
      </c>
      <c r="B206" s="37" t="s">
        <v>314</v>
      </c>
      <c r="C206" s="37">
        <v>15110</v>
      </c>
      <c r="D206" s="37">
        <v>280</v>
      </c>
      <c r="E206" s="37">
        <v>372.5</v>
      </c>
      <c r="F206" s="37">
        <v>42</v>
      </c>
      <c r="G206" s="37">
        <v>414.5</v>
      </c>
      <c r="H206" s="37">
        <v>134.5</v>
      </c>
      <c r="I206" s="37">
        <v>4035000</v>
      </c>
    </row>
    <row r="207" spans="1:10" ht="15.75" customHeight="1" x14ac:dyDescent="0.3">
      <c r="A207" s="37">
        <v>11</v>
      </c>
      <c r="B207" s="37" t="s">
        <v>315</v>
      </c>
      <c r="C207" s="37">
        <v>15113</v>
      </c>
      <c r="D207" s="37">
        <v>240</v>
      </c>
      <c r="E207" s="37">
        <v>138</v>
      </c>
      <c r="F207" s="37"/>
      <c r="G207" s="37">
        <v>138</v>
      </c>
      <c r="H207" s="37">
        <v>0</v>
      </c>
      <c r="I207" s="37">
        <v>0</v>
      </c>
    </row>
    <row r="208" spans="1:10" ht="15.75" customHeight="1" x14ac:dyDescent="0.3">
      <c r="A208" s="37">
        <v>12</v>
      </c>
      <c r="B208" s="37" t="s">
        <v>316</v>
      </c>
      <c r="C208" s="37">
        <v>15110</v>
      </c>
      <c r="D208" s="37">
        <v>280</v>
      </c>
      <c r="E208" s="37">
        <v>189</v>
      </c>
      <c r="F208" s="37"/>
      <c r="G208" s="37">
        <v>189</v>
      </c>
      <c r="H208" s="37">
        <v>0</v>
      </c>
      <c r="I208" s="37">
        <v>0</v>
      </c>
    </row>
    <row r="209" spans="5:8" ht="15.75" customHeight="1" x14ac:dyDescent="0.3"/>
    <row r="210" spans="5:8" ht="15.75" customHeight="1" x14ac:dyDescent="0.3"/>
    <row r="211" spans="5:8" ht="15.75" customHeight="1" x14ac:dyDescent="0.3">
      <c r="E211" s="400" t="s">
        <v>291</v>
      </c>
      <c r="F211" s="399"/>
      <c r="G211" s="399"/>
      <c r="H211" s="399"/>
    </row>
    <row r="212" spans="5:8" ht="15.75" customHeight="1" x14ac:dyDescent="0.3">
      <c r="E212" s="64" t="s">
        <v>317</v>
      </c>
      <c r="F212" s="64" t="s">
        <v>318</v>
      </c>
      <c r="G212" s="64" t="s">
        <v>319</v>
      </c>
    </row>
    <row r="213" spans="5:8" ht="15.75" customHeight="1" x14ac:dyDescent="0.3">
      <c r="E213" s="65">
        <v>15110</v>
      </c>
      <c r="F213" s="66">
        <f>COUNTIFS($H$197:$H$208,"&lt;&gt;0",$C$197:$C$208,15110)</f>
        <v>2</v>
      </c>
      <c r="G213" s="66">
        <f>SUMIFS($I$197:$I$208,$H$197:$H$208,"&lt;&gt;0",$C$197:$C$208,"15110")</f>
        <v>11895000</v>
      </c>
    </row>
    <row r="214" spans="5:8" ht="15.75" customHeight="1" x14ac:dyDescent="0.3">
      <c r="E214" s="65">
        <v>15111</v>
      </c>
      <c r="F214" s="66">
        <f>COUNTIFS($H$197:$H$208,"&lt;&gt;0",$C$197:$C$208,15111)</f>
        <v>6</v>
      </c>
      <c r="G214" s="66">
        <f>SUMIFS($I$197:$I$208,$H$197:$H$208,"&lt;&gt;0",$C$197:$C$208,"15111")</f>
        <v>39812500</v>
      </c>
    </row>
    <row r="215" spans="5:8" ht="15.75" customHeight="1" x14ac:dyDescent="0.3">
      <c r="E215" s="65">
        <v>15113</v>
      </c>
      <c r="F215" s="66">
        <f>COUNTIFS($H$197:$H$208,"&lt;&gt;0",$C$197:$C$208,15113)</f>
        <v>1</v>
      </c>
      <c r="G215" s="66">
        <f>SUMIFS($I$197:$I$208,$H$197:$H$208,"&lt;&gt;0",$C$197:$C$208,"15113")</f>
        <v>6540000</v>
      </c>
    </row>
    <row r="216" spans="5:8" ht="15.75" customHeight="1" x14ac:dyDescent="0.3"/>
    <row r="217" spans="5:8" ht="15.75" customHeight="1" x14ac:dyDescent="0.3"/>
    <row r="218" spans="5:8" ht="15.75" customHeight="1" x14ac:dyDescent="0.3"/>
    <row r="219" spans="5:8" ht="15.75" customHeight="1" x14ac:dyDescent="0.3"/>
    <row r="220" spans="5:8" ht="15.75" customHeight="1" x14ac:dyDescent="0.3"/>
    <row r="221" spans="5:8" ht="15.75" customHeight="1" x14ac:dyDescent="0.3"/>
    <row r="222" spans="5:8" ht="15.75" customHeight="1" x14ac:dyDescent="0.3"/>
    <row r="223" spans="5:8" ht="15.75" customHeight="1" x14ac:dyDescent="0.3"/>
    <row r="224" spans="5:8"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2">
    <mergeCell ref="A1:E1"/>
    <mergeCell ref="A8:G8"/>
    <mergeCell ref="A15:D15"/>
    <mergeCell ref="A16:D16"/>
    <mergeCell ref="A30:K30"/>
    <mergeCell ref="A86:C86"/>
    <mergeCell ref="A95:B95"/>
    <mergeCell ref="B155:B156"/>
    <mergeCell ref="C155:C156"/>
    <mergeCell ref="D155:F155"/>
    <mergeCell ref="G155:G156"/>
    <mergeCell ref="I155:I156"/>
    <mergeCell ref="D187:G187"/>
    <mergeCell ref="E211:H211"/>
    <mergeCell ref="A104:D104"/>
    <mergeCell ref="A122:H122"/>
    <mergeCell ref="D134:E134"/>
    <mergeCell ref="D135:E135"/>
    <mergeCell ref="D136:E136"/>
    <mergeCell ref="D137:E137"/>
    <mergeCell ref="A155:A156"/>
    <mergeCell ref="H155:H156"/>
  </mergeCells>
  <pageMargins left="0.75" right="0.75" top="1" bottom="1"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67" workbookViewId="0">
      <selection activeCell="F25" sqref="F25"/>
    </sheetView>
  </sheetViews>
  <sheetFormatPr defaultColWidth="11.19921875" defaultRowHeight="15" customHeight="1" x14ac:dyDescent="0.3"/>
  <cols>
    <col min="1" max="1" width="14.8984375" customWidth="1"/>
    <col min="2" max="2" width="15.8984375" customWidth="1"/>
    <col min="3" max="3" width="11" customWidth="1"/>
    <col min="4" max="4" width="10.19921875" customWidth="1"/>
    <col min="5" max="5" width="8.59765625" customWidth="1"/>
    <col min="6" max="6" width="14.3984375" customWidth="1"/>
    <col min="7" max="7" width="9.296875" customWidth="1"/>
    <col min="8" max="8" width="12.8984375" customWidth="1"/>
    <col min="9" max="9" width="11" customWidth="1"/>
    <col min="10" max="10" width="8.59765625" customWidth="1"/>
    <col min="11" max="11" width="9.796875" customWidth="1"/>
    <col min="12" max="13" width="9.5" bestFit="1" customWidth="1"/>
    <col min="14" max="26" width="8.59765625" customWidth="1"/>
  </cols>
  <sheetData>
    <row r="1" spans="1:26" ht="17.399999999999999" x14ac:dyDescent="0.3">
      <c r="A1" s="435" t="s">
        <v>320</v>
      </c>
      <c r="B1" s="436"/>
      <c r="C1" s="436"/>
      <c r="D1" s="436"/>
      <c r="E1" s="436"/>
      <c r="F1" s="436"/>
      <c r="G1" s="1"/>
      <c r="H1" s="1"/>
    </row>
    <row r="2" spans="1:26" ht="15.6" x14ac:dyDescent="0.3">
      <c r="A2" s="67" t="s">
        <v>321</v>
      </c>
      <c r="B2" s="67" t="s">
        <v>139</v>
      </c>
      <c r="C2" s="67" t="s">
        <v>322</v>
      </c>
      <c r="D2" s="67" t="s">
        <v>323</v>
      </c>
      <c r="E2" s="67" t="s">
        <v>324</v>
      </c>
      <c r="F2" s="67" t="s">
        <v>325</v>
      </c>
      <c r="G2" s="1"/>
      <c r="H2" s="1"/>
    </row>
    <row r="3" spans="1:26" ht="15.6" x14ac:dyDescent="0.3">
      <c r="A3" s="67">
        <v>47</v>
      </c>
      <c r="B3" s="67">
        <v>23</v>
      </c>
      <c r="C3" s="68" t="b">
        <f t="shared" ref="C3:C6" si="0">A3&gt;B3</f>
        <v>1</v>
      </c>
      <c r="D3" s="68" t="b">
        <f t="shared" ref="D3:D6" si="1">A3&lt;B3</f>
        <v>0</v>
      </c>
      <c r="E3" s="68" t="b">
        <f t="shared" ref="E3:E6" si="2">A3&gt;=B3</f>
        <v>1</v>
      </c>
      <c r="F3" s="68" t="b">
        <f t="shared" ref="F3:F6" si="3">A3&lt;=B3</f>
        <v>0</v>
      </c>
      <c r="G3" s="1"/>
      <c r="H3" s="1"/>
    </row>
    <row r="4" spans="1:26" ht="15.6" x14ac:dyDescent="0.3">
      <c r="A4" s="67">
        <v>58</v>
      </c>
      <c r="B4" s="67">
        <v>58</v>
      </c>
      <c r="C4" s="68" t="b">
        <f t="shared" si="0"/>
        <v>0</v>
      </c>
      <c r="D4" s="68" t="b">
        <f t="shared" si="1"/>
        <v>0</v>
      </c>
      <c r="E4" s="68" t="b">
        <f t="shared" si="2"/>
        <v>1</v>
      </c>
      <c r="F4" s="68" t="b">
        <f t="shared" si="3"/>
        <v>1</v>
      </c>
      <c r="G4" s="1"/>
      <c r="H4" s="1"/>
    </row>
    <row r="5" spans="1:26" ht="15.6" x14ac:dyDescent="0.3">
      <c r="A5" s="67">
        <v>12</v>
      </c>
      <c r="B5" s="67">
        <v>49</v>
      </c>
      <c r="C5" s="68" t="b">
        <f t="shared" si="0"/>
        <v>0</v>
      </c>
      <c r="D5" s="68" t="b">
        <f t="shared" si="1"/>
        <v>1</v>
      </c>
      <c r="E5" s="68" t="b">
        <f t="shared" si="2"/>
        <v>0</v>
      </c>
      <c r="F5" s="68" t="b">
        <f t="shared" si="3"/>
        <v>1</v>
      </c>
      <c r="G5" s="1"/>
      <c r="H5" s="1"/>
    </row>
    <row r="6" spans="1:26" ht="15.6" x14ac:dyDescent="0.3">
      <c r="A6" s="67">
        <v>35</v>
      </c>
      <c r="B6" s="67">
        <v>75</v>
      </c>
      <c r="C6" s="68" t="b">
        <f t="shared" si="0"/>
        <v>0</v>
      </c>
      <c r="D6" s="68" t="b">
        <f t="shared" si="1"/>
        <v>1</v>
      </c>
      <c r="E6" s="68" t="b">
        <f t="shared" si="2"/>
        <v>0</v>
      </c>
      <c r="F6" s="68" t="b">
        <f t="shared" si="3"/>
        <v>1</v>
      </c>
      <c r="G6" s="1"/>
      <c r="H6" s="1"/>
    </row>
    <row r="7" spans="1:26" ht="15.6" x14ac:dyDescent="0.3">
      <c r="A7" s="1"/>
      <c r="B7" s="1"/>
      <c r="C7" s="1"/>
      <c r="D7" s="1"/>
      <c r="E7" s="1"/>
      <c r="F7" s="1"/>
      <c r="G7" s="1"/>
      <c r="H7" s="1"/>
    </row>
    <row r="8" spans="1:26" ht="17.399999999999999" x14ac:dyDescent="0.3">
      <c r="A8" s="411" t="s">
        <v>326</v>
      </c>
      <c r="B8" s="412"/>
      <c r="C8" s="412"/>
      <c r="D8" s="412"/>
      <c r="E8" s="412"/>
      <c r="F8" s="412"/>
      <c r="G8" s="412"/>
      <c r="H8" s="412"/>
    </row>
    <row r="9" spans="1:26" ht="15.6" x14ac:dyDescent="0.3">
      <c r="A9" s="24" t="s">
        <v>321</v>
      </c>
      <c r="B9" s="24" t="s">
        <v>139</v>
      </c>
      <c r="C9" s="24" t="s">
        <v>327</v>
      </c>
      <c r="D9" s="24" t="s">
        <v>328</v>
      </c>
      <c r="E9" s="24" t="s">
        <v>329</v>
      </c>
      <c r="F9" s="24" t="s">
        <v>330</v>
      </c>
      <c r="G9" s="24" t="s">
        <v>331</v>
      </c>
      <c r="H9" s="24" t="s">
        <v>332</v>
      </c>
    </row>
    <row r="10" spans="1:26" ht="15.6" x14ac:dyDescent="0.3">
      <c r="A10" s="24">
        <v>4</v>
      </c>
      <c r="B10" s="24">
        <v>5</v>
      </c>
      <c r="C10" s="24">
        <v>14</v>
      </c>
      <c r="D10" s="26" t="b">
        <f t="shared" ref="D10:D13" si="4">A10&lt;B10</f>
        <v>1</v>
      </c>
      <c r="E10" s="26" t="b">
        <f t="shared" ref="E10:E13" si="5">A10&gt;B10</f>
        <v>0</v>
      </c>
      <c r="F10" s="26" t="b">
        <f t="shared" ref="F10:F13" si="6">AND(D10,E10)</f>
        <v>0</v>
      </c>
      <c r="G10" s="26" t="b">
        <f t="shared" ref="G10:G13" si="7">OR(D10,E10)</f>
        <v>1</v>
      </c>
      <c r="H10" s="26" t="b">
        <f t="shared" ref="H10:H13" si="8">AND(D10,OR(D10,E10))</f>
        <v>1</v>
      </c>
    </row>
    <row r="11" spans="1:26" ht="15.6" x14ac:dyDescent="0.3">
      <c r="A11" s="24">
        <v>2</v>
      </c>
      <c r="B11" s="24">
        <v>12</v>
      </c>
      <c r="C11" s="24">
        <v>32</v>
      </c>
      <c r="D11" s="26" t="b">
        <f t="shared" si="4"/>
        <v>1</v>
      </c>
      <c r="E11" s="26" t="b">
        <f t="shared" si="5"/>
        <v>0</v>
      </c>
      <c r="F11" s="26" t="b">
        <f t="shared" si="6"/>
        <v>0</v>
      </c>
      <c r="G11" s="26" t="b">
        <f t="shared" si="7"/>
        <v>1</v>
      </c>
      <c r="H11" s="26" t="b">
        <f t="shared" si="8"/>
        <v>1</v>
      </c>
    </row>
    <row r="12" spans="1:26" ht="15.6" x14ac:dyDescent="0.3">
      <c r="A12" s="24">
        <v>24</v>
      </c>
      <c r="B12" s="24">
        <v>14</v>
      </c>
      <c r="C12" s="24">
        <v>16</v>
      </c>
      <c r="D12" s="26" t="b">
        <f t="shared" si="4"/>
        <v>0</v>
      </c>
      <c r="E12" s="26" t="b">
        <f t="shared" si="5"/>
        <v>1</v>
      </c>
      <c r="F12" s="26" t="b">
        <f t="shared" si="6"/>
        <v>0</v>
      </c>
      <c r="G12" s="26" t="b">
        <f t="shared" si="7"/>
        <v>1</v>
      </c>
      <c r="H12" s="26" t="b">
        <f t="shared" si="8"/>
        <v>0</v>
      </c>
    </row>
    <row r="13" spans="1:26" ht="15.6" x14ac:dyDescent="0.3">
      <c r="A13" s="24">
        <v>24</v>
      </c>
      <c r="B13" s="24">
        <v>24</v>
      </c>
      <c r="C13" s="24">
        <v>16</v>
      </c>
      <c r="D13" s="26" t="b">
        <f t="shared" si="4"/>
        <v>0</v>
      </c>
      <c r="E13" s="26" t="b">
        <f t="shared" si="5"/>
        <v>0</v>
      </c>
      <c r="F13" s="26" t="b">
        <f t="shared" si="6"/>
        <v>0</v>
      </c>
      <c r="G13" s="26" t="b">
        <f t="shared" si="7"/>
        <v>0</v>
      </c>
      <c r="H13" s="26" t="b">
        <f t="shared" si="8"/>
        <v>0</v>
      </c>
    </row>
    <row r="14" spans="1:26" ht="15.6" x14ac:dyDescent="0.3">
      <c r="A14" s="25"/>
      <c r="B14" s="25"/>
      <c r="C14" s="25"/>
      <c r="D14" s="27"/>
      <c r="E14" s="27"/>
      <c r="F14" s="27"/>
      <c r="G14" s="27"/>
      <c r="H14" s="27"/>
    </row>
    <row r="15" spans="1:26" ht="24" customHeight="1" x14ac:dyDescent="0.3">
      <c r="A15" s="418" t="s">
        <v>333</v>
      </c>
      <c r="B15" s="392"/>
      <c r="C15" s="392"/>
      <c r="D15" s="392"/>
      <c r="E15" s="392"/>
      <c r="F15" s="392"/>
      <c r="G15" s="1"/>
      <c r="H15" s="1"/>
      <c r="I15" s="1"/>
      <c r="J15" s="1"/>
      <c r="K15" s="1"/>
      <c r="L15" s="1"/>
      <c r="M15" s="1"/>
      <c r="N15" s="1"/>
      <c r="O15" s="1"/>
      <c r="P15" s="1"/>
      <c r="Q15" s="1"/>
      <c r="R15" s="1"/>
      <c r="S15" s="1"/>
      <c r="T15" s="1"/>
      <c r="U15" s="1"/>
      <c r="V15" s="1"/>
      <c r="W15" s="1"/>
      <c r="X15" s="1"/>
      <c r="Y15" s="1"/>
      <c r="Z15" s="1"/>
    </row>
    <row r="16" spans="1:26" ht="15.6" x14ac:dyDescent="0.3">
      <c r="A16" s="437" t="s">
        <v>334</v>
      </c>
      <c r="B16" s="439" t="s">
        <v>131</v>
      </c>
      <c r="C16" s="420"/>
      <c r="D16" s="420"/>
      <c r="E16" s="421"/>
      <c r="F16" s="440" t="s">
        <v>335</v>
      </c>
      <c r="G16" s="1"/>
      <c r="H16" s="1"/>
      <c r="I16" s="1"/>
      <c r="J16" s="1"/>
      <c r="K16" s="1"/>
      <c r="L16" s="1"/>
      <c r="M16" s="1"/>
      <c r="N16" s="1"/>
      <c r="O16" s="1"/>
      <c r="P16" s="1"/>
      <c r="Q16" s="1"/>
      <c r="R16" s="1"/>
      <c r="S16" s="1"/>
      <c r="T16" s="1"/>
      <c r="U16" s="1"/>
      <c r="V16" s="1"/>
      <c r="W16" s="1"/>
      <c r="X16" s="1"/>
      <c r="Y16" s="1"/>
      <c r="Z16" s="1"/>
    </row>
    <row r="17" spans="1:26" ht="15.6" x14ac:dyDescent="0.3">
      <c r="A17" s="438"/>
      <c r="B17" s="70" t="s">
        <v>336</v>
      </c>
      <c r="C17" s="70" t="s">
        <v>337</v>
      </c>
      <c r="D17" s="70" t="s">
        <v>338</v>
      </c>
      <c r="E17" s="70" t="s">
        <v>339</v>
      </c>
      <c r="F17" s="441"/>
      <c r="G17" s="1"/>
      <c r="H17" s="1"/>
      <c r="I17" s="1"/>
      <c r="J17" s="1"/>
      <c r="K17" s="1"/>
      <c r="L17" s="1"/>
      <c r="M17" s="1"/>
      <c r="N17" s="1"/>
      <c r="O17" s="1"/>
      <c r="P17" s="1"/>
      <c r="Q17" s="1"/>
      <c r="R17" s="1"/>
      <c r="S17" s="1"/>
      <c r="T17" s="1"/>
      <c r="U17" s="1"/>
      <c r="V17" s="1"/>
      <c r="W17" s="1"/>
      <c r="X17" s="1"/>
      <c r="Y17" s="1"/>
      <c r="Z17" s="1"/>
    </row>
    <row r="18" spans="1:26" ht="15.6" x14ac:dyDescent="0.3">
      <c r="A18" s="71" t="s">
        <v>340</v>
      </c>
      <c r="B18" s="72">
        <v>8</v>
      </c>
      <c r="C18" s="72">
        <v>9</v>
      </c>
      <c r="D18" s="72">
        <v>9</v>
      </c>
      <c r="E18" s="72">
        <v>7</v>
      </c>
      <c r="F18" s="73" t="str">
        <f t="shared" ref="F18:F23" si="9">IF(AND(AVERAGE(B18:E18)&gt;=5,B18&gt;=5),"Đỗ", "Hỏng")</f>
        <v>Đỗ</v>
      </c>
      <c r="G18" s="1"/>
      <c r="H18" s="1"/>
      <c r="I18" s="1"/>
      <c r="J18" s="1"/>
      <c r="K18" s="1"/>
      <c r="L18" s="1"/>
      <c r="M18" s="1"/>
      <c r="N18" s="1"/>
      <c r="O18" s="1"/>
      <c r="P18" s="1"/>
      <c r="Q18" s="1"/>
      <c r="R18" s="1"/>
      <c r="S18" s="1"/>
      <c r="T18" s="1"/>
      <c r="U18" s="1"/>
      <c r="V18" s="1"/>
      <c r="W18" s="1"/>
      <c r="X18" s="1"/>
      <c r="Y18" s="1"/>
      <c r="Z18" s="1"/>
    </row>
    <row r="19" spans="1:26" ht="15.6" x14ac:dyDescent="0.3">
      <c r="A19" s="74" t="s">
        <v>341</v>
      </c>
      <c r="B19" s="32">
        <v>4</v>
      </c>
      <c r="C19" s="32">
        <v>8</v>
      </c>
      <c r="D19" s="32">
        <v>8</v>
      </c>
      <c r="E19" s="32">
        <v>9</v>
      </c>
      <c r="F19" s="73" t="str">
        <f t="shared" si="9"/>
        <v>Hỏng</v>
      </c>
      <c r="G19" s="1"/>
      <c r="H19" s="1"/>
      <c r="I19" s="1"/>
      <c r="J19" s="1"/>
      <c r="K19" s="1"/>
      <c r="L19" s="1"/>
      <c r="M19" s="1"/>
      <c r="N19" s="1"/>
      <c r="O19" s="1"/>
      <c r="P19" s="1"/>
      <c r="Q19" s="1"/>
      <c r="R19" s="1"/>
      <c r="S19" s="1"/>
      <c r="T19" s="1"/>
      <c r="U19" s="1"/>
      <c r="V19" s="1"/>
      <c r="W19" s="1"/>
      <c r="X19" s="1"/>
      <c r="Y19" s="1"/>
      <c r="Z19" s="1"/>
    </row>
    <row r="20" spans="1:26" ht="15.6" x14ac:dyDescent="0.3">
      <c r="A20" s="74" t="s">
        <v>342</v>
      </c>
      <c r="B20" s="32">
        <v>7</v>
      </c>
      <c r="C20" s="32">
        <v>5</v>
      </c>
      <c r="D20" s="32">
        <v>8</v>
      </c>
      <c r="E20" s="32">
        <v>6</v>
      </c>
      <c r="F20" s="73" t="str">
        <f t="shared" si="9"/>
        <v>Đỗ</v>
      </c>
      <c r="G20" s="1"/>
      <c r="H20" s="1"/>
      <c r="I20" s="1"/>
      <c r="J20" s="1"/>
      <c r="K20" s="1"/>
      <c r="L20" s="1"/>
      <c r="M20" s="1"/>
      <c r="N20" s="1"/>
      <c r="O20" s="1"/>
      <c r="P20" s="1"/>
      <c r="Q20" s="1"/>
      <c r="R20" s="1"/>
      <c r="S20" s="1"/>
      <c r="T20" s="1"/>
      <c r="U20" s="1"/>
      <c r="V20" s="1"/>
      <c r="W20" s="1"/>
      <c r="X20" s="1"/>
      <c r="Y20" s="1"/>
      <c r="Z20" s="1"/>
    </row>
    <row r="21" spans="1:26" ht="15.75" customHeight="1" x14ac:dyDescent="0.3">
      <c r="A21" s="74" t="s">
        <v>343</v>
      </c>
      <c r="B21" s="32">
        <v>6</v>
      </c>
      <c r="C21" s="32">
        <v>4</v>
      </c>
      <c r="D21" s="32">
        <v>7</v>
      </c>
      <c r="E21" s="32">
        <v>2</v>
      </c>
      <c r="F21" s="73" t="str">
        <f t="shared" si="9"/>
        <v>Hỏng</v>
      </c>
      <c r="G21" s="1"/>
      <c r="H21" s="1"/>
      <c r="I21" s="1"/>
      <c r="J21" s="1"/>
      <c r="K21" s="1"/>
      <c r="L21" s="1"/>
      <c r="M21" s="1"/>
      <c r="N21" s="1"/>
      <c r="O21" s="1"/>
      <c r="P21" s="1"/>
      <c r="Q21" s="1"/>
      <c r="R21" s="1"/>
      <c r="S21" s="1"/>
      <c r="T21" s="1"/>
      <c r="U21" s="1"/>
      <c r="V21" s="1"/>
      <c r="W21" s="1"/>
      <c r="X21" s="1"/>
      <c r="Y21" s="1"/>
      <c r="Z21" s="1"/>
    </row>
    <row r="22" spans="1:26" ht="15.75" customHeight="1" x14ac:dyDescent="0.3">
      <c r="A22" s="74" t="s">
        <v>344</v>
      </c>
      <c r="B22" s="32">
        <v>6</v>
      </c>
      <c r="C22" s="32">
        <v>7</v>
      </c>
      <c r="D22" s="32">
        <v>9</v>
      </c>
      <c r="E22" s="32">
        <v>7</v>
      </c>
      <c r="F22" s="73" t="str">
        <f t="shared" si="9"/>
        <v>Đỗ</v>
      </c>
      <c r="G22" s="1"/>
      <c r="H22" s="1"/>
      <c r="I22" s="1"/>
      <c r="J22" s="1"/>
      <c r="K22" s="1"/>
      <c r="L22" s="1"/>
      <c r="M22" s="1"/>
      <c r="N22" s="1"/>
      <c r="O22" s="1"/>
      <c r="P22" s="1"/>
      <c r="Q22" s="1"/>
      <c r="R22" s="1"/>
      <c r="S22" s="1"/>
      <c r="T22" s="1"/>
      <c r="U22" s="1"/>
      <c r="V22" s="1"/>
      <c r="W22" s="1"/>
      <c r="X22" s="1"/>
      <c r="Y22" s="1"/>
      <c r="Z22" s="1"/>
    </row>
    <row r="23" spans="1:26" ht="15.75" customHeight="1" x14ac:dyDescent="0.3">
      <c r="A23" s="75" t="s">
        <v>345</v>
      </c>
      <c r="B23" s="76">
        <v>8</v>
      </c>
      <c r="C23" s="76">
        <v>8</v>
      </c>
      <c r="D23" s="76">
        <v>9</v>
      </c>
      <c r="E23" s="76">
        <v>8</v>
      </c>
      <c r="F23" s="73" t="str">
        <f t="shared" si="9"/>
        <v>Đỗ</v>
      </c>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t="s">
        <v>346</v>
      </c>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77" t="s">
        <v>347</v>
      </c>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77"/>
      <c r="B27" s="1"/>
      <c r="C27" s="1"/>
      <c r="D27" s="1"/>
      <c r="E27" s="1"/>
      <c r="F27" s="1"/>
      <c r="G27" s="1"/>
      <c r="H27" s="1"/>
      <c r="I27" s="1"/>
      <c r="J27" s="1"/>
      <c r="K27" s="1"/>
      <c r="L27" s="1"/>
      <c r="M27" s="1"/>
      <c r="N27" s="1"/>
      <c r="O27" s="1"/>
      <c r="P27" s="1"/>
      <c r="Q27" s="1"/>
      <c r="R27" s="1"/>
      <c r="S27" s="1"/>
      <c r="T27" s="1"/>
      <c r="U27" s="1"/>
      <c r="V27" s="1"/>
      <c r="W27" s="1"/>
      <c r="X27" s="1"/>
      <c r="Y27" s="1"/>
      <c r="Z27" s="1"/>
    </row>
    <row r="28" spans="1:26" ht="24" customHeight="1" x14ac:dyDescent="0.3">
      <c r="A28" s="418" t="s">
        <v>348</v>
      </c>
      <c r="B28" s="392"/>
      <c r="C28" s="392"/>
      <c r="D28" s="392"/>
      <c r="E28" s="392"/>
      <c r="F28" s="392"/>
      <c r="G28" s="392"/>
      <c r="H28" s="392"/>
      <c r="I28" s="78"/>
      <c r="J28" s="78"/>
      <c r="K28" s="78"/>
      <c r="L28" s="78"/>
      <c r="M28" s="78"/>
      <c r="N28" s="78"/>
      <c r="O28" s="78"/>
      <c r="P28" s="78"/>
      <c r="Q28" s="78"/>
      <c r="R28" s="78"/>
      <c r="S28" s="78"/>
      <c r="T28" s="78"/>
      <c r="U28" s="78"/>
      <c r="V28" s="78"/>
      <c r="W28" s="78"/>
      <c r="X28" s="78"/>
      <c r="Y28" s="78"/>
      <c r="Z28" s="78"/>
    </row>
    <row r="29" spans="1:26" ht="15.75" customHeight="1" x14ac:dyDescent="0.3">
      <c r="A29" s="78"/>
      <c r="B29" s="78"/>
      <c r="C29" s="78"/>
      <c r="D29" s="78"/>
      <c r="E29" s="78"/>
      <c r="F29" s="79" t="s">
        <v>349</v>
      </c>
      <c r="G29" s="79"/>
      <c r="H29" s="80">
        <v>24</v>
      </c>
      <c r="I29" s="78"/>
      <c r="J29" s="78"/>
      <c r="K29" s="78"/>
      <c r="L29" s="78"/>
      <c r="M29" s="78"/>
      <c r="N29" s="78"/>
      <c r="O29" s="78"/>
      <c r="P29" s="78"/>
      <c r="Q29" s="78"/>
      <c r="R29" s="78"/>
      <c r="S29" s="78"/>
      <c r="T29" s="78"/>
      <c r="U29" s="78"/>
      <c r="V29" s="78"/>
      <c r="W29" s="78"/>
      <c r="X29" s="78"/>
      <c r="Y29" s="78"/>
      <c r="Z29" s="78"/>
    </row>
    <row r="30" spans="1:26" ht="15.75" customHeight="1" x14ac:dyDescent="0.3">
      <c r="A30" s="78"/>
      <c r="B30" s="78"/>
      <c r="C30" s="78"/>
      <c r="D30" s="78"/>
      <c r="E30" s="78"/>
      <c r="F30" s="81" t="s">
        <v>350</v>
      </c>
      <c r="G30" s="81"/>
      <c r="H30" s="82">
        <v>1000000</v>
      </c>
      <c r="I30" s="78"/>
      <c r="J30" s="78"/>
      <c r="K30" s="78"/>
      <c r="L30" s="78"/>
      <c r="M30" s="78"/>
      <c r="N30" s="78"/>
      <c r="O30" s="78"/>
      <c r="P30" s="78"/>
      <c r="Q30" s="78"/>
      <c r="R30" s="78"/>
      <c r="S30" s="78"/>
      <c r="T30" s="78"/>
      <c r="U30" s="78"/>
      <c r="V30" s="78"/>
      <c r="W30" s="78"/>
      <c r="X30" s="78"/>
      <c r="Y30" s="78"/>
      <c r="Z30" s="78"/>
    </row>
    <row r="31" spans="1:26" ht="30" customHeight="1" x14ac:dyDescent="0.3">
      <c r="A31" s="83" t="s">
        <v>77</v>
      </c>
      <c r="B31" s="84" t="s">
        <v>334</v>
      </c>
      <c r="C31" s="84" t="s">
        <v>351</v>
      </c>
      <c r="D31" s="84" t="s">
        <v>352</v>
      </c>
      <c r="E31" s="84" t="s">
        <v>353</v>
      </c>
      <c r="F31" s="84" t="s">
        <v>354</v>
      </c>
      <c r="G31" s="84" t="s">
        <v>355</v>
      </c>
      <c r="H31" s="85" t="s">
        <v>356</v>
      </c>
      <c r="I31" s="78"/>
      <c r="J31" s="78"/>
      <c r="K31" s="78"/>
      <c r="L31" s="78"/>
      <c r="M31" s="78"/>
      <c r="N31" s="78"/>
      <c r="O31" s="78"/>
      <c r="P31" s="78"/>
      <c r="Q31" s="78"/>
      <c r="R31" s="78"/>
      <c r="S31" s="78"/>
      <c r="T31" s="78"/>
      <c r="U31" s="78"/>
      <c r="V31" s="78"/>
      <c r="W31" s="78"/>
      <c r="X31" s="78"/>
      <c r="Y31" s="78"/>
      <c r="Z31" s="78"/>
    </row>
    <row r="32" spans="1:26" ht="15.75" customHeight="1" x14ac:dyDescent="0.3">
      <c r="A32" s="86">
        <v>1</v>
      </c>
      <c r="B32" s="87" t="s">
        <v>357</v>
      </c>
      <c r="C32" s="88">
        <v>25</v>
      </c>
      <c r="D32" s="89">
        <f t="shared" ref="D32:D44" si="10">$H$30/$H$29*C32</f>
        <v>1041666.6666666666</v>
      </c>
      <c r="E32" s="89">
        <f t="shared" ref="E32:E44" si="11">IF(C32&gt;=26,200000,100000)</f>
        <v>100000</v>
      </c>
      <c r="F32" s="89">
        <f t="shared" ref="F32:F44" si="12">D32+E32</f>
        <v>1141666.6666666665</v>
      </c>
      <c r="G32" s="89">
        <f t="shared" ref="G32:G44" si="13">IF(C32&gt;=26,D32*(80/100),D32*(60/100))</f>
        <v>625000</v>
      </c>
      <c r="H32" s="90">
        <f t="shared" ref="H32:H44" si="14">F32-G32</f>
        <v>516666.66666666651</v>
      </c>
      <c r="I32" s="78"/>
      <c r="J32" s="78"/>
      <c r="K32" s="78"/>
      <c r="L32" s="78"/>
      <c r="M32" s="78"/>
      <c r="N32" s="78"/>
      <c r="O32" s="78"/>
      <c r="P32" s="78"/>
      <c r="Q32" s="78"/>
      <c r="R32" s="78"/>
      <c r="S32" s="78"/>
      <c r="T32" s="78"/>
      <c r="U32" s="78"/>
      <c r="V32" s="78"/>
      <c r="W32" s="78"/>
      <c r="X32" s="78"/>
      <c r="Y32" s="78"/>
      <c r="Z32" s="78"/>
    </row>
    <row r="33" spans="1:26" ht="15.75" customHeight="1" x14ac:dyDescent="0.3">
      <c r="A33" s="91">
        <v>2</v>
      </c>
      <c r="B33" s="79" t="s">
        <v>358</v>
      </c>
      <c r="C33" s="53">
        <v>27</v>
      </c>
      <c r="D33" s="89">
        <f t="shared" si="10"/>
        <v>1125000</v>
      </c>
      <c r="E33" s="89">
        <f t="shared" si="11"/>
        <v>200000</v>
      </c>
      <c r="F33" s="89">
        <f t="shared" si="12"/>
        <v>1325000</v>
      </c>
      <c r="G33" s="89">
        <f t="shared" si="13"/>
        <v>900000</v>
      </c>
      <c r="H33" s="90">
        <f t="shared" si="14"/>
        <v>425000</v>
      </c>
      <c r="I33" s="78"/>
      <c r="J33" s="78"/>
      <c r="K33" s="78"/>
      <c r="L33" s="78"/>
      <c r="M33" s="78"/>
      <c r="N33" s="78"/>
      <c r="O33" s="78"/>
      <c r="P33" s="78"/>
      <c r="Q33" s="78"/>
      <c r="R33" s="78"/>
      <c r="S33" s="78"/>
      <c r="T33" s="78"/>
      <c r="U33" s="78"/>
      <c r="V33" s="78"/>
      <c r="W33" s="78"/>
      <c r="X33" s="78"/>
      <c r="Y33" s="78"/>
      <c r="Z33" s="78"/>
    </row>
    <row r="34" spans="1:26" ht="15.75" customHeight="1" x14ac:dyDescent="0.3">
      <c r="A34" s="91">
        <v>3</v>
      </c>
      <c r="B34" s="79" t="s">
        <v>359</v>
      </c>
      <c r="C34" s="53">
        <v>26</v>
      </c>
      <c r="D34" s="89">
        <f t="shared" si="10"/>
        <v>1083333.3333333333</v>
      </c>
      <c r="E34" s="89">
        <f t="shared" si="11"/>
        <v>200000</v>
      </c>
      <c r="F34" s="89">
        <f t="shared" si="12"/>
        <v>1283333.3333333333</v>
      </c>
      <c r="G34" s="89">
        <f t="shared" si="13"/>
        <v>866666.66666666663</v>
      </c>
      <c r="H34" s="90">
        <f t="shared" si="14"/>
        <v>416666.66666666663</v>
      </c>
      <c r="I34" s="78"/>
      <c r="J34" s="78"/>
      <c r="K34" s="78"/>
      <c r="L34" s="78"/>
      <c r="M34" s="78"/>
      <c r="N34" s="78"/>
      <c r="O34" s="78"/>
      <c r="P34" s="78"/>
      <c r="Q34" s="78"/>
      <c r="R34" s="78"/>
      <c r="S34" s="78"/>
      <c r="T34" s="78"/>
      <c r="U34" s="78"/>
      <c r="V34" s="78"/>
      <c r="W34" s="78"/>
      <c r="X34" s="78"/>
      <c r="Y34" s="78"/>
      <c r="Z34" s="78"/>
    </row>
    <row r="35" spans="1:26" ht="15.75" customHeight="1" x14ac:dyDescent="0.3">
      <c r="A35" s="91">
        <v>4</v>
      </c>
      <c r="B35" s="79" t="s">
        <v>360</v>
      </c>
      <c r="C35" s="53">
        <v>25</v>
      </c>
      <c r="D35" s="89">
        <f t="shared" si="10"/>
        <v>1041666.6666666666</v>
      </c>
      <c r="E35" s="89">
        <f t="shared" si="11"/>
        <v>100000</v>
      </c>
      <c r="F35" s="89">
        <f t="shared" si="12"/>
        <v>1141666.6666666665</v>
      </c>
      <c r="G35" s="89">
        <f t="shared" si="13"/>
        <v>625000</v>
      </c>
      <c r="H35" s="90">
        <f t="shared" si="14"/>
        <v>516666.66666666651</v>
      </c>
      <c r="I35" s="78"/>
      <c r="J35" s="78"/>
      <c r="K35" s="78"/>
      <c r="L35" s="78"/>
      <c r="M35" s="78"/>
      <c r="N35" s="78"/>
      <c r="O35" s="78"/>
      <c r="P35" s="78"/>
      <c r="Q35" s="78"/>
      <c r="R35" s="78"/>
      <c r="S35" s="78"/>
      <c r="T35" s="78"/>
      <c r="U35" s="78"/>
      <c r="V35" s="78"/>
      <c r="W35" s="78"/>
      <c r="X35" s="78"/>
      <c r="Y35" s="78"/>
      <c r="Z35" s="78"/>
    </row>
    <row r="36" spans="1:26" ht="15.75" customHeight="1" x14ac:dyDescent="0.3">
      <c r="A36" s="91">
        <v>5</v>
      </c>
      <c r="B36" s="79" t="s">
        <v>361</v>
      </c>
      <c r="C36" s="53">
        <v>24</v>
      </c>
      <c r="D36" s="89">
        <f t="shared" si="10"/>
        <v>1000000</v>
      </c>
      <c r="E36" s="89">
        <f t="shared" si="11"/>
        <v>100000</v>
      </c>
      <c r="F36" s="89">
        <f t="shared" si="12"/>
        <v>1100000</v>
      </c>
      <c r="G36" s="89">
        <f t="shared" si="13"/>
        <v>600000</v>
      </c>
      <c r="H36" s="90">
        <f t="shared" si="14"/>
        <v>500000</v>
      </c>
      <c r="I36" s="78"/>
      <c r="J36" s="78"/>
      <c r="K36" s="78"/>
      <c r="L36" s="78"/>
      <c r="M36" s="78"/>
      <c r="N36" s="78"/>
      <c r="O36" s="78"/>
      <c r="P36" s="78"/>
      <c r="Q36" s="78"/>
      <c r="R36" s="78"/>
      <c r="S36" s="78"/>
      <c r="T36" s="78"/>
      <c r="U36" s="78"/>
      <c r="V36" s="78"/>
      <c r="W36" s="78"/>
      <c r="X36" s="78"/>
      <c r="Y36" s="78"/>
      <c r="Z36" s="78"/>
    </row>
    <row r="37" spans="1:26" ht="15.75" customHeight="1" x14ac:dyDescent="0.3">
      <c r="A37" s="91">
        <v>6</v>
      </c>
      <c r="B37" s="79" t="s">
        <v>362</v>
      </c>
      <c r="C37" s="53">
        <v>28</v>
      </c>
      <c r="D37" s="89">
        <f t="shared" si="10"/>
        <v>1166666.6666666665</v>
      </c>
      <c r="E37" s="89">
        <f t="shared" si="11"/>
        <v>200000</v>
      </c>
      <c r="F37" s="89">
        <f t="shared" si="12"/>
        <v>1366666.6666666665</v>
      </c>
      <c r="G37" s="89">
        <f t="shared" si="13"/>
        <v>933333.33333333326</v>
      </c>
      <c r="H37" s="90">
        <f t="shared" si="14"/>
        <v>433333.33333333326</v>
      </c>
      <c r="I37" s="78"/>
      <c r="J37" s="78"/>
      <c r="K37" s="78"/>
      <c r="L37" s="78"/>
      <c r="M37" s="78"/>
      <c r="N37" s="78"/>
      <c r="O37" s="78"/>
      <c r="P37" s="78"/>
      <c r="Q37" s="78"/>
      <c r="R37" s="78"/>
      <c r="S37" s="78"/>
      <c r="T37" s="78"/>
      <c r="U37" s="78"/>
      <c r="V37" s="78"/>
      <c r="W37" s="78"/>
      <c r="X37" s="78"/>
      <c r="Y37" s="78"/>
      <c r="Z37" s="78"/>
    </row>
    <row r="38" spans="1:26" ht="15.75" customHeight="1" x14ac:dyDescent="0.3">
      <c r="A38" s="91">
        <v>7</v>
      </c>
      <c r="B38" s="79" t="s">
        <v>363</v>
      </c>
      <c r="C38" s="53">
        <v>27</v>
      </c>
      <c r="D38" s="89">
        <f t="shared" si="10"/>
        <v>1125000</v>
      </c>
      <c r="E38" s="89">
        <f t="shared" si="11"/>
        <v>200000</v>
      </c>
      <c r="F38" s="89">
        <f t="shared" si="12"/>
        <v>1325000</v>
      </c>
      <c r="G38" s="89">
        <f t="shared" si="13"/>
        <v>900000</v>
      </c>
      <c r="H38" s="90">
        <f t="shared" si="14"/>
        <v>425000</v>
      </c>
      <c r="I38" s="78"/>
      <c r="J38" s="78"/>
      <c r="K38" s="78"/>
      <c r="L38" s="78"/>
      <c r="M38" s="78"/>
      <c r="N38" s="78"/>
      <c r="O38" s="78"/>
      <c r="P38" s="78"/>
      <c r="Q38" s="78"/>
      <c r="R38" s="78"/>
      <c r="S38" s="78"/>
      <c r="T38" s="78"/>
      <c r="U38" s="78"/>
      <c r="V38" s="78"/>
      <c r="W38" s="78"/>
      <c r="X38" s="78"/>
      <c r="Y38" s="78"/>
      <c r="Z38" s="78"/>
    </row>
    <row r="39" spans="1:26" ht="15.75" customHeight="1" x14ac:dyDescent="0.3">
      <c r="A39" s="91">
        <v>8</v>
      </c>
      <c r="B39" s="79" t="s">
        <v>364</v>
      </c>
      <c r="C39" s="53">
        <v>26</v>
      </c>
      <c r="D39" s="89">
        <f t="shared" si="10"/>
        <v>1083333.3333333333</v>
      </c>
      <c r="E39" s="89">
        <f t="shared" si="11"/>
        <v>200000</v>
      </c>
      <c r="F39" s="89">
        <f t="shared" si="12"/>
        <v>1283333.3333333333</v>
      </c>
      <c r="G39" s="89">
        <f t="shared" si="13"/>
        <v>866666.66666666663</v>
      </c>
      <c r="H39" s="90">
        <f t="shared" si="14"/>
        <v>416666.66666666663</v>
      </c>
      <c r="I39" s="78"/>
      <c r="J39" s="78"/>
      <c r="K39" s="78"/>
      <c r="L39" s="78"/>
      <c r="M39" s="78"/>
      <c r="N39" s="78"/>
      <c r="O39" s="78"/>
      <c r="P39" s="78"/>
      <c r="Q39" s="78"/>
      <c r="R39" s="78"/>
      <c r="S39" s="78"/>
      <c r="T39" s="78"/>
      <c r="U39" s="78"/>
      <c r="V39" s="78"/>
      <c r="W39" s="78"/>
      <c r="X39" s="78"/>
      <c r="Y39" s="78"/>
      <c r="Z39" s="78"/>
    </row>
    <row r="40" spans="1:26" ht="15.75" customHeight="1" x14ac:dyDescent="0.3">
      <c r="A40" s="91">
        <v>9</v>
      </c>
      <c r="B40" s="79" t="s">
        <v>365</v>
      </c>
      <c r="C40" s="53">
        <v>25</v>
      </c>
      <c r="D40" s="89">
        <f t="shared" si="10"/>
        <v>1041666.6666666666</v>
      </c>
      <c r="E40" s="89">
        <f t="shared" si="11"/>
        <v>100000</v>
      </c>
      <c r="F40" s="89">
        <f t="shared" si="12"/>
        <v>1141666.6666666665</v>
      </c>
      <c r="G40" s="89">
        <f t="shared" si="13"/>
        <v>625000</v>
      </c>
      <c r="H40" s="90">
        <f t="shared" si="14"/>
        <v>516666.66666666651</v>
      </c>
      <c r="I40" s="78"/>
      <c r="J40" s="78"/>
      <c r="K40" s="78"/>
      <c r="L40" s="78"/>
      <c r="M40" s="78"/>
      <c r="N40" s="78"/>
      <c r="O40" s="78"/>
      <c r="P40" s="78"/>
      <c r="Q40" s="78"/>
      <c r="R40" s="78"/>
      <c r="S40" s="78"/>
      <c r="T40" s="78"/>
      <c r="U40" s="78"/>
      <c r="V40" s="78"/>
      <c r="W40" s="78"/>
      <c r="X40" s="78"/>
      <c r="Y40" s="78"/>
      <c r="Z40" s="78"/>
    </row>
    <row r="41" spans="1:26" ht="15.75" customHeight="1" x14ac:dyDescent="0.3">
      <c r="A41" s="91">
        <v>10</v>
      </c>
      <c r="B41" s="79" t="s">
        <v>366</v>
      </c>
      <c r="C41" s="53">
        <v>26</v>
      </c>
      <c r="D41" s="89">
        <f t="shared" si="10"/>
        <v>1083333.3333333333</v>
      </c>
      <c r="E41" s="89">
        <f t="shared" si="11"/>
        <v>200000</v>
      </c>
      <c r="F41" s="89">
        <f t="shared" si="12"/>
        <v>1283333.3333333333</v>
      </c>
      <c r="G41" s="89">
        <f t="shared" si="13"/>
        <v>866666.66666666663</v>
      </c>
      <c r="H41" s="90">
        <f t="shared" si="14"/>
        <v>416666.66666666663</v>
      </c>
      <c r="I41" s="78"/>
      <c r="J41" s="78"/>
      <c r="K41" s="78"/>
      <c r="L41" s="78"/>
      <c r="M41" s="78"/>
      <c r="N41" s="78"/>
      <c r="O41" s="78"/>
      <c r="P41" s="78"/>
      <c r="Q41" s="78"/>
      <c r="R41" s="78"/>
      <c r="S41" s="78"/>
      <c r="T41" s="78"/>
      <c r="U41" s="78"/>
      <c r="V41" s="78"/>
      <c r="W41" s="78"/>
      <c r="X41" s="78"/>
      <c r="Y41" s="78"/>
      <c r="Z41" s="78"/>
    </row>
    <row r="42" spans="1:26" ht="15.75" customHeight="1" x14ac:dyDescent="0.3">
      <c r="A42" s="91">
        <v>11</v>
      </c>
      <c r="B42" s="79" t="s">
        <v>367</v>
      </c>
      <c r="C42" s="53">
        <v>24</v>
      </c>
      <c r="D42" s="89">
        <f t="shared" si="10"/>
        <v>1000000</v>
      </c>
      <c r="E42" s="89">
        <f t="shared" si="11"/>
        <v>100000</v>
      </c>
      <c r="F42" s="89">
        <f t="shared" si="12"/>
        <v>1100000</v>
      </c>
      <c r="G42" s="89">
        <f t="shared" si="13"/>
        <v>600000</v>
      </c>
      <c r="H42" s="90">
        <f t="shared" si="14"/>
        <v>500000</v>
      </c>
      <c r="I42" s="78"/>
      <c r="J42" s="78"/>
      <c r="K42" s="78"/>
      <c r="L42" s="78"/>
      <c r="M42" s="78"/>
      <c r="N42" s="78"/>
      <c r="O42" s="78"/>
      <c r="P42" s="78"/>
      <c r="Q42" s="78"/>
      <c r="R42" s="78"/>
      <c r="S42" s="78"/>
      <c r="T42" s="78"/>
      <c r="U42" s="78"/>
      <c r="V42" s="78"/>
      <c r="W42" s="78"/>
      <c r="X42" s="78"/>
      <c r="Y42" s="78"/>
      <c r="Z42" s="78"/>
    </row>
    <row r="43" spans="1:26" ht="15.75" customHeight="1" x14ac:dyDescent="0.3">
      <c r="A43" s="91">
        <v>12</v>
      </c>
      <c r="B43" s="79" t="s">
        <v>368</v>
      </c>
      <c r="C43" s="53">
        <v>27</v>
      </c>
      <c r="D43" s="89">
        <f t="shared" si="10"/>
        <v>1125000</v>
      </c>
      <c r="E43" s="89">
        <f t="shared" si="11"/>
        <v>200000</v>
      </c>
      <c r="F43" s="89">
        <f t="shared" si="12"/>
        <v>1325000</v>
      </c>
      <c r="G43" s="89">
        <f t="shared" si="13"/>
        <v>900000</v>
      </c>
      <c r="H43" s="90">
        <f t="shared" si="14"/>
        <v>425000</v>
      </c>
      <c r="I43" s="78"/>
      <c r="J43" s="78"/>
      <c r="K43" s="78"/>
      <c r="L43" s="78"/>
      <c r="M43" s="78"/>
      <c r="N43" s="78"/>
      <c r="O43" s="78"/>
      <c r="P43" s="78"/>
      <c r="Q43" s="78"/>
      <c r="R43" s="78"/>
      <c r="S43" s="78"/>
      <c r="T43" s="78"/>
      <c r="U43" s="78"/>
      <c r="V43" s="78"/>
      <c r="W43" s="78"/>
      <c r="X43" s="78"/>
      <c r="Y43" s="78"/>
      <c r="Z43" s="78"/>
    </row>
    <row r="44" spans="1:26" ht="15.75" customHeight="1" x14ac:dyDescent="0.3">
      <c r="A44" s="92">
        <v>13</v>
      </c>
      <c r="B44" s="81" t="s">
        <v>369</v>
      </c>
      <c r="C44" s="93">
        <v>25</v>
      </c>
      <c r="D44" s="89">
        <f t="shared" si="10"/>
        <v>1041666.6666666666</v>
      </c>
      <c r="E44" s="89">
        <f t="shared" si="11"/>
        <v>100000</v>
      </c>
      <c r="F44" s="89">
        <f t="shared" si="12"/>
        <v>1141666.6666666665</v>
      </c>
      <c r="G44" s="89">
        <f t="shared" si="13"/>
        <v>625000</v>
      </c>
      <c r="H44" s="90">
        <f t="shared" si="14"/>
        <v>516666.66666666651</v>
      </c>
      <c r="I44" s="78"/>
      <c r="J44" s="78"/>
      <c r="K44" s="78"/>
      <c r="L44" s="78"/>
      <c r="M44" s="78"/>
      <c r="N44" s="78"/>
      <c r="O44" s="78"/>
      <c r="P44" s="78"/>
      <c r="Q44" s="78"/>
      <c r="R44" s="78"/>
      <c r="S44" s="78"/>
      <c r="T44" s="78"/>
      <c r="U44" s="78"/>
      <c r="V44" s="78"/>
      <c r="W44" s="78"/>
      <c r="X44" s="78"/>
      <c r="Y44" s="78"/>
      <c r="Z44" s="78"/>
    </row>
    <row r="45" spans="1:26" ht="15.75" customHeight="1" x14ac:dyDescent="0.3">
      <c r="A45" s="430" t="s">
        <v>370</v>
      </c>
      <c r="B45" s="420"/>
      <c r="C45" s="421"/>
      <c r="D45" s="94">
        <f t="shared" ref="D45:H45" si="15">SUM(D32:D44)</f>
        <v>13958333.333333334</v>
      </c>
      <c r="E45" s="94">
        <f t="shared" si="15"/>
        <v>2000000</v>
      </c>
      <c r="F45" s="94">
        <f t="shared" si="15"/>
        <v>15958333.333333332</v>
      </c>
      <c r="G45" s="94">
        <f t="shared" si="15"/>
        <v>9933333.333333334</v>
      </c>
      <c r="H45" s="94">
        <f t="shared" si="15"/>
        <v>6025000</v>
      </c>
      <c r="I45" s="78"/>
      <c r="J45" s="78"/>
      <c r="K45" s="78"/>
      <c r="L45" s="78"/>
      <c r="M45" s="78"/>
      <c r="N45" s="78"/>
      <c r="O45" s="78"/>
      <c r="P45" s="78"/>
      <c r="Q45" s="78"/>
      <c r="R45" s="78"/>
      <c r="S45" s="78"/>
      <c r="T45" s="78"/>
      <c r="U45" s="78"/>
      <c r="V45" s="78"/>
      <c r="W45" s="78"/>
      <c r="X45" s="78"/>
      <c r="Y45" s="78"/>
      <c r="Z45" s="78"/>
    </row>
    <row r="46" spans="1:26" ht="15.75" customHeight="1" x14ac:dyDescent="0.3">
      <c r="A46" s="431" t="s">
        <v>371</v>
      </c>
      <c r="B46" s="389"/>
      <c r="C46" s="390"/>
      <c r="D46" s="94">
        <f t="shared" ref="D46:H46" si="16">AVERAGE(D32:D44)</f>
        <v>1073717.9487179487</v>
      </c>
      <c r="E46" s="94">
        <f t="shared" si="16"/>
        <v>153846.15384615384</v>
      </c>
      <c r="F46" s="94">
        <f t="shared" si="16"/>
        <v>1227564.1025641025</v>
      </c>
      <c r="G46" s="94">
        <f t="shared" si="16"/>
        <v>764102.56410256412</v>
      </c>
      <c r="H46" s="94">
        <f t="shared" si="16"/>
        <v>463461.53846153844</v>
      </c>
      <c r="I46" s="78"/>
      <c r="J46" s="78"/>
      <c r="K46" s="78"/>
      <c r="L46" s="78"/>
      <c r="M46" s="78"/>
      <c r="N46" s="78"/>
      <c r="O46" s="78"/>
      <c r="P46" s="78"/>
      <c r="Q46" s="78"/>
      <c r="R46" s="78"/>
      <c r="S46" s="78"/>
      <c r="T46" s="78"/>
      <c r="U46" s="78"/>
      <c r="V46" s="78"/>
      <c r="W46" s="78"/>
      <c r="X46" s="78"/>
      <c r="Y46" s="78"/>
      <c r="Z46" s="78"/>
    </row>
    <row r="47" spans="1:26" ht="15.75" customHeight="1" x14ac:dyDescent="0.3">
      <c r="A47" s="431" t="s">
        <v>372</v>
      </c>
      <c r="B47" s="389"/>
      <c r="C47" s="390"/>
      <c r="D47" s="94">
        <f t="shared" ref="D47:H47" si="17">MAX(D32:D44)</f>
        <v>1166666.6666666665</v>
      </c>
      <c r="E47" s="94">
        <f t="shared" si="17"/>
        <v>200000</v>
      </c>
      <c r="F47" s="94">
        <f t="shared" si="17"/>
        <v>1366666.6666666665</v>
      </c>
      <c r="G47" s="94">
        <f t="shared" si="17"/>
        <v>933333.33333333326</v>
      </c>
      <c r="H47" s="94">
        <f t="shared" si="17"/>
        <v>516666.66666666651</v>
      </c>
      <c r="I47" s="78"/>
      <c r="J47" s="78"/>
      <c r="K47" s="78"/>
      <c r="L47" s="78"/>
      <c r="M47" s="78"/>
      <c r="N47" s="78"/>
      <c r="O47" s="78"/>
      <c r="P47" s="78"/>
      <c r="Q47" s="78"/>
      <c r="R47" s="78"/>
      <c r="S47" s="78"/>
      <c r="T47" s="78"/>
      <c r="U47" s="78"/>
      <c r="V47" s="78"/>
      <c r="W47" s="78"/>
      <c r="X47" s="78"/>
      <c r="Y47" s="78"/>
      <c r="Z47" s="78"/>
    </row>
    <row r="48" spans="1:26" ht="15.75" customHeight="1" x14ac:dyDescent="0.3">
      <c r="A48" s="432" t="s">
        <v>373</v>
      </c>
      <c r="B48" s="433"/>
      <c r="C48" s="434"/>
      <c r="D48" s="94">
        <f t="shared" ref="D48:H48" si="18">MIN(D32:D44)</f>
        <v>1000000</v>
      </c>
      <c r="E48" s="94">
        <f t="shared" si="18"/>
        <v>100000</v>
      </c>
      <c r="F48" s="94">
        <f t="shared" si="18"/>
        <v>1100000</v>
      </c>
      <c r="G48" s="94">
        <f t="shared" si="18"/>
        <v>600000</v>
      </c>
      <c r="H48" s="94">
        <f t="shared" si="18"/>
        <v>416666.66666666663</v>
      </c>
      <c r="I48" s="78"/>
      <c r="J48" s="78"/>
      <c r="K48" s="78"/>
      <c r="L48" s="78"/>
      <c r="M48" s="78"/>
      <c r="N48" s="78"/>
      <c r="O48" s="78"/>
      <c r="P48" s="78"/>
      <c r="Q48" s="78"/>
      <c r="R48" s="78"/>
      <c r="S48" s="78"/>
      <c r="T48" s="78"/>
      <c r="U48" s="78"/>
      <c r="V48" s="78"/>
      <c r="W48" s="78"/>
      <c r="X48" s="78"/>
      <c r="Y48" s="78"/>
      <c r="Z48" s="78"/>
    </row>
    <row r="49" spans="1:26" ht="15.75" customHeight="1" x14ac:dyDescent="0.3">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ht="15.75" customHeight="1" x14ac:dyDescent="0.3">
      <c r="A50" s="95" t="s">
        <v>374</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ht="15.75" customHeight="1" x14ac:dyDescent="0.3">
      <c r="A51" s="95" t="s">
        <v>375</v>
      </c>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spans="1:26" ht="15.75" customHeight="1" x14ac:dyDescent="0.3">
      <c r="A52" s="95" t="s">
        <v>376</v>
      </c>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ht="15.75" customHeight="1" x14ac:dyDescent="0.3">
      <c r="A53" s="95" t="s">
        <v>377</v>
      </c>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ht="15.75" customHeight="1" x14ac:dyDescent="0.3">
      <c r="A54" s="95" t="s">
        <v>378</v>
      </c>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ht="15.75" customHeight="1" x14ac:dyDescent="0.3">
      <c r="A55" s="95" t="s">
        <v>379</v>
      </c>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spans="1:26" ht="15.75" customHeight="1" x14ac:dyDescent="0.3">
      <c r="A56" s="95"/>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ht="24" customHeight="1" x14ac:dyDescent="0.3">
      <c r="A57" s="418" t="s">
        <v>380</v>
      </c>
      <c r="B57" s="392"/>
      <c r="C57" s="392"/>
      <c r="D57" s="392"/>
      <c r="E57" s="392"/>
      <c r="F57" s="392"/>
      <c r="G57" s="392"/>
      <c r="H57" s="392"/>
      <c r="I57" s="392"/>
      <c r="J57" s="392"/>
      <c r="K57" s="392"/>
      <c r="L57" s="392"/>
      <c r="M57" s="78"/>
      <c r="N57" s="78"/>
      <c r="O57" s="78"/>
      <c r="P57" s="78"/>
      <c r="Q57" s="78"/>
      <c r="R57" s="78"/>
      <c r="S57" s="78"/>
      <c r="T57" s="78"/>
      <c r="U57" s="78"/>
      <c r="V57" s="78"/>
      <c r="W57" s="78"/>
      <c r="X57" s="78"/>
      <c r="Y57" s="78"/>
      <c r="Z57" s="78"/>
    </row>
    <row r="58" spans="1:26" ht="18" customHeight="1" x14ac:dyDescent="0.3">
      <c r="A58" s="96" t="s">
        <v>77</v>
      </c>
      <c r="B58" s="425" t="s">
        <v>381</v>
      </c>
      <c r="C58" s="424"/>
      <c r="D58" s="97" t="s">
        <v>123</v>
      </c>
      <c r="E58" s="97" t="s">
        <v>124</v>
      </c>
      <c r="F58" s="97" t="s">
        <v>125</v>
      </c>
      <c r="G58" s="97" t="s">
        <v>126</v>
      </c>
      <c r="H58" s="97" t="s">
        <v>122</v>
      </c>
      <c r="I58" s="97" t="s">
        <v>382</v>
      </c>
      <c r="J58" s="97" t="s">
        <v>383</v>
      </c>
      <c r="K58" s="97" t="s">
        <v>384</v>
      </c>
      <c r="L58" s="98" t="s">
        <v>385</v>
      </c>
      <c r="M58" s="78"/>
      <c r="N58" s="78"/>
      <c r="O58" s="78"/>
      <c r="P58" s="78"/>
      <c r="Q58" s="78"/>
      <c r="R58" s="78"/>
      <c r="S58" s="78"/>
      <c r="T58" s="78"/>
      <c r="U58" s="78"/>
      <c r="V58" s="78"/>
      <c r="W58" s="78"/>
      <c r="X58" s="78"/>
      <c r="Y58" s="78"/>
      <c r="Z58" s="78"/>
    </row>
    <row r="59" spans="1:26" ht="15.75" customHeight="1" x14ac:dyDescent="0.3">
      <c r="A59" s="86">
        <v>1</v>
      </c>
      <c r="B59" s="87" t="s">
        <v>386</v>
      </c>
      <c r="C59" s="87" t="s">
        <v>387</v>
      </c>
      <c r="D59" s="99">
        <v>10</v>
      </c>
      <c r="E59" s="100">
        <v>2.5</v>
      </c>
      <c r="F59" s="100">
        <v>4</v>
      </c>
      <c r="G59" s="100">
        <v>3.5</v>
      </c>
      <c r="H59" s="100">
        <v>9</v>
      </c>
      <c r="I59" s="100">
        <v>6</v>
      </c>
      <c r="J59" s="101">
        <f t="shared" ref="J59:J64" si="19">(D59*7+E59*5+F59*6+G59*5+H59*7+I59*10)/40</f>
        <v>6.1749999999999998</v>
      </c>
      <c r="K59" s="102" t="str">
        <f t="shared" ref="K59:K64" si="20">IF(J59&gt;=9,"Xuất sắc",IF(J59&gt;=7,"Khá",IF(J59&gt;=5,"Trung bình","Kém")))</f>
        <v>Trung bình</v>
      </c>
      <c r="L59" s="103">
        <f t="shared" ref="L59:L64" si="21">RANK(J59,$J$59:$J$64)</f>
        <v>3</v>
      </c>
      <c r="M59" s="78"/>
      <c r="N59" s="78"/>
      <c r="O59" s="78"/>
      <c r="P59" s="78"/>
      <c r="Q59" s="78"/>
      <c r="R59" s="78"/>
      <c r="S59" s="78"/>
      <c r="T59" s="78"/>
      <c r="U59" s="78"/>
      <c r="V59" s="78"/>
      <c r="W59" s="78"/>
      <c r="X59" s="78"/>
      <c r="Y59" s="78"/>
      <c r="Z59" s="78"/>
    </row>
    <row r="60" spans="1:26" ht="15.75" customHeight="1" x14ac:dyDescent="0.3">
      <c r="A60" s="91">
        <v>2</v>
      </c>
      <c r="B60" s="79" t="s">
        <v>388</v>
      </c>
      <c r="C60" s="79" t="s">
        <v>389</v>
      </c>
      <c r="D60" s="104">
        <v>2</v>
      </c>
      <c r="E60" s="104">
        <v>9</v>
      </c>
      <c r="F60" s="104">
        <v>9</v>
      </c>
      <c r="G60" s="104">
        <v>1</v>
      </c>
      <c r="H60" s="104">
        <v>8</v>
      </c>
      <c r="I60" s="104">
        <v>8</v>
      </c>
      <c r="J60" s="101">
        <f t="shared" si="19"/>
        <v>6.35</v>
      </c>
      <c r="K60" s="102" t="str">
        <f t="shared" si="20"/>
        <v>Trung bình</v>
      </c>
      <c r="L60" s="103">
        <f t="shared" si="21"/>
        <v>2</v>
      </c>
      <c r="M60" s="78"/>
      <c r="N60" s="78"/>
      <c r="O60" s="78"/>
      <c r="P60" s="78"/>
      <c r="Q60" s="78"/>
      <c r="R60" s="78"/>
      <c r="S60" s="78"/>
      <c r="T60" s="78"/>
      <c r="U60" s="78"/>
      <c r="V60" s="78"/>
      <c r="W60" s="78"/>
      <c r="X60" s="78"/>
      <c r="Y60" s="78"/>
      <c r="Z60" s="78"/>
    </row>
    <row r="61" spans="1:26" ht="15.75" customHeight="1" x14ac:dyDescent="0.3">
      <c r="A61" s="91">
        <v>3</v>
      </c>
      <c r="B61" s="79" t="s">
        <v>390</v>
      </c>
      <c r="C61" s="79" t="s">
        <v>391</v>
      </c>
      <c r="D61" s="104">
        <v>8</v>
      </c>
      <c r="E61" s="104">
        <v>1</v>
      </c>
      <c r="F61" s="104">
        <v>9</v>
      </c>
      <c r="G61" s="104">
        <v>2</v>
      </c>
      <c r="H61" s="104">
        <v>2</v>
      </c>
      <c r="I61" s="104">
        <v>2</v>
      </c>
      <c r="J61" s="101">
        <f t="shared" si="19"/>
        <v>3.9750000000000001</v>
      </c>
      <c r="K61" s="102" t="str">
        <f t="shared" si="20"/>
        <v>Kém</v>
      </c>
      <c r="L61" s="103">
        <f t="shared" si="21"/>
        <v>4</v>
      </c>
      <c r="M61" s="78"/>
      <c r="N61" s="78"/>
      <c r="O61" s="78"/>
      <c r="P61" s="78"/>
      <c r="Q61" s="78"/>
      <c r="R61" s="78"/>
      <c r="S61" s="78"/>
      <c r="T61" s="78"/>
      <c r="U61" s="78"/>
      <c r="V61" s="78"/>
      <c r="W61" s="78"/>
      <c r="X61" s="78"/>
      <c r="Y61" s="78"/>
      <c r="Z61" s="78"/>
    </row>
    <row r="62" spans="1:26" ht="15.75" customHeight="1" x14ac:dyDescent="0.3">
      <c r="A62" s="91">
        <v>4</v>
      </c>
      <c r="B62" s="79" t="s">
        <v>392</v>
      </c>
      <c r="C62" s="79" t="s">
        <v>389</v>
      </c>
      <c r="D62" s="104">
        <v>2</v>
      </c>
      <c r="E62" s="104">
        <v>6</v>
      </c>
      <c r="F62" s="104">
        <v>3</v>
      </c>
      <c r="G62" s="104">
        <v>5</v>
      </c>
      <c r="H62" s="104">
        <v>1.5</v>
      </c>
      <c r="I62" s="104">
        <v>4</v>
      </c>
      <c r="J62" s="101">
        <f t="shared" si="19"/>
        <v>3.4375</v>
      </c>
      <c r="K62" s="102" t="str">
        <f t="shared" si="20"/>
        <v>Kém</v>
      </c>
      <c r="L62" s="103">
        <f t="shared" si="21"/>
        <v>6</v>
      </c>
      <c r="M62" s="78"/>
      <c r="N62" s="78"/>
      <c r="O62" s="78"/>
      <c r="P62" s="78"/>
      <c r="Q62" s="78"/>
      <c r="R62" s="78"/>
      <c r="S62" s="78"/>
      <c r="T62" s="78"/>
      <c r="U62" s="78"/>
      <c r="V62" s="78"/>
      <c r="W62" s="78"/>
      <c r="X62" s="78"/>
      <c r="Y62" s="78"/>
      <c r="Z62" s="78"/>
    </row>
    <row r="63" spans="1:26" ht="15.75" customHeight="1" x14ac:dyDescent="0.3">
      <c r="A63" s="91">
        <v>5</v>
      </c>
      <c r="B63" s="79" t="s">
        <v>393</v>
      </c>
      <c r="C63" s="79" t="s">
        <v>394</v>
      </c>
      <c r="D63" s="104">
        <v>4</v>
      </c>
      <c r="E63" s="104">
        <v>1.5</v>
      </c>
      <c r="F63" s="104">
        <v>1</v>
      </c>
      <c r="G63" s="105">
        <v>10</v>
      </c>
      <c r="H63" s="104">
        <v>9</v>
      </c>
      <c r="I63" s="104">
        <v>0</v>
      </c>
      <c r="J63" s="101">
        <f t="shared" si="19"/>
        <v>3.8624999999999998</v>
      </c>
      <c r="K63" s="102" t="str">
        <f t="shared" si="20"/>
        <v>Kém</v>
      </c>
      <c r="L63" s="103">
        <f t="shared" si="21"/>
        <v>5</v>
      </c>
      <c r="M63" s="78"/>
      <c r="N63" s="78"/>
      <c r="O63" s="78"/>
      <c r="P63" s="78"/>
      <c r="Q63" s="78"/>
      <c r="R63" s="78"/>
      <c r="S63" s="78"/>
      <c r="T63" s="78"/>
      <c r="U63" s="78"/>
      <c r="V63" s="78"/>
      <c r="W63" s="78"/>
      <c r="X63" s="78"/>
      <c r="Y63" s="78"/>
      <c r="Z63" s="78"/>
    </row>
    <row r="64" spans="1:26" ht="15.75" customHeight="1" x14ac:dyDescent="0.3">
      <c r="A64" s="106">
        <v>6</v>
      </c>
      <c r="B64" s="107" t="s">
        <v>395</v>
      </c>
      <c r="C64" s="107" t="s">
        <v>352</v>
      </c>
      <c r="D64" s="108">
        <v>9</v>
      </c>
      <c r="E64" s="108">
        <v>8</v>
      </c>
      <c r="F64" s="109">
        <v>10</v>
      </c>
      <c r="G64" s="108">
        <v>8.5</v>
      </c>
      <c r="H64" s="108">
        <v>9</v>
      </c>
      <c r="I64" s="109">
        <v>10</v>
      </c>
      <c r="J64" s="101">
        <f t="shared" si="19"/>
        <v>9.2125000000000004</v>
      </c>
      <c r="K64" s="102" t="str">
        <f t="shared" si="20"/>
        <v>Xuất sắc</v>
      </c>
      <c r="L64" s="103">
        <f t="shared" si="21"/>
        <v>1</v>
      </c>
      <c r="M64" s="78"/>
      <c r="N64" s="78"/>
      <c r="O64" s="78"/>
      <c r="P64" s="78"/>
      <c r="Q64" s="78"/>
      <c r="R64" s="78"/>
      <c r="S64" s="78"/>
      <c r="T64" s="78"/>
      <c r="U64" s="78"/>
      <c r="V64" s="78"/>
      <c r="W64" s="78"/>
      <c r="X64" s="78"/>
      <c r="Y64" s="78"/>
      <c r="Z64" s="78"/>
    </row>
    <row r="65" spans="1:26" ht="15.75" customHeight="1" x14ac:dyDescent="0.3">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ht="15.75" customHeight="1" x14ac:dyDescent="0.3">
      <c r="A66" s="95" t="s">
        <v>396</v>
      </c>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ht="15.75" customHeight="1" x14ac:dyDescent="0.3">
      <c r="A67" s="95" t="s">
        <v>397</v>
      </c>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ht="15.75" customHeight="1" x14ac:dyDescent="0.3">
      <c r="A68" s="95"/>
      <c r="B68" s="95" t="s">
        <v>398</v>
      </c>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ht="15.75" customHeight="1" x14ac:dyDescent="0.3">
      <c r="A69" s="95"/>
      <c r="B69" s="95" t="s">
        <v>399</v>
      </c>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ht="15.75" customHeight="1" x14ac:dyDescent="0.3">
      <c r="A70" s="95"/>
      <c r="B70" s="95" t="s">
        <v>400</v>
      </c>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ht="15.75" customHeight="1" x14ac:dyDescent="0.3">
      <c r="A71" s="95"/>
      <c r="B71" s="95" t="s">
        <v>401</v>
      </c>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ht="15.75" customHeight="1" x14ac:dyDescent="0.3">
      <c r="A72" s="95" t="s">
        <v>402</v>
      </c>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spans="1:26" ht="24" customHeight="1" x14ac:dyDescent="0.3">
      <c r="A73" s="418" t="s">
        <v>403</v>
      </c>
      <c r="B73" s="392"/>
      <c r="C73" s="392"/>
      <c r="D73" s="392"/>
      <c r="E73" s="392"/>
      <c r="F73" s="392"/>
      <c r="G73" s="392"/>
      <c r="H73" s="392"/>
      <c r="I73" s="392"/>
      <c r="J73" s="392"/>
      <c r="K73" s="392"/>
      <c r="L73" s="78"/>
      <c r="M73" s="78"/>
      <c r="N73" s="78"/>
      <c r="O73" s="78"/>
      <c r="P73" s="78"/>
      <c r="Q73" s="78"/>
      <c r="R73" s="78"/>
      <c r="S73" s="78"/>
      <c r="T73" s="78"/>
      <c r="U73" s="78"/>
      <c r="V73" s="78"/>
      <c r="W73" s="78"/>
      <c r="X73" s="78"/>
      <c r="Y73" s="78"/>
      <c r="Z73" s="78"/>
    </row>
    <row r="74" spans="1:26" ht="15.75" customHeight="1" x14ac:dyDescent="0.3">
      <c r="A74" s="110" t="s">
        <v>404</v>
      </c>
      <c r="B74" s="111" t="s">
        <v>334</v>
      </c>
      <c r="C74" s="111" t="s">
        <v>405</v>
      </c>
      <c r="D74" s="111" t="s">
        <v>406</v>
      </c>
      <c r="E74" s="111" t="s">
        <v>407</v>
      </c>
      <c r="F74" s="111" t="s">
        <v>408</v>
      </c>
      <c r="G74" s="111" t="s">
        <v>409</v>
      </c>
      <c r="H74" s="111" t="s">
        <v>352</v>
      </c>
      <c r="I74" s="111" t="s">
        <v>410</v>
      </c>
      <c r="J74" s="111" t="s">
        <v>411</v>
      </c>
      <c r="K74" s="112" t="s">
        <v>412</v>
      </c>
      <c r="L74" s="78"/>
      <c r="M74" s="78"/>
      <c r="N74" s="78"/>
      <c r="O74" s="78"/>
      <c r="P74" s="78"/>
      <c r="Q74" s="78"/>
      <c r="R74" s="78"/>
      <c r="S74" s="78"/>
      <c r="T74" s="78"/>
      <c r="U74" s="78"/>
      <c r="V74" s="78"/>
      <c r="W74" s="78"/>
      <c r="X74" s="78"/>
      <c r="Y74" s="78"/>
      <c r="Z74" s="78"/>
    </row>
    <row r="75" spans="1:26" ht="15.75" customHeight="1" x14ac:dyDescent="0.3">
      <c r="A75" s="86">
        <v>1</v>
      </c>
      <c r="B75" s="87" t="s">
        <v>413</v>
      </c>
      <c r="C75" s="88">
        <v>1</v>
      </c>
      <c r="D75" s="88">
        <v>3</v>
      </c>
      <c r="E75" s="88">
        <v>4.74</v>
      </c>
      <c r="F75" s="88">
        <v>21</v>
      </c>
      <c r="G75" s="113" t="str">
        <f t="shared" ref="G75:G84" si="22">IF(F75&gt;=25,"A",IF(F75&gt;=22,"B","C"))</f>
        <v>C</v>
      </c>
      <c r="H75" s="89">
        <f t="shared" ref="H75:H84" si="23">830000*E75</f>
        <v>3934200</v>
      </c>
      <c r="I75" s="114">
        <f t="shared" ref="I75:I84" si="24">IF(G75="A",150000,IF(G75="B",0,-50000))</f>
        <v>-50000</v>
      </c>
      <c r="J75" s="114">
        <f t="shared" ref="J75:J84" si="25">IF(AND(C75=0,D75&gt;=2),100000,IF(AND(C75=0,D75=1),200000,0))</f>
        <v>0</v>
      </c>
      <c r="K75" s="115">
        <f t="shared" ref="K75:K84" si="26">I75+H75+J75</f>
        <v>3884200</v>
      </c>
      <c r="L75" s="78"/>
      <c r="M75" s="78"/>
      <c r="N75" s="78"/>
      <c r="O75" s="78"/>
      <c r="P75" s="78"/>
      <c r="Q75" s="78"/>
      <c r="R75" s="78"/>
      <c r="S75" s="78"/>
      <c r="T75" s="78"/>
      <c r="U75" s="78"/>
      <c r="V75" s="78"/>
      <c r="W75" s="78"/>
      <c r="X75" s="78"/>
      <c r="Y75" s="78"/>
      <c r="Z75" s="78"/>
    </row>
    <row r="76" spans="1:26" ht="15.75" customHeight="1" x14ac:dyDescent="0.3">
      <c r="A76" s="91">
        <v>2</v>
      </c>
      <c r="B76" s="79" t="s">
        <v>414</v>
      </c>
      <c r="C76" s="53">
        <v>1</v>
      </c>
      <c r="D76" s="53">
        <v>1</v>
      </c>
      <c r="E76" s="53">
        <v>4.59</v>
      </c>
      <c r="F76" s="53">
        <v>25</v>
      </c>
      <c r="G76" s="113" t="str">
        <f t="shared" si="22"/>
        <v>A</v>
      </c>
      <c r="H76" s="89">
        <f t="shared" si="23"/>
        <v>3809700</v>
      </c>
      <c r="I76" s="114">
        <f t="shared" si="24"/>
        <v>150000</v>
      </c>
      <c r="J76" s="114">
        <f t="shared" si="25"/>
        <v>0</v>
      </c>
      <c r="K76" s="115">
        <f t="shared" si="26"/>
        <v>3959700</v>
      </c>
      <c r="L76" s="78"/>
      <c r="M76" s="78"/>
      <c r="N76" s="78"/>
      <c r="O76" s="78"/>
      <c r="P76" s="78"/>
      <c r="Q76" s="78"/>
      <c r="R76" s="78"/>
      <c r="S76" s="78"/>
      <c r="T76" s="78"/>
      <c r="U76" s="78"/>
      <c r="V76" s="78"/>
      <c r="W76" s="78"/>
      <c r="X76" s="78"/>
      <c r="Y76" s="78"/>
      <c r="Z76" s="78"/>
    </row>
    <row r="77" spans="1:26" ht="15.75" customHeight="1" x14ac:dyDescent="0.3">
      <c r="A77" s="91">
        <v>3</v>
      </c>
      <c r="B77" s="79" t="s">
        <v>415</v>
      </c>
      <c r="C77" s="53">
        <v>0</v>
      </c>
      <c r="D77" s="53">
        <v>1</v>
      </c>
      <c r="E77" s="53">
        <v>4.34</v>
      </c>
      <c r="F77" s="53">
        <v>24</v>
      </c>
      <c r="G77" s="113" t="str">
        <f t="shared" si="22"/>
        <v>B</v>
      </c>
      <c r="H77" s="89">
        <f t="shared" si="23"/>
        <v>3602200</v>
      </c>
      <c r="I77" s="114">
        <f t="shared" si="24"/>
        <v>0</v>
      </c>
      <c r="J77" s="114">
        <f t="shared" si="25"/>
        <v>200000</v>
      </c>
      <c r="K77" s="115">
        <f t="shared" si="26"/>
        <v>3802200</v>
      </c>
      <c r="L77" s="78"/>
      <c r="M77" s="78"/>
      <c r="N77" s="78"/>
      <c r="O77" s="78"/>
      <c r="P77" s="78"/>
      <c r="Q77" s="78"/>
      <c r="R77" s="78"/>
      <c r="S77" s="78"/>
      <c r="T77" s="78"/>
      <c r="U77" s="78"/>
      <c r="V77" s="78"/>
      <c r="W77" s="78"/>
      <c r="X77" s="78"/>
      <c r="Y77" s="78"/>
      <c r="Z77" s="78"/>
    </row>
    <row r="78" spans="1:26" ht="15.75" customHeight="1" x14ac:dyDescent="0.3">
      <c r="A78" s="91">
        <v>4</v>
      </c>
      <c r="B78" s="79" t="s">
        <v>416</v>
      </c>
      <c r="C78" s="53">
        <v>0</v>
      </c>
      <c r="D78" s="53">
        <v>0</v>
      </c>
      <c r="E78" s="53">
        <v>4.12</v>
      </c>
      <c r="F78" s="53">
        <v>26</v>
      </c>
      <c r="G78" s="113" t="str">
        <f t="shared" si="22"/>
        <v>A</v>
      </c>
      <c r="H78" s="89">
        <f t="shared" si="23"/>
        <v>3419600</v>
      </c>
      <c r="I78" s="114">
        <f t="shared" si="24"/>
        <v>150000</v>
      </c>
      <c r="J78" s="114">
        <f t="shared" si="25"/>
        <v>0</v>
      </c>
      <c r="K78" s="115">
        <f t="shared" si="26"/>
        <v>3569600</v>
      </c>
      <c r="L78" s="78"/>
      <c r="M78" s="78"/>
      <c r="N78" s="78"/>
      <c r="O78" s="78"/>
      <c r="P78" s="78"/>
      <c r="Q78" s="78"/>
      <c r="R78" s="78"/>
      <c r="S78" s="78"/>
      <c r="T78" s="78"/>
      <c r="U78" s="78"/>
      <c r="V78" s="78"/>
      <c r="W78" s="78"/>
      <c r="X78" s="78"/>
      <c r="Y78" s="78"/>
      <c r="Z78" s="78"/>
    </row>
    <row r="79" spans="1:26" ht="15.75" customHeight="1" x14ac:dyDescent="0.3">
      <c r="A79" s="91">
        <v>5</v>
      </c>
      <c r="B79" s="79" t="s">
        <v>417</v>
      </c>
      <c r="C79" s="53">
        <v>0</v>
      </c>
      <c r="D79" s="53">
        <v>2</v>
      </c>
      <c r="E79" s="53">
        <v>3.46</v>
      </c>
      <c r="F79" s="53">
        <v>21</v>
      </c>
      <c r="G79" s="113" t="str">
        <f t="shared" si="22"/>
        <v>C</v>
      </c>
      <c r="H79" s="89">
        <f t="shared" si="23"/>
        <v>2871800</v>
      </c>
      <c r="I79" s="114">
        <f t="shared" si="24"/>
        <v>-50000</v>
      </c>
      <c r="J79" s="114">
        <f t="shared" si="25"/>
        <v>100000</v>
      </c>
      <c r="K79" s="115">
        <f t="shared" si="26"/>
        <v>2921800</v>
      </c>
      <c r="L79" s="78"/>
      <c r="M79" s="78"/>
      <c r="N79" s="78"/>
      <c r="O79" s="78"/>
      <c r="P79" s="78"/>
      <c r="Q79" s="78"/>
      <c r="R79" s="78"/>
      <c r="S79" s="78"/>
      <c r="T79" s="78"/>
      <c r="U79" s="78"/>
      <c r="V79" s="78"/>
      <c r="W79" s="78"/>
      <c r="X79" s="78"/>
      <c r="Y79" s="78"/>
      <c r="Z79" s="78"/>
    </row>
    <row r="80" spans="1:26" ht="15.75" customHeight="1" x14ac:dyDescent="0.3">
      <c r="A80" s="91">
        <v>6</v>
      </c>
      <c r="B80" s="79" t="s">
        <v>418</v>
      </c>
      <c r="C80" s="53">
        <v>1</v>
      </c>
      <c r="D80" s="53">
        <v>3</v>
      </c>
      <c r="E80" s="53">
        <v>3.14</v>
      </c>
      <c r="F80" s="53">
        <v>24</v>
      </c>
      <c r="G80" s="113" t="str">
        <f t="shared" si="22"/>
        <v>B</v>
      </c>
      <c r="H80" s="89">
        <f t="shared" si="23"/>
        <v>2606200</v>
      </c>
      <c r="I80" s="114">
        <f t="shared" si="24"/>
        <v>0</v>
      </c>
      <c r="J80" s="114">
        <f t="shared" si="25"/>
        <v>0</v>
      </c>
      <c r="K80" s="115">
        <f t="shared" si="26"/>
        <v>2606200</v>
      </c>
      <c r="L80" s="78"/>
      <c r="M80" s="78"/>
      <c r="N80" s="78"/>
      <c r="O80" s="78"/>
      <c r="P80" s="78"/>
      <c r="Q80" s="78"/>
      <c r="R80" s="78"/>
      <c r="S80" s="78"/>
      <c r="T80" s="78"/>
      <c r="U80" s="78"/>
      <c r="V80" s="78"/>
      <c r="W80" s="78"/>
      <c r="X80" s="78"/>
      <c r="Y80" s="78"/>
      <c r="Z80" s="78"/>
    </row>
    <row r="81" spans="1:26" ht="15.75" customHeight="1" x14ac:dyDescent="0.3">
      <c r="A81" s="91">
        <v>7</v>
      </c>
      <c r="B81" s="79" t="s">
        <v>419</v>
      </c>
      <c r="C81" s="53">
        <v>0</v>
      </c>
      <c r="D81" s="53">
        <v>2</v>
      </c>
      <c r="E81" s="53">
        <v>3.48</v>
      </c>
      <c r="F81" s="53">
        <v>22</v>
      </c>
      <c r="G81" s="113" t="str">
        <f t="shared" si="22"/>
        <v>B</v>
      </c>
      <c r="H81" s="89">
        <f t="shared" si="23"/>
        <v>2888400</v>
      </c>
      <c r="I81" s="114">
        <f t="shared" si="24"/>
        <v>0</v>
      </c>
      <c r="J81" s="114">
        <f t="shared" si="25"/>
        <v>100000</v>
      </c>
      <c r="K81" s="115">
        <f t="shared" si="26"/>
        <v>2988400</v>
      </c>
      <c r="L81" s="78"/>
      <c r="M81" s="78"/>
      <c r="N81" s="78"/>
      <c r="O81" s="78"/>
      <c r="P81" s="78"/>
      <c r="Q81" s="78"/>
      <c r="R81" s="78"/>
      <c r="S81" s="78"/>
      <c r="T81" s="78"/>
      <c r="U81" s="78"/>
      <c r="V81" s="78"/>
      <c r="W81" s="78"/>
      <c r="X81" s="78"/>
      <c r="Y81" s="78"/>
      <c r="Z81" s="78"/>
    </row>
    <row r="82" spans="1:26" ht="15.75" customHeight="1" x14ac:dyDescent="0.3">
      <c r="A82" s="91">
        <v>8</v>
      </c>
      <c r="B82" s="79" t="s">
        <v>420</v>
      </c>
      <c r="C82" s="53">
        <v>0</v>
      </c>
      <c r="D82" s="53">
        <v>0</v>
      </c>
      <c r="E82" s="53">
        <v>2.78</v>
      </c>
      <c r="F82" s="53">
        <v>27</v>
      </c>
      <c r="G82" s="113" t="str">
        <f t="shared" si="22"/>
        <v>A</v>
      </c>
      <c r="H82" s="89">
        <f t="shared" si="23"/>
        <v>2307400</v>
      </c>
      <c r="I82" s="114">
        <f t="shared" si="24"/>
        <v>150000</v>
      </c>
      <c r="J82" s="114">
        <f t="shared" si="25"/>
        <v>0</v>
      </c>
      <c r="K82" s="115">
        <f t="shared" si="26"/>
        <v>2457400</v>
      </c>
      <c r="L82" s="78"/>
      <c r="M82" s="78"/>
      <c r="N82" s="78"/>
      <c r="O82" s="78"/>
      <c r="P82" s="78"/>
      <c r="Q82" s="78"/>
      <c r="R82" s="78"/>
      <c r="S82" s="78"/>
      <c r="T82" s="78"/>
      <c r="U82" s="78"/>
      <c r="V82" s="78"/>
      <c r="W82" s="78"/>
      <c r="X82" s="78"/>
      <c r="Y82" s="78"/>
      <c r="Z82" s="78"/>
    </row>
    <row r="83" spans="1:26" ht="15.75" customHeight="1" x14ac:dyDescent="0.3">
      <c r="A83" s="91">
        <v>9</v>
      </c>
      <c r="B83" s="79" t="s">
        <v>421</v>
      </c>
      <c r="C83" s="53">
        <v>1</v>
      </c>
      <c r="D83" s="53">
        <v>1</v>
      </c>
      <c r="E83" s="53">
        <v>1.57</v>
      </c>
      <c r="F83" s="53">
        <v>23</v>
      </c>
      <c r="G83" s="113" t="str">
        <f t="shared" si="22"/>
        <v>B</v>
      </c>
      <c r="H83" s="89">
        <f t="shared" si="23"/>
        <v>1303100</v>
      </c>
      <c r="I83" s="114">
        <f t="shared" si="24"/>
        <v>0</v>
      </c>
      <c r="J83" s="114">
        <f t="shared" si="25"/>
        <v>0</v>
      </c>
      <c r="K83" s="115">
        <f t="shared" si="26"/>
        <v>1303100</v>
      </c>
      <c r="L83" s="78"/>
      <c r="M83" s="78"/>
      <c r="N83" s="78"/>
      <c r="O83" s="78"/>
      <c r="P83" s="78"/>
      <c r="Q83" s="78"/>
      <c r="R83" s="78"/>
      <c r="S83" s="78"/>
      <c r="T83" s="78"/>
      <c r="U83" s="78"/>
      <c r="V83" s="78"/>
      <c r="W83" s="78"/>
      <c r="X83" s="78"/>
      <c r="Y83" s="78"/>
      <c r="Z83" s="78"/>
    </row>
    <row r="84" spans="1:26" ht="15.75" customHeight="1" x14ac:dyDescent="0.3">
      <c r="A84" s="92">
        <v>10</v>
      </c>
      <c r="B84" s="81" t="s">
        <v>344</v>
      </c>
      <c r="C84" s="93">
        <v>0</v>
      </c>
      <c r="D84" s="93">
        <v>1</v>
      </c>
      <c r="E84" s="93">
        <v>3.52</v>
      </c>
      <c r="F84" s="93">
        <v>27</v>
      </c>
      <c r="G84" s="113" t="str">
        <f t="shared" si="22"/>
        <v>A</v>
      </c>
      <c r="H84" s="89">
        <f t="shared" si="23"/>
        <v>2921600</v>
      </c>
      <c r="I84" s="114">
        <f t="shared" si="24"/>
        <v>150000</v>
      </c>
      <c r="J84" s="114">
        <f t="shared" si="25"/>
        <v>200000</v>
      </c>
      <c r="K84" s="115">
        <f t="shared" si="26"/>
        <v>3271600</v>
      </c>
      <c r="L84" s="78"/>
      <c r="M84" s="78"/>
      <c r="N84" s="78"/>
      <c r="O84" s="78"/>
      <c r="P84" s="78"/>
      <c r="Q84" s="78"/>
      <c r="R84" s="78"/>
      <c r="S84" s="78"/>
      <c r="T84" s="78"/>
      <c r="U84" s="78"/>
      <c r="V84" s="78"/>
      <c r="W84" s="78"/>
      <c r="X84" s="78"/>
      <c r="Y84" s="78"/>
      <c r="Z84" s="78"/>
    </row>
    <row r="85" spans="1:26" ht="21" customHeight="1" x14ac:dyDescent="0.3">
      <c r="A85" s="428" t="s">
        <v>422</v>
      </c>
      <c r="B85" s="423"/>
      <c r="C85" s="423"/>
      <c r="D85" s="423"/>
      <c r="E85" s="423"/>
      <c r="F85" s="423"/>
      <c r="G85" s="424"/>
      <c r="H85" s="116">
        <f t="shared" ref="H85:K85" si="27">SUM(H75:H84)</f>
        <v>29664200</v>
      </c>
      <c r="I85" s="116">
        <f t="shared" si="27"/>
        <v>500000</v>
      </c>
      <c r="J85" s="116">
        <f t="shared" si="27"/>
        <v>600000</v>
      </c>
      <c r="K85" s="116">
        <f t="shared" si="27"/>
        <v>30764200</v>
      </c>
      <c r="L85" s="78"/>
      <c r="M85" s="78"/>
      <c r="N85" s="78"/>
      <c r="O85" s="78"/>
      <c r="P85" s="78"/>
      <c r="Q85" s="78"/>
      <c r="R85" s="78"/>
      <c r="S85" s="78"/>
      <c r="T85" s="78"/>
      <c r="U85" s="78"/>
      <c r="V85" s="78"/>
      <c r="W85" s="78"/>
      <c r="X85" s="78"/>
      <c r="Y85" s="78"/>
      <c r="Z85" s="78"/>
    </row>
    <row r="86" spans="1:26" ht="15.75" customHeight="1" x14ac:dyDescent="0.3">
      <c r="A86" s="78" t="s">
        <v>423</v>
      </c>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spans="1:26" ht="15.75" customHeight="1" x14ac:dyDescent="0.3">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spans="1:26" ht="15.75" customHeight="1" x14ac:dyDescent="0.3">
      <c r="A88" s="95" t="s">
        <v>424</v>
      </c>
      <c r="B88" s="95"/>
      <c r="C88" s="78"/>
      <c r="D88" s="78"/>
      <c r="E88" s="78"/>
      <c r="F88" s="78"/>
      <c r="G88" s="78"/>
      <c r="H88" s="78"/>
      <c r="I88" s="78"/>
      <c r="J88" s="78"/>
      <c r="K88" s="78"/>
      <c r="L88" s="78"/>
      <c r="M88" s="78"/>
      <c r="N88" s="78"/>
      <c r="O88" s="78"/>
      <c r="P88" s="78"/>
      <c r="Q88" s="78"/>
      <c r="R88" s="78"/>
      <c r="S88" s="78"/>
      <c r="T88" s="78"/>
      <c r="U88" s="78"/>
      <c r="V88" s="78"/>
      <c r="W88" s="78"/>
      <c r="X88" s="78"/>
      <c r="Y88" s="78"/>
      <c r="Z88" s="78"/>
    </row>
    <row r="89" spans="1:26" ht="15.75" customHeight="1" x14ac:dyDescent="0.3">
      <c r="A89" s="95"/>
      <c r="B89" s="95" t="s">
        <v>425</v>
      </c>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ht="15.75" customHeight="1" x14ac:dyDescent="0.3">
      <c r="A90" s="95"/>
      <c r="B90" s="95" t="s">
        <v>426</v>
      </c>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ht="15.75" customHeight="1" x14ac:dyDescent="0.3">
      <c r="A91" s="95"/>
      <c r="B91" s="95" t="s">
        <v>427</v>
      </c>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ht="15.75" customHeight="1" x14ac:dyDescent="0.3">
      <c r="A92" s="95" t="s">
        <v>428</v>
      </c>
      <c r="B92" s="95"/>
      <c r="C92" s="78"/>
      <c r="D92" s="78"/>
      <c r="E92" s="78"/>
      <c r="F92" s="78"/>
      <c r="G92" s="78"/>
      <c r="H92" s="78"/>
      <c r="I92" s="78"/>
      <c r="J92" s="78"/>
      <c r="K92" s="78"/>
      <c r="L92" s="78"/>
      <c r="M92" s="78"/>
      <c r="N92" s="78"/>
      <c r="O92" s="78"/>
      <c r="P92" s="78"/>
      <c r="Q92" s="78"/>
      <c r="R92" s="78"/>
      <c r="S92" s="78"/>
      <c r="T92" s="78"/>
      <c r="U92" s="78"/>
      <c r="V92" s="78"/>
      <c r="W92" s="78"/>
      <c r="X92" s="78"/>
      <c r="Y92" s="78"/>
      <c r="Z92" s="78"/>
    </row>
    <row r="93" spans="1:26" ht="15.75" customHeight="1" x14ac:dyDescent="0.3">
      <c r="A93" s="95" t="s">
        <v>429</v>
      </c>
      <c r="B93" s="95"/>
      <c r="C93" s="78"/>
      <c r="D93" s="78"/>
      <c r="E93" s="78"/>
      <c r="F93" s="78"/>
      <c r="G93" s="78"/>
      <c r="H93" s="78"/>
      <c r="I93" s="78"/>
      <c r="J93" s="78"/>
      <c r="K93" s="78"/>
      <c r="L93" s="78"/>
      <c r="M93" s="78"/>
      <c r="N93" s="78"/>
      <c r="O93" s="78"/>
      <c r="P93" s="78"/>
      <c r="Q93" s="78"/>
      <c r="R93" s="78"/>
      <c r="S93" s="78"/>
      <c r="T93" s="78"/>
      <c r="U93" s="78"/>
      <c r="V93" s="78"/>
      <c r="W93" s="78"/>
      <c r="X93" s="78"/>
      <c r="Y93" s="78"/>
      <c r="Z93" s="78"/>
    </row>
    <row r="94" spans="1:26" ht="15.75" customHeight="1" x14ac:dyDescent="0.3">
      <c r="A94" s="95"/>
      <c r="B94" s="95" t="s">
        <v>430</v>
      </c>
      <c r="C94" s="78"/>
      <c r="D94" s="78"/>
      <c r="E94" s="78"/>
      <c r="F94" s="78"/>
      <c r="G94" s="78"/>
      <c r="H94" s="78"/>
      <c r="I94" s="78"/>
      <c r="J94" s="78"/>
      <c r="K94" s="78"/>
      <c r="L94" s="78"/>
      <c r="M94" s="78"/>
      <c r="N94" s="78"/>
      <c r="O94" s="78"/>
      <c r="P94" s="78"/>
      <c r="Q94" s="78"/>
      <c r="R94" s="78"/>
      <c r="S94" s="78"/>
      <c r="T94" s="78"/>
      <c r="U94" s="78"/>
      <c r="V94" s="78"/>
      <c r="W94" s="78"/>
      <c r="X94" s="78"/>
      <c r="Y94" s="78"/>
      <c r="Z94" s="78"/>
    </row>
    <row r="95" spans="1:26" ht="15.75" customHeight="1" x14ac:dyDescent="0.3">
      <c r="A95" s="95"/>
      <c r="B95" s="95" t="s">
        <v>431</v>
      </c>
      <c r="C95" s="78"/>
      <c r="D95" s="78"/>
      <c r="E95" s="78"/>
      <c r="F95" s="78"/>
      <c r="G95" s="78"/>
      <c r="H95" s="78"/>
      <c r="I95" s="78"/>
      <c r="J95" s="78"/>
      <c r="K95" s="78"/>
      <c r="L95" s="78"/>
      <c r="M95" s="78"/>
      <c r="N95" s="78"/>
      <c r="O95" s="78"/>
      <c r="P95" s="78"/>
      <c r="Q95" s="78"/>
      <c r="R95" s="78"/>
      <c r="S95" s="78"/>
      <c r="T95" s="78"/>
      <c r="U95" s="78"/>
      <c r="V95" s="78"/>
      <c r="W95" s="78"/>
      <c r="X95" s="78"/>
      <c r="Y95" s="78"/>
      <c r="Z95" s="78"/>
    </row>
    <row r="96" spans="1:26" ht="15.75" customHeight="1" x14ac:dyDescent="0.3">
      <c r="A96" s="95"/>
      <c r="B96" s="95" t="s">
        <v>432</v>
      </c>
      <c r="C96" s="78"/>
      <c r="D96" s="78"/>
      <c r="E96" s="78"/>
      <c r="F96" s="78"/>
      <c r="G96" s="78"/>
      <c r="H96" s="78"/>
      <c r="I96" s="78"/>
      <c r="J96" s="78"/>
      <c r="K96" s="78"/>
      <c r="L96" s="78"/>
      <c r="M96" s="78"/>
      <c r="N96" s="78"/>
      <c r="O96" s="78"/>
      <c r="P96" s="78"/>
      <c r="Q96" s="78"/>
      <c r="R96" s="78"/>
      <c r="S96" s="78"/>
      <c r="T96" s="78"/>
      <c r="U96" s="78"/>
      <c r="V96" s="78"/>
      <c r="W96" s="78"/>
      <c r="X96" s="78"/>
      <c r="Y96" s="78"/>
      <c r="Z96" s="78"/>
    </row>
    <row r="97" spans="1:26" ht="15.75" customHeight="1" x14ac:dyDescent="0.3">
      <c r="A97" s="95" t="s">
        <v>433</v>
      </c>
      <c r="B97" s="95"/>
      <c r="C97" s="78"/>
      <c r="D97" s="78"/>
      <c r="E97" s="78"/>
      <c r="F97" s="78"/>
      <c r="G97" s="78"/>
      <c r="H97" s="78"/>
      <c r="I97" s="78"/>
      <c r="J97" s="78"/>
      <c r="K97" s="78"/>
      <c r="L97" s="78"/>
      <c r="M97" s="78"/>
      <c r="N97" s="78"/>
      <c r="O97" s="78"/>
      <c r="P97" s="78"/>
      <c r="Q97" s="78"/>
      <c r="R97" s="78"/>
      <c r="S97" s="78"/>
      <c r="T97" s="78"/>
      <c r="U97" s="78"/>
      <c r="V97" s="78"/>
      <c r="W97" s="78"/>
      <c r="X97" s="78"/>
      <c r="Y97" s="78"/>
      <c r="Z97" s="78"/>
    </row>
    <row r="98" spans="1:26" ht="15.75" customHeight="1" x14ac:dyDescent="0.3">
      <c r="A98" s="95"/>
      <c r="B98" s="95" t="s">
        <v>434</v>
      </c>
      <c r="C98" s="78"/>
      <c r="D98" s="78"/>
      <c r="E98" s="78"/>
      <c r="F98" s="78"/>
      <c r="G98" s="78"/>
      <c r="H98" s="78"/>
      <c r="I98" s="78"/>
      <c r="J98" s="78"/>
      <c r="K98" s="78"/>
      <c r="L98" s="78"/>
      <c r="M98" s="78"/>
      <c r="N98" s="78"/>
      <c r="O98" s="78"/>
      <c r="P98" s="78"/>
      <c r="Q98" s="78"/>
      <c r="R98" s="78"/>
      <c r="S98" s="78"/>
      <c r="T98" s="78"/>
      <c r="U98" s="78"/>
      <c r="V98" s="78"/>
      <c r="W98" s="78"/>
      <c r="X98" s="78"/>
      <c r="Y98" s="78"/>
      <c r="Z98" s="78"/>
    </row>
    <row r="99" spans="1:26" ht="15.75" customHeight="1" x14ac:dyDescent="0.3">
      <c r="A99" s="95"/>
      <c r="B99" s="95" t="s">
        <v>435</v>
      </c>
      <c r="C99" s="78"/>
      <c r="D99" s="78"/>
      <c r="E99" s="78"/>
      <c r="F99" s="78"/>
      <c r="G99" s="78"/>
      <c r="H99" s="78"/>
      <c r="I99" s="78"/>
      <c r="J99" s="78"/>
      <c r="K99" s="78"/>
      <c r="L99" s="78"/>
      <c r="M99" s="78"/>
      <c r="N99" s="78"/>
      <c r="O99" s="78"/>
      <c r="P99" s="78"/>
      <c r="Q99" s="78"/>
      <c r="R99" s="78"/>
      <c r="S99" s="78"/>
      <c r="T99" s="78"/>
      <c r="U99" s="78"/>
      <c r="V99" s="78"/>
      <c r="W99" s="78"/>
      <c r="X99" s="78"/>
      <c r="Y99" s="78"/>
      <c r="Z99" s="78"/>
    </row>
    <row r="100" spans="1:26" ht="15.75" customHeight="1" x14ac:dyDescent="0.3">
      <c r="A100" s="95" t="s">
        <v>436</v>
      </c>
      <c r="B100" s="95"/>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spans="1:26" ht="15.75" customHeight="1" x14ac:dyDescent="0.3">
      <c r="A101" s="95" t="s">
        <v>437</v>
      </c>
      <c r="B101" s="95"/>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spans="1:26" ht="24" customHeight="1" x14ac:dyDescent="0.3">
      <c r="A102" s="418" t="s">
        <v>438</v>
      </c>
      <c r="B102" s="392"/>
      <c r="C102" s="392"/>
      <c r="D102" s="392"/>
      <c r="E102" s="392"/>
      <c r="F102" s="392"/>
      <c r="G102" s="392"/>
      <c r="H102" s="392"/>
      <c r="I102" s="392"/>
      <c r="J102" s="392"/>
      <c r="K102" s="392"/>
      <c r="L102" s="392"/>
      <c r="M102" s="392"/>
      <c r="N102" s="78"/>
      <c r="O102" s="78"/>
      <c r="P102" s="78"/>
      <c r="Q102" s="78"/>
      <c r="R102" s="78"/>
      <c r="S102" s="78"/>
      <c r="T102" s="78"/>
      <c r="U102" s="78"/>
      <c r="V102" s="78"/>
      <c r="W102" s="78"/>
      <c r="X102" s="78"/>
      <c r="Y102" s="78"/>
      <c r="Z102" s="78"/>
    </row>
    <row r="103" spans="1:26" ht="15" customHeight="1" x14ac:dyDescent="0.3">
      <c r="A103" s="69"/>
      <c r="B103" s="69"/>
      <c r="C103" s="69"/>
      <c r="D103" s="69"/>
      <c r="E103" s="69"/>
      <c r="F103" s="69"/>
      <c r="G103" s="69"/>
      <c r="H103" s="69"/>
      <c r="I103" s="69"/>
      <c r="J103" s="69"/>
      <c r="K103" s="69"/>
      <c r="L103" s="117" t="s">
        <v>439</v>
      </c>
      <c r="M103" s="118">
        <v>290000</v>
      </c>
      <c r="N103" s="78"/>
      <c r="O103" s="78"/>
      <c r="P103" s="78"/>
      <c r="Q103" s="78"/>
      <c r="R103" s="78"/>
      <c r="S103" s="78"/>
      <c r="T103" s="78"/>
      <c r="U103" s="78"/>
      <c r="V103" s="78"/>
      <c r="W103" s="78"/>
      <c r="X103" s="78"/>
      <c r="Y103" s="78"/>
      <c r="Z103" s="78"/>
    </row>
    <row r="104" spans="1:26" ht="21" customHeight="1" x14ac:dyDescent="0.3">
      <c r="A104" s="119" t="s">
        <v>404</v>
      </c>
      <c r="B104" s="120" t="s">
        <v>334</v>
      </c>
      <c r="C104" s="120" t="s">
        <v>440</v>
      </c>
      <c r="D104" s="120" t="s">
        <v>441</v>
      </c>
      <c r="E104" s="120" t="s">
        <v>442</v>
      </c>
      <c r="F104" s="120" t="s">
        <v>443</v>
      </c>
      <c r="G104" s="120" t="s">
        <v>444</v>
      </c>
      <c r="H104" s="120" t="s">
        <v>409</v>
      </c>
      <c r="I104" s="120" t="s">
        <v>445</v>
      </c>
      <c r="J104" s="120" t="s">
        <v>446</v>
      </c>
      <c r="K104" s="120" t="s">
        <v>447</v>
      </c>
      <c r="L104" s="120" t="s">
        <v>355</v>
      </c>
      <c r="M104" s="121" t="s">
        <v>448</v>
      </c>
      <c r="N104" s="122"/>
      <c r="O104" s="122"/>
      <c r="P104" s="122"/>
      <c r="Q104" s="122"/>
      <c r="R104" s="122"/>
      <c r="S104" s="122"/>
      <c r="T104" s="122"/>
      <c r="U104" s="122"/>
      <c r="V104" s="122"/>
      <c r="W104" s="122"/>
      <c r="X104" s="122"/>
      <c r="Y104" s="122"/>
      <c r="Z104" s="122"/>
    </row>
    <row r="105" spans="1:26" ht="15.75" customHeight="1" x14ac:dyDescent="0.3">
      <c r="A105" s="86">
        <v>1</v>
      </c>
      <c r="B105" s="87" t="s">
        <v>449</v>
      </c>
      <c r="C105" s="88">
        <v>1</v>
      </c>
      <c r="D105" s="88">
        <v>3</v>
      </c>
      <c r="E105" s="123">
        <v>2.5</v>
      </c>
      <c r="F105" s="88">
        <v>22</v>
      </c>
      <c r="G105" s="88">
        <v>200</v>
      </c>
      <c r="H105" s="124" t="str">
        <f t="shared" ref="H105:H115" si="28">IF(OR(F105&gt;26,G105=208),"A",IF(G105=200,"B","C"))</f>
        <v>B</v>
      </c>
      <c r="I105" s="114">
        <f t="shared" ref="I105:I115" si="29">$M$103*E105</f>
        <v>725000</v>
      </c>
      <c r="J105" s="114">
        <f t="shared" ref="J105:J115" si="30">IF(H105="A",50000,IF(H105="B",0,-20000))</f>
        <v>0</v>
      </c>
      <c r="K105" s="114">
        <f t="shared" ref="K105:K115" si="31">IF(AND(C105=0,D105&gt;=2),5000,IF(AND(C105=0,OR(D105=0,D105=1)),30000,0))</f>
        <v>0</v>
      </c>
      <c r="L105" s="125">
        <v>150000</v>
      </c>
      <c r="M105" s="115">
        <f t="shared" ref="M105:M115" si="32">I105+J105+K105-L105</f>
        <v>575000</v>
      </c>
      <c r="N105" s="78"/>
      <c r="O105" s="78"/>
      <c r="P105" s="78"/>
      <c r="Q105" s="78"/>
      <c r="R105" s="78"/>
      <c r="S105" s="78"/>
      <c r="T105" s="78"/>
      <c r="U105" s="78"/>
      <c r="V105" s="78"/>
      <c r="W105" s="78"/>
      <c r="X105" s="78"/>
      <c r="Y105" s="78"/>
      <c r="Z105" s="78"/>
    </row>
    <row r="106" spans="1:26" ht="15.75" customHeight="1" x14ac:dyDescent="0.3">
      <c r="A106" s="91">
        <v>2</v>
      </c>
      <c r="B106" s="79" t="s">
        <v>450</v>
      </c>
      <c r="C106" s="53">
        <v>0</v>
      </c>
      <c r="D106" s="53">
        <v>1</v>
      </c>
      <c r="E106" s="126">
        <v>2.9</v>
      </c>
      <c r="F106" s="53">
        <v>23</v>
      </c>
      <c r="G106" s="53">
        <v>208</v>
      </c>
      <c r="H106" s="124" t="str">
        <f t="shared" si="28"/>
        <v>A</v>
      </c>
      <c r="I106" s="114">
        <f t="shared" si="29"/>
        <v>841000</v>
      </c>
      <c r="J106" s="114">
        <f t="shared" si="30"/>
        <v>50000</v>
      </c>
      <c r="K106" s="114">
        <f t="shared" si="31"/>
        <v>30000</v>
      </c>
      <c r="L106" s="55">
        <v>100000</v>
      </c>
      <c r="M106" s="115">
        <f t="shared" si="32"/>
        <v>821000</v>
      </c>
      <c r="N106" s="78"/>
      <c r="O106" s="78"/>
      <c r="P106" s="78"/>
      <c r="Q106" s="78"/>
      <c r="R106" s="78"/>
      <c r="S106" s="78"/>
      <c r="T106" s="78"/>
      <c r="U106" s="78"/>
      <c r="V106" s="78"/>
      <c r="W106" s="78"/>
      <c r="X106" s="78"/>
      <c r="Y106" s="78"/>
      <c r="Z106" s="78"/>
    </row>
    <row r="107" spans="1:26" ht="15.75" customHeight="1" x14ac:dyDescent="0.3">
      <c r="A107" s="91">
        <v>3</v>
      </c>
      <c r="B107" s="79" t="s">
        <v>451</v>
      </c>
      <c r="C107" s="53">
        <v>1</v>
      </c>
      <c r="D107" s="53">
        <v>1</v>
      </c>
      <c r="E107" s="126">
        <v>2.42</v>
      </c>
      <c r="F107" s="53">
        <v>21</v>
      </c>
      <c r="G107" s="53">
        <v>200</v>
      </c>
      <c r="H107" s="124" t="str">
        <f t="shared" si="28"/>
        <v>B</v>
      </c>
      <c r="I107" s="114">
        <f t="shared" si="29"/>
        <v>701800</v>
      </c>
      <c r="J107" s="114">
        <f t="shared" si="30"/>
        <v>0</v>
      </c>
      <c r="K107" s="114">
        <f t="shared" si="31"/>
        <v>0</v>
      </c>
      <c r="L107" s="55">
        <v>150000</v>
      </c>
      <c r="M107" s="115">
        <f t="shared" si="32"/>
        <v>551800</v>
      </c>
      <c r="N107" s="78"/>
      <c r="O107" s="78"/>
      <c r="P107" s="78"/>
      <c r="Q107" s="78"/>
      <c r="R107" s="78"/>
      <c r="S107" s="78"/>
      <c r="T107" s="78"/>
      <c r="U107" s="78"/>
      <c r="V107" s="78"/>
      <c r="W107" s="78"/>
      <c r="X107" s="78"/>
      <c r="Y107" s="78"/>
      <c r="Z107" s="78"/>
    </row>
    <row r="108" spans="1:26" ht="15.75" customHeight="1" x14ac:dyDescent="0.3">
      <c r="A108" s="91">
        <v>4</v>
      </c>
      <c r="B108" s="79" t="s">
        <v>452</v>
      </c>
      <c r="C108" s="53">
        <v>0</v>
      </c>
      <c r="D108" s="53">
        <v>0</v>
      </c>
      <c r="E108" s="126">
        <v>3.1</v>
      </c>
      <c r="F108" s="53">
        <v>26</v>
      </c>
      <c r="G108" s="53">
        <v>208</v>
      </c>
      <c r="H108" s="124" t="str">
        <f t="shared" si="28"/>
        <v>A</v>
      </c>
      <c r="I108" s="114">
        <f t="shared" si="29"/>
        <v>899000</v>
      </c>
      <c r="J108" s="114">
        <f t="shared" si="30"/>
        <v>50000</v>
      </c>
      <c r="K108" s="114">
        <f t="shared" si="31"/>
        <v>30000</v>
      </c>
      <c r="L108" s="55">
        <v>150000</v>
      </c>
      <c r="M108" s="115">
        <f t="shared" si="32"/>
        <v>829000</v>
      </c>
      <c r="N108" s="78"/>
      <c r="O108" s="78"/>
      <c r="P108" s="78"/>
      <c r="Q108" s="78"/>
      <c r="R108" s="78"/>
      <c r="S108" s="78"/>
      <c r="T108" s="78"/>
      <c r="U108" s="78"/>
      <c r="V108" s="78"/>
      <c r="W108" s="78"/>
      <c r="X108" s="78"/>
      <c r="Y108" s="78"/>
      <c r="Z108" s="78"/>
    </row>
    <row r="109" spans="1:26" ht="15.75" customHeight="1" x14ac:dyDescent="0.3">
      <c r="A109" s="91">
        <v>5</v>
      </c>
      <c r="B109" s="79" t="s">
        <v>453</v>
      </c>
      <c r="C109" s="53">
        <v>1</v>
      </c>
      <c r="D109" s="53">
        <v>2</v>
      </c>
      <c r="E109" s="126">
        <v>4.0999999999999996</v>
      </c>
      <c r="F109" s="53">
        <v>24</v>
      </c>
      <c r="G109" s="53">
        <v>200</v>
      </c>
      <c r="H109" s="124" t="str">
        <f t="shared" si="28"/>
        <v>B</v>
      </c>
      <c r="I109" s="114">
        <f t="shared" si="29"/>
        <v>1189000</v>
      </c>
      <c r="J109" s="114">
        <f t="shared" si="30"/>
        <v>0</v>
      </c>
      <c r="K109" s="114">
        <f t="shared" si="31"/>
        <v>0</v>
      </c>
      <c r="L109" s="55">
        <v>200000</v>
      </c>
      <c r="M109" s="115">
        <f t="shared" si="32"/>
        <v>989000</v>
      </c>
      <c r="N109" s="78"/>
      <c r="O109" s="78"/>
      <c r="P109" s="78"/>
      <c r="Q109" s="78"/>
      <c r="R109" s="78"/>
      <c r="S109" s="78"/>
      <c r="T109" s="78"/>
      <c r="U109" s="78"/>
      <c r="V109" s="78"/>
      <c r="W109" s="78"/>
      <c r="X109" s="78"/>
      <c r="Y109" s="78"/>
      <c r="Z109" s="78"/>
    </row>
    <row r="110" spans="1:26" ht="15.75" customHeight="1" x14ac:dyDescent="0.3">
      <c r="A110" s="91">
        <v>6</v>
      </c>
      <c r="B110" s="79" t="s">
        <v>454</v>
      </c>
      <c r="C110" s="53">
        <v>0</v>
      </c>
      <c r="D110" s="53">
        <v>3</v>
      </c>
      <c r="E110" s="126">
        <v>2.5</v>
      </c>
      <c r="F110" s="53">
        <v>26</v>
      </c>
      <c r="G110" s="53">
        <v>200</v>
      </c>
      <c r="H110" s="124" t="str">
        <f t="shared" si="28"/>
        <v>B</v>
      </c>
      <c r="I110" s="114">
        <f t="shared" si="29"/>
        <v>725000</v>
      </c>
      <c r="J110" s="114">
        <f t="shared" si="30"/>
        <v>0</v>
      </c>
      <c r="K110" s="114">
        <f t="shared" si="31"/>
        <v>5000</v>
      </c>
      <c r="L110" s="55">
        <v>100000</v>
      </c>
      <c r="M110" s="115">
        <f t="shared" si="32"/>
        <v>630000</v>
      </c>
      <c r="N110" s="78"/>
      <c r="O110" s="78"/>
      <c r="P110" s="78"/>
      <c r="Q110" s="78"/>
      <c r="R110" s="78"/>
      <c r="S110" s="78"/>
      <c r="T110" s="78"/>
      <c r="U110" s="78"/>
      <c r="V110" s="78"/>
      <c r="W110" s="78"/>
      <c r="X110" s="78"/>
      <c r="Y110" s="78"/>
      <c r="Z110" s="78"/>
    </row>
    <row r="111" spans="1:26" ht="15.75" customHeight="1" x14ac:dyDescent="0.3">
      <c r="A111" s="91">
        <v>7</v>
      </c>
      <c r="B111" s="79" t="s">
        <v>455</v>
      </c>
      <c r="C111" s="53">
        <v>0</v>
      </c>
      <c r="D111" s="53">
        <v>0</v>
      </c>
      <c r="E111" s="126">
        <v>3.46</v>
      </c>
      <c r="F111" s="53">
        <v>22</v>
      </c>
      <c r="G111" s="53">
        <v>198</v>
      </c>
      <c r="H111" s="124" t="str">
        <f t="shared" si="28"/>
        <v>C</v>
      </c>
      <c r="I111" s="114">
        <f t="shared" si="29"/>
        <v>1003400</v>
      </c>
      <c r="J111" s="114">
        <f t="shared" si="30"/>
        <v>-20000</v>
      </c>
      <c r="K111" s="114">
        <f t="shared" si="31"/>
        <v>30000</v>
      </c>
      <c r="L111" s="55">
        <v>250000</v>
      </c>
      <c r="M111" s="115">
        <f t="shared" si="32"/>
        <v>763400</v>
      </c>
      <c r="N111" s="78"/>
      <c r="O111" s="78"/>
      <c r="P111" s="78"/>
      <c r="Q111" s="78"/>
      <c r="R111" s="78"/>
      <c r="S111" s="78"/>
      <c r="T111" s="78"/>
      <c r="U111" s="78"/>
      <c r="V111" s="78"/>
      <c r="W111" s="78"/>
      <c r="X111" s="78"/>
      <c r="Y111" s="78"/>
      <c r="Z111" s="78"/>
    </row>
    <row r="112" spans="1:26" ht="15.75" customHeight="1" x14ac:dyDescent="0.3">
      <c r="A112" s="91">
        <v>8</v>
      </c>
      <c r="B112" s="79" t="s">
        <v>456</v>
      </c>
      <c r="C112" s="53">
        <v>1</v>
      </c>
      <c r="D112" s="53">
        <v>2</v>
      </c>
      <c r="E112" s="126">
        <v>3.1</v>
      </c>
      <c r="F112" s="53">
        <v>24</v>
      </c>
      <c r="G112" s="53">
        <v>200</v>
      </c>
      <c r="H112" s="124" t="str">
        <f t="shared" si="28"/>
        <v>B</v>
      </c>
      <c r="I112" s="114">
        <f t="shared" si="29"/>
        <v>899000</v>
      </c>
      <c r="J112" s="114">
        <f t="shared" si="30"/>
        <v>0</v>
      </c>
      <c r="K112" s="114">
        <f t="shared" si="31"/>
        <v>0</v>
      </c>
      <c r="L112" s="55">
        <v>100000</v>
      </c>
      <c r="M112" s="115">
        <f t="shared" si="32"/>
        <v>799000</v>
      </c>
      <c r="N112" s="78"/>
      <c r="O112" s="78"/>
      <c r="P112" s="78"/>
      <c r="Q112" s="78"/>
      <c r="R112" s="78"/>
      <c r="S112" s="78"/>
      <c r="T112" s="78"/>
      <c r="U112" s="78"/>
      <c r="V112" s="78"/>
      <c r="W112" s="78"/>
      <c r="X112" s="78"/>
      <c r="Y112" s="78"/>
      <c r="Z112" s="78"/>
    </row>
    <row r="113" spans="1:26" ht="15.75" customHeight="1" x14ac:dyDescent="0.3">
      <c r="A113" s="91">
        <v>9</v>
      </c>
      <c r="B113" s="79" t="s">
        <v>457</v>
      </c>
      <c r="C113" s="53">
        <v>1</v>
      </c>
      <c r="D113" s="53">
        <v>1</v>
      </c>
      <c r="E113" s="126">
        <v>5.0999999999999996</v>
      </c>
      <c r="F113" s="53">
        <v>26</v>
      </c>
      <c r="G113" s="53">
        <v>198</v>
      </c>
      <c r="H113" s="124" t="str">
        <f t="shared" si="28"/>
        <v>C</v>
      </c>
      <c r="I113" s="114">
        <f t="shared" si="29"/>
        <v>1479000</v>
      </c>
      <c r="J113" s="114">
        <f t="shared" si="30"/>
        <v>-20000</v>
      </c>
      <c r="K113" s="114">
        <f t="shared" si="31"/>
        <v>0</v>
      </c>
      <c r="L113" s="55">
        <v>500000</v>
      </c>
      <c r="M113" s="115">
        <f t="shared" si="32"/>
        <v>959000</v>
      </c>
      <c r="N113" s="78"/>
      <c r="O113" s="78"/>
      <c r="P113" s="78"/>
      <c r="Q113" s="78"/>
      <c r="R113" s="78"/>
      <c r="S113" s="78"/>
      <c r="T113" s="78"/>
      <c r="U113" s="78"/>
      <c r="V113" s="78"/>
      <c r="W113" s="78"/>
      <c r="X113" s="78"/>
      <c r="Y113" s="78"/>
      <c r="Z113" s="78"/>
    </row>
    <row r="114" spans="1:26" ht="15.75" customHeight="1" x14ac:dyDescent="0.3">
      <c r="A114" s="91">
        <v>10</v>
      </c>
      <c r="B114" s="79" t="s">
        <v>458</v>
      </c>
      <c r="C114" s="53">
        <v>1</v>
      </c>
      <c r="D114" s="53">
        <v>1</v>
      </c>
      <c r="E114" s="126">
        <v>2.98</v>
      </c>
      <c r="F114" s="53">
        <v>26</v>
      </c>
      <c r="G114" s="53">
        <v>208</v>
      </c>
      <c r="H114" s="124" t="str">
        <f t="shared" si="28"/>
        <v>A</v>
      </c>
      <c r="I114" s="114">
        <f t="shared" si="29"/>
        <v>864200</v>
      </c>
      <c r="J114" s="114">
        <f t="shared" si="30"/>
        <v>50000</v>
      </c>
      <c r="K114" s="114">
        <f t="shared" si="31"/>
        <v>0</v>
      </c>
      <c r="L114" s="55">
        <v>200000</v>
      </c>
      <c r="M114" s="115">
        <f t="shared" si="32"/>
        <v>714200</v>
      </c>
      <c r="N114" s="78"/>
      <c r="O114" s="78"/>
      <c r="P114" s="78"/>
      <c r="Q114" s="78"/>
      <c r="R114" s="78"/>
      <c r="S114" s="78"/>
      <c r="T114" s="78"/>
      <c r="U114" s="78"/>
      <c r="V114" s="78"/>
      <c r="W114" s="78"/>
      <c r="X114" s="78"/>
      <c r="Y114" s="78"/>
      <c r="Z114" s="78"/>
    </row>
    <row r="115" spans="1:26" ht="15.75" customHeight="1" x14ac:dyDescent="0.3">
      <c r="A115" s="92">
        <v>11</v>
      </c>
      <c r="B115" s="81" t="s">
        <v>459</v>
      </c>
      <c r="C115" s="93">
        <v>1</v>
      </c>
      <c r="D115" s="93">
        <v>0</v>
      </c>
      <c r="E115" s="127">
        <v>3.32</v>
      </c>
      <c r="F115" s="93">
        <v>25</v>
      </c>
      <c r="G115" s="93">
        <v>208</v>
      </c>
      <c r="H115" s="124" t="str">
        <f t="shared" si="28"/>
        <v>A</v>
      </c>
      <c r="I115" s="114">
        <f t="shared" si="29"/>
        <v>962800</v>
      </c>
      <c r="J115" s="114">
        <f t="shared" si="30"/>
        <v>50000</v>
      </c>
      <c r="K115" s="114">
        <f t="shared" si="31"/>
        <v>0</v>
      </c>
      <c r="L115" s="82">
        <v>150000</v>
      </c>
      <c r="M115" s="115">
        <f t="shared" si="32"/>
        <v>862800</v>
      </c>
      <c r="N115" s="78"/>
      <c r="O115" s="78"/>
      <c r="P115" s="78"/>
      <c r="Q115" s="78"/>
      <c r="R115" s="78"/>
      <c r="S115" s="78"/>
      <c r="T115" s="78"/>
      <c r="U115" s="78"/>
      <c r="V115" s="78"/>
      <c r="W115" s="78"/>
      <c r="X115" s="78"/>
      <c r="Y115" s="78"/>
      <c r="Z115" s="78"/>
    </row>
    <row r="116" spans="1:26" ht="21" customHeight="1" x14ac:dyDescent="0.3">
      <c r="A116" s="429" t="s">
        <v>370</v>
      </c>
      <c r="B116" s="423"/>
      <c r="C116" s="423"/>
      <c r="D116" s="423"/>
      <c r="E116" s="423"/>
      <c r="F116" s="423"/>
      <c r="G116" s="423"/>
      <c r="H116" s="424"/>
      <c r="I116" s="116">
        <f t="shared" ref="I116:M116" si="33">SUM(I105:I115)</f>
        <v>10289200</v>
      </c>
      <c r="J116" s="116">
        <f t="shared" si="33"/>
        <v>160000</v>
      </c>
      <c r="K116" s="89">
        <f t="shared" si="33"/>
        <v>95000</v>
      </c>
      <c r="L116" s="116">
        <f t="shared" si="33"/>
        <v>2050000</v>
      </c>
      <c r="M116" s="128">
        <f t="shared" si="33"/>
        <v>8494200</v>
      </c>
      <c r="N116" s="78"/>
      <c r="O116" s="78"/>
      <c r="P116" s="78"/>
      <c r="Q116" s="78"/>
      <c r="R116" s="78"/>
      <c r="S116" s="78"/>
      <c r="T116" s="78"/>
      <c r="U116" s="78"/>
      <c r="V116" s="78"/>
      <c r="W116" s="78"/>
      <c r="X116" s="78"/>
      <c r="Y116" s="78"/>
      <c r="Z116" s="78"/>
    </row>
    <row r="117" spans="1:26" ht="15.75" customHeight="1" x14ac:dyDescent="0.3">
      <c r="A117" s="78" t="s">
        <v>423</v>
      </c>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spans="1:26" ht="15.75" customHeight="1" x14ac:dyDescent="0.3">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spans="1:26" ht="15.75" customHeight="1" x14ac:dyDescent="0.3">
      <c r="A119" s="95" t="s">
        <v>424</v>
      </c>
      <c r="B119" s="95"/>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spans="1:26" ht="15.75" customHeight="1" x14ac:dyDescent="0.3">
      <c r="A120" s="95"/>
      <c r="B120" s="95" t="s">
        <v>460</v>
      </c>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spans="1:26" ht="15.75" customHeight="1" x14ac:dyDescent="0.3">
      <c r="A121" s="95" t="s">
        <v>461</v>
      </c>
      <c r="B121" s="95"/>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spans="1:26" ht="15.75" customHeight="1" x14ac:dyDescent="0.3">
      <c r="A122" s="95"/>
      <c r="B122" s="95" t="s">
        <v>462</v>
      </c>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15.75" customHeight="1" x14ac:dyDescent="0.3">
      <c r="A123" s="95" t="s">
        <v>463</v>
      </c>
      <c r="B123" s="95"/>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spans="1:26" ht="15.75" customHeight="1" x14ac:dyDescent="0.3">
      <c r="A124" s="95"/>
      <c r="B124" s="95" t="s">
        <v>464</v>
      </c>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spans="1:26" ht="15.75" customHeight="1" x14ac:dyDescent="0.3">
      <c r="A125" s="95"/>
      <c r="B125" s="95" t="s">
        <v>465</v>
      </c>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spans="1:26" ht="15.75" customHeight="1" x14ac:dyDescent="0.3">
      <c r="A126" s="95" t="s">
        <v>466</v>
      </c>
      <c r="B126" s="95"/>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spans="1:26" ht="15.75" customHeight="1" x14ac:dyDescent="0.3">
      <c r="A127" s="129" t="s">
        <v>467</v>
      </c>
      <c r="B127" s="95"/>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spans="1:26" ht="15.75" customHeight="1" x14ac:dyDescent="0.3">
      <c r="A128" s="95" t="s">
        <v>437</v>
      </c>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spans="1:26" ht="24" customHeight="1" x14ac:dyDescent="0.3">
      <c r="A129" s="418" t="s">
        <v>468</v>
      </c>
      <c r="B129" s="392"/>
      <c r="C129" s="392"/>
      <c r="D129" s="392"/>
      <c r="E129" s="392"/>
      <c r="F129" s="392"/>
      <c r="G129" s="392"/>
      <c r="H129" s="392"/>
      <c r="I129" s="392"/>
      <c r="J129" s="392"/>
      <c r="K129" s="392"/>
      <c r="L129" s="78"/>
      <c r="M129" s="78"/>
      <c r="N129" s="78"/>
      <c r="O129" s="78"/>
      <c r="P129" s="78"/>
      <c r="Q129" s="78"/>
      <c r="R129" s="78"/>
      <c r="S129" s="78"/>
      <c r="T129" s="78"/>
      <c r="U129" s="78"/>
      <c r="V129" s="78"/>
      <c r="W129" s="78"/>
      <c r="X129" s="78"/>
      <c r="Y129" s="78"/>
      <c r="Z129" s="78"/>
    </row>
    <row r="130" spans="1:26" ht="30" customHeight="1" x14ac:dyDescent="0.3">
      <c r="A130" s="83" t="s">
        <v>77</v>
      </c>
      <c r="B130" s="84" t="s">
        <v>334</v>
      </c>
      <c r="C130" s="84" t="s">
        <v>440</v>
      </c>
      <c r="D130" s="84" t="s">
        <v>469</v>
      </c>
      <c r="E130" s="84" t="s">
        <v>337</v>
      </c>
      <c r="F130" s="84" t="s">
        <v>470</v>
      </c>
      <c r="G130" s="84" t="s">
        <v>339</v>
      </c>
      <c r="H130" s="84" t="s">
        <v>471</v>
      </c>
      <c r="I130" s="84" t="s">
        <v>472</v>
      </c>
      <c r="J130" s="84" t="s">
        <v>231</v>
      </c>
      <c r="K130" s="85" t="s">
        <v>335</v>
      </c>
      <c r="L130" s="130"/>
      <c r="M130" s="130"/>
      <c r="N130" s="130"/>
      <c r="O130" s="130"/>
      <c r="P130" s="130"/>
      <c r="Q130" s="130"/>
      <c r="R130" s="130"/>
      <c r="S130" s="130"/>
      <c r="T130" s="130"/>
      <c r="U130" s="130"/>
      <c r="V130" s="130"/>
      <c r="W130" s="130"/>
      <c r="X130" s="130"/>
      <c r="Y130" s="130"/>
      <c r="Z130" s="130"/>
    </row>
    <row r="131" spans="1:26" ht="15.75" customHeight="1" x14ac:dyDescent="0.3">
      <c r="A131" s="86">
        <v>1</v>
      </c>
      <c r="B131" s="87" t="s">
        <v>473</v>
      </c>
      <c r="C131" s="87" t="s">
        <v>34</v>
      </c>
      <c r="D131" s="88">
        <v>1970</v>
      </c>
      <c r="E131" s="131">
        <v>19</v>
      </c>
      <c r="F131" s="88">
        <v>18</v>
      </c>
      <c r="G131" s="88">
        <v>17</v>
      </c>
      <c r="H131" s="124">
        <f t="shared" ref="H131:H140" si="34">IF(D131&gt;1972,0.75,IF(C131="Nữ",0.5,0))</f>
        <v>0</v>
      </c>
      <c r="I131" s="132">
        <f t="shared" ref="I131:I140" si="35">(E131+F131+G131*3)/5</f>
        <v>17.600000000000001</v>
      </c>
      <c r="J131" s="132">
        <f t="shared" ref="J131:J140" si="36">IF(I131&gt;=10,I131,I131+H131)</f>
        <v>17.600000000000001</v>
      </c>
      <c r="K131" s="103" t="str">
        <f t="shared" ref="K131:K140" si="37">IF(J131=20,"Xuất sắc", IF(J131&gt;=18,"Giỏi",IF(J131&gt;=14,"Khá",IF(J131&gt;=10,"Trung bình", "Thi lại"))))</f>
        <v>Khá</v>
      </c>
      <c r="L131" s="78"/>
      <c r="M131" s="78"/>
      <c r="N131" s="78"/>
      <c r="O131" s="78"/>
      <c r="P131" s="78"/>
      <c r="Q131" s="78"/>
      <c r="R131" s="78"/>
      <c r="S131" s="78"/>
      <c r="T131" s="78"/>
      <c r="U131" s="78"/>
      <c r="V131" s="78"/>
      <c r="W131" s="78"/>
      <c r="X131" s="78"/>
      <c r="Y131" s="78"/>
      <c r="Z131" s="78"/>
    </row>
    <row r="132" spans="1:26" ht="15.75" customHeight="1" x14ac:dyDescent="0.3">
      <c r="A132" s="91">
        <v>2</v>
      </c>
      <c r="B132" s="79" t="s">
        <v>474</v>
      </c>
      <c r="C132" s="79" t="s">
        <v>34</v>
      </c>
      <c r="D132" s="53">
        <v>1974</v>
      </c>
      <c r="E132" s="133">
        <v>9</v>
      </c>
      <c r="F132" s="53">
        <v>14</v>
      </c>
      <c r="G132" s="53">
        <v>8</v>
      </c>
      <c r="H132" s="124">
        <f t="shared" si="34"/>
        <v>0.75</v>
      </c>
      <c r="I132" s="132">
        <f t="shared" si="35"/>
        <v>9.4</v>
      </c>
      <c r="J132" s="132">
        <f t="shared" si="36"/>
        <v>10.15</v>
      </c>
      <c r="K132" s="103" t="str">
        <f t="shared" si="37"/>
        <v>Trung bình</v>
      </c>
      <c r="L132" s="78"/>
      <c r="M132" s="78"/>
      <c r="N132" s="78"/>
      <c r="O132" s="78"/>
      <c r="P132" s="78"/>
      <c r="Q132" s="78"/>
      <c r="R132" s="78"/>
      <c r="S132" s="78"/>
      <c r="T132" s="78"/>
      <c r="U132" s="78"/>
      <c r="V132" s="78"/>
      <c r="W132" s="78"/>
      <c r="X132" s="78"/>
      <c r="Y132" s="78"/>
      <c r="Z132" s="78"/>
    </row>
    <row r="133" spans="1:26" ht="15.75" customHeight="1" x14ac:dyDescent="0.3">
      <c r="A133" s="91">
        <v>3</v>
      </c>
      <c r="B133" s="79" t="s">
        <v>475</v>
      </c>
      <c r="C133" s="79" t="s">
        <v>34</v>
      </c>
      <c r="D133" s="53">
        <v>1968</v>
      </c>
      <c r="E133" s="133">
        <v>16</v>
      </c>
      <c r="F133" s="53">
        <v>17</v>
      </c>
      <c r="G133" s="53">
        <v>18</v>
      </c>
      <c r="H133" s="124">
        <f t="shared" si="34"/>
        <v>0</v>
      </c>
      <c r="I133" s="132">
        <f t="shared" si="35"/>
        <v>17.399999999999999</v>
      </c>
      <c r="J133" s="132">
        <f t="shared" si="36"/>
        <v>17.399999999999999</v>
      </c>
      <c r="K133" s="103" t="str">
        <f t="shared" si="37"/>
        <v>Khá</v>
      </c>
      <c r="L133" s="78"/>
      <c r="M133" s="78"/>
      <c r="N133" s="78"/>
      <c r="O133" s="78"/>
      <c r="P133" s="78"/>
      <c r="Q133" s="78"/>
      <c r="R133" s="78"/>
      <c r="S133" s="78"/>
      <c r="T133" s="78"/>
      <c r="U133" s="78"/>
      <c r="V133" s="78"/>
      <c r="W133" s="78"/>
      <c r="X133" s="78"/>
      <c r="Y133" s="78"/>
      <c r="Z133" s="78"/>
    </row>
    <row r="134" spans="1:26" ht="15.75" customHeight="1" x14ac:dyDescent="0.3">
      <c r="A134" s="91">
        <v>4</v>
      </c>
      <c r="B134" s="79" t="s">
        <v>476</v>
      </c>
      <c r="C134" s="79" t="s">
        <v>162</v>
      </c>
      <c r="D134" s="53">
        <v>1972</v>
      </c>
      <c r="E134" s="133">
        <v>7</v>
      </c>
      <c r="F134" s="53">
        <v>12</v>
      </c>
      <c r="G134" s="53">
        <v>14</v>
      </c>
      <c r="H134" s="124">
        <f t="shared" si="34"/>
        <v>0.5</v>
      </c>
      <c r="I134" s="132">
        <f t="shared" si="35"/>
        <v>12.2</v>
      </c>
      <c r="J134" s="132">
        <f t="shared" si="36"/>
        <v>12.2</v>
      </c>
      <c r="K134" s="103" t="str">
        <f t="shared" si="37"/>
        <v>Trung bình</v>
      </c>
      <c r="L134" s="78"/>
      <c r="M134" s="78"/>
      <c r="N134" s="78"/>
      <c r="O134" s="78"/>
      <c r="P134" s="78"/>
      <c r="Q134" s="78"/>
      <c r="R134" s="78"/>
      <c r="S134" s="78"/>
      <c r="T134" s="78"/>
      <c r="U134" s="78"/>
      <c r="V134" s="78"/>
      <c r="W134" s="78"/>
      <c r="X134" s="78"/>
      <c r="Y134" s="78"/>
      <c r="Z134" s="78"/>
    </row>
    <row r="135" spans="1:26" ht="15.75" customHeight="1" x14ac:dyDescent="0.3">
      <c r="A135" s="91">
        <v>5</v>
      </c>
      <c r="B135" s="79" t="s">
        <v>477</v>
      </c>
      <c r="C135" s="79" t="s">
        <v>34</v>
      </c>
      <c r="D135" s="53">
        <v>1968</v>
      </c>
      <c r="E135" s="133">
        <v>10</v>
      </c>
      <c r="F135" s="53">
        <v>8</v>
      </c>
      <c r="G135" s="53">
        <v>9</v>
      </c>
      <c r="H135" s="124">
        <f t="shared" si="34"/>
        <v>0</v>
      </c>
      <c r="I135" s="132">
        <f t="shared" si="35"/>
        <v>9</v>
      </c>
      <c r="J135" s="132">
        <f t="shared" si="36"/>
        <v>9</v>
      </c>
      <c r="K135" s="103" t="str">
        <f t="shared" si="37"/>
        <v>Thi lại</v>
      </c>
      <c r="L135" s="78"/>
      <c r="M135" s="78"/>
      <c r="N135" s="78"/>
      <c r="O135" s="78"/>
      <c r="P135" s="78"/>
      <c r="Q135" s="78"/>
      <c r="R135" s="78"/>
      <c r="S135" s="78"/>
      <c r="T135" s="78"/>
      <c r="U135" s="78"/>
      <c r="V135" s="78"/>
      <c r="W135" s="78"/>
      <c r="X135" s="78"/>
      <c r="Y135" s="78"/>
      <c r="Z135" s="78"/>
    </row>
    <row r="136" spans="1:26" ht="15.75" customHeight="1" x14ac:dyDescent="0.3">
      <c r="A136" s="91">
        <v>6</v>
      </c>
      <c r="B136" s="79" t="s">
        <v>478</v>
      </c>
      <c r="C136" s="79" t="s">
        <v>162</v>
      </c>
      <c r="D136" s="53">
        <v>1974</v>
      </c>
      <c r="E136" s="133">
        <v>14</v>
      </c>
      <c r="F136" s="53">
        <v>15</v>
      </c>
      <c r="G136" s="53">
        <v>12</v>
      </c>
      <c r="H136" s="124">
        <f t="shared" si="34"/>
        <v>0.75</v>
      </c>
      <c r="I136" s="132">
        <f t="shared" si="35"/>
        <v>13</v>
      </c>
      <c r="J136" s="132">
        <f t="shared" si="36"/>
        <v>13</v>
      </c>
      <c r="K136" s="103" t="str">
        <f t="shared" si="37"/>
        <v>Trung bình</v>
      </c>
      <c r="L136" s="78"/>
      <c r="M136" s="78"/>
      <c r="N136" s="78"/>
      <c r="O136" s="78"/>
      <c r="P136" s="78"/>
      <c r="Q136" s="78"/>
      <c r="R136" s="78"/>
      <c r="S136" s="78"/>
      <c r="T136" s="78"/>
      <c r="U136" s="78"/>
      <c r="V136" s="78"/>
      <c r="W136" s="78"/>
      <c r="X136" s="78"/>
      <c r="Y136" s="78"/>
      <c r="Z136" s="78"/>
    </row>
    <row r="137" spans="1:26" ht="15.75" customHeight="1" x14ac:dyDescent="0.3">
      <c r="A137" s="91">
        <v>7</v>
      </c>
      <c r="B137" s="79" t="s">
        <v>479</v>
      </c>
      <c r="C137" s="79" t="s">
        <v>162</v>
      </c>
      <c r="D137" s="53">
        <v>1971</v>
      </c>
      <c r="E137" s="133">
        <v>11</v>
      </c>
      <c r="F137" s="53">
        <v>18</v>
      </c>
      <c r="G137" s="53">
        <v>19</v>
      </c>
      <c r="H137" s="124">
        <f t="shared" si="34"/>
        <v>0.5</v>
      </c>
      <c r="I137" s="132">
        <f t="shared" si="35"/>
        <v>17.2</v>
      </c>
      <c r="J137" s="132">
        <f t="shared" si="36"/>
        <v>17.2</v>
      </c>
      <c r="K137" s="103" t="str">
        <f t="shared" si="37"/>
        <v>Khá</v>
      </c>
      <c r="L137" s="78"/>
      <c r="M137" s="78"/>
      <c r="N137" s="78"/>
      <c r="O137" s="78"/>
      <c r="P137" s="78"/>
      <c r="Q137" s="78"/>
      <c r="R137" s="78"/>
      <c r="S137" s="78"/>
      <c r="T137" s="78"/>
      <c r="U137" s="78"/>
      <c r="V137" s="78"/>
      <c r="W137" s="78"/>
      <c r="X137" s="78"/>
      <c r="Y137" s="78"/>
      <c r="Z137" s="78"/>
    </row>
    <row r="138" spans="1:26" ht="15.75" customHeight="1" x14ac:dyDescent="0.3">
      <c r="A138" s="91">
        <v>8</v>
      </c>
      <c r="B138" s="79" t="s">
        <v>480</v>
      </c>
      <c r="C138" s="79" t="s">
        <v>34</v>
      </c>
      <c r="D138" s="53">
        <v>1974</v>
      </c>
      <c r="E138" s="133">
        <v>15</v>
      </c>
      <c r="F138" s="53">
        <v>10</v>
      </c>
      <c r="G138" s="53">
        <v>12</v>
      </c>
      <c r="H138" s="124">
        <f t="shared" si="34"/>
        <v>0.75</v>
      </c>
      <c r="I138" s="132">
        <f t="shared" si="35"/>
        <v>12.2</v>
      </c>
      <c r="J138" s="132">
        <f t="shared" si="36"/>
        <v>12.2</v>
      </c>
      <c r="K138" s="103" t="str">
        <f t="shared" si="37"/>
        <v>Trung bình</v>
      </c>
      <c r="L138" s="78"/>
      <c r="M138" s="78"/>
      <c r="N138" s="78"/>
      <c r="O138" s="78"/>
      <c r="P138" s="78"/>
      <c r="Q138" s="78"/>
      <c r="R138" s="78"/>
      <c r="S138" s="78"/>
      <c r="T138" s="78"/>
      <c r="U138" s="78"/>
      <c r="V138" s="78"/>
      <c r="W138" s="78"/>
      <c r="X138" s="78"/>
      <c r="Y138" s="78"/>
      <c r="Z138" s="78"/>
    </row>
    <row r="139" spans="1:26" ht="15.75" customHeight="1" x14ac:dyDescent="0.3">
      <c r="A139" s="91">
        <v>9</v>
      </c>
      <c r="B139" s="79" t="s">
        <v>481</v>
      </c>
      <c r="C139" s="79" t="s">
        <v>34</v>
      </c>
      <c r="D139" s="53">
        <v>1969</v>
      </c>
      <c r="E139" s="133">
        <v>7</v>
      </c>
      <c r="F139" s="53">
        <v>13</v>
      </c>
      <c r="G139" s="53">
        <v>12</v>
      </c>
      <c r="H139" s="124">
        <f t="shared" si="34"/>
        <v>0</v>
      </c>
      <c r="I139" s="132">
        <f t="shared" si="35"/>
        <v>11.2</v>
      </c>
      <c r="J139" s="132">
        <f t="shared" si="36"/>
        <v>11.2</v>
      </c>
      <c r="K139" s="103" t="str">
        <f t="shared" si="37"/>
        <v>Trung bình</v>
      </c>
      <c r="L139" s="78"/>
      <c r="M139" s="78"/>
      <c r="N139" s="78"/>
      <c r="O139" s="78"/>
      <c r="P139" s="78"/>
      <c r="Q139" s="78"/>
      <c r="R139" s="78"/>
      <c r="S139" s="78"/>
      <c r="T139" s="78"/>
      <c r="U139" s="78"/>
      <c r="V139" s="78"/>
      <c r="W139" s="78"/>
      <c r="X139" s="78"/>
      <c r="Y139" s="78"/>
      <c r="Z139" s="78"/>
    </row>
    <row r="140" spans="1:26" ht="15.75" customHeight="1" x14ac:dyDescent="0.3">
      <c r="A140" s="92">
        <v>10</v>
      </c>
      <c r="B140" s="81" t="s">
        <v>482</v>
      </c>
      <c r="C140" s="81" t="s">
        <v>162</v>
      </c>
      <c r="D140" s="93">
        <v>1973</v>
      </c>
      <c r="E140" s="134">
        <v>6</v>
      </c>
      <c r="F140" s="93">
        <v>14</v>
      </c>
      <c r="G140" s="93">
        <v>11</v>
      </c>
      <c r="H140" s="124">
        <f t="shared" si="34"/>
        <v>0.75</v>
      </c>
      <c r="I140" s="132">
        <f t="shared" si="35"/>
        <v>10.6</v>
      </c>
      <c r="J140" s="132">
        <f t="shared" si="36"/>
        <v>10.6</v>
      </c>
      <c r="K140" s="103" t="str">
        <f t="shared" si="37"/>
        <v>Trung bình</v>
      </c>
      <c r="L140" s="78"/>
      <c r="M140" s="78"/>
      <c r="N140" s="78"/>
      <c r="O140" s="78"/>
      <c r="P140" s="78"/>
      <c r="Q140" s="78"/>
      <c r="R140" s="78"/>
      <c r="S140" s="78"/>
      <c r="T140" s="78"/>
      <c r="U140" s="78"/>
      <c r="V140" s="78"/>
      <c r="W140" s="78"/>
      <c r="X140" s="78"/>
      <c r="Y140" s="78"/>
      <c r="Z140" s="78"/>
    </row>
    <row r="141" spans="1:26" ht="15.75" customHeight="1" x14ac:dyDescent="0.3">
      <c r="A141" s="430" t="s">
        <v>372</v>
      </c>
      <c r="B141" s="420"/>
      <c r="C141" s="420"/>
      <c r="D141" s="421"/>
      <c r="E141" s="135">
        <f t="shared" ref="E141:K141" si="38">MAX(E131:E140)</f>
        <v>19</v>
      </c>
      <c r="F141" s="135">
        <f t="shared" si="38"/>
        <v>18</v>
      </c>
      <c r="G141" s="135">
        <f t="shared" si="38"/>
        <v>19</v>
      </c>
      <c r="H141" s="135">
        <f t="shared" si="38"/>
        <v>0.75</v>
      </c>
      <c r="I141" s="135">
        <f t="shared" si="38"/>
        <v>17.600000000000001</v>
      </c>
      <c r="J141" s="135">
        <f t="shared" si="38"/>
        <v>17.600000000000001</v>
      </c>
      <c r="K141" s="135">
        <f t="shared" si="38"/>
        <v>0</v>
      </c>
      <c r="L141" s="78"/>
      <c r="M141" s="78"/>
      <c r="N141" s="78"/>
      <c r="O141" s="78"/>
      <c r="P141" s="78"/>
      <c r="Q141" s="78"/>
      <c r="R141" s="78"/>
      <c r="S141" s="78"/>
      <c r="T141" s="78"/>
      <c r="U141" s="78"/>
      <c r="V141" s="78"/>
      <c r="W141" s="78"/>
      <c r="X141" s="78"/>
      <c r="Y141" s="78"/>
      <c r="Z141" s="78"/>
    </row>
    <row r="142" spans="1:26" ht="15.75" customHeight="1" x14ac:dyDescent="0.3">
      <c r="A142" s="431" t="s">
        <v>472</v>
      </c>
      <c r="B142" s="389"/>
      <c r="C142" s="389"/>
      <c r="D142" s="390"/>
      <c r="E142" s="136">
        <f t="shared" ref="E142:J142" si="39">AVERAGE(E131:E140)</f>
        <v>11.4</v>
      </c>
      <c r="F142" s="136">
        <f t="shared" si="39"/>
        <v>13.9</v>
      </c>
      <c r="G142" s="136">
        <f t="shared" si="39"/>
        <v>13.2</v>
      </c>
      <c r="H142" s="136">
        <f t="shared" si="39"/>
        <v>0.4</v>
      </c>
      <c r="I142" s="136">
        <f t="shared" si="39"/>
        <v>12.98</v>
      </c>
      <c r="J142" s="136">
        <f t="shared" si="39"/>
        <v>13.055000000000001</v>
      </c>
      <c r="K142" s="136">
        <v>0</v>
      </c>
      <c r="L142" s="78"/>
      <c r="M142" s="78"/>
      <c r="N142" s="78"/>
      <c r="O142" s="78"/>
      <c r="P142" s="78"/>
      <c r="Q142" s="78"/>
      <c r="R142" s="78"/>
      <c r="S142" s="78"/>
      <c r="T142" s="78"/>
      <c r="U142" s="78"/>
      <c r="V142" s="78"/>
      <c r="W142" s="78"/>
      <c r="X142" s="78"/>
      <c r="Y142" s="78"/>
      <c r="Z142" s="78"/>
    </row>
    <row r="143" spans="1:26" ht="15.75" customHeight="1" x14ac:dyDescent="0.3">
      <c r="A143" s="432" t="s">
        <v>373</v>
      </c>
      <c r="B143" s="433"/>
      <c r="C143" s="433"/>
      <c r="D143" s="434"/>
      <c r="E143" s="137">
        <f t="shared" ref="E143:K143" si="40">MIN(E131:E140)</f>
        <v>6</v>
      </c>
      <c r="F143" s="137">
        <f t="shared" si="40"/>
        <v>8</v>
      </c>
      <c r="G143" s="137">
        <f t="shared" si="40"/>
        <v>8</v>
      </c>
      <c r="H143" s="137">
        <f t="shared" si="40"/>
        <v>0</v>
      </c>
      <c r="I143" s="137">
        <f t="shared" si="40"/>
        <v>9</v>
      </c>
      <c r="J143" s="137">
        <f t="shared" si="40"/>
        <v>9</v>
      </c>
      <c r="K143" s="137">
        <f t="shared" si="40"/>
        <v>0</v>
      </c>
      <c r="L143" s="78"/>
      <c r="M143" s="78"/>
      <c r="N143" s="78"/>
      <c r="O143" s="78"/>
      <c r="P143" s="78"/>
      <c r="Q143" s="78"/>
      <c r="R143" s="78"/>
      <c r="S143" s="78"/>
      <c r="T143" s="78"/>
      <c r="U143" s="78"/>
      <c r="V143" s="78"/>
      <c r="W143" s="78"/>
      <c r="X143" s="78"/>
      <c r="Y143" s="78"/>
      <c r="Z143" s="78"/>
    </row>
    <row r="144" spans="1:26" ht="15.75" customHeight="1" x14ac:dyDescent="0.3">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spans="1:26" ht="15.75" customHeight="1" x14ac:dyDescent="0.3">
      <c r="A145" s="95" t="s">
        <v>483</v>
      </c>
      <c r="B145" s="95"/>
      <c r="C145" s="95"/>
      <c r="D145" s="95"/>
      <c r="E145" s="78"/>
      <c r="F145" s="78"/>
      <c r="G145" s="78"/>
      <c r="H145" s="78"/>
      <c r="I145" s="78"/>
      <c r="J145" s="78"/>
      <c r="K145" s="78"/>
      <c r="L145" s="78"/>
      <c r="M145" s="78"/>
      <c r="N145" s="78"/>
      <c r="O145" s="78"/>
      <c r="P145" s="78"/>
      <c r="Q145" s="78"/>
      <c r="R145" s="78"/>
      <c r="S145" s="78"/>
      <c r="T145" s="78"/>
      <c r="U145" s="78"/>
      <c r="V145" s="78"/>
      <c r="W145" s="78"/>
      <c r="X145" s="78"/>
      <c r="Y145" s="78"/>
      <c r="Z145" s="78"/>
    </row>
    <row r="146" spans="1:26" ht="15.75" customHeight="1" x14ac:dyDescent="0.3">
      <c r="A146" s="95"/>
      <c r="B146" s="95" t="s">
        <v>484</v>
      </c>
      <c r="C146" s="95"/>
      <c r="D146" s="95"/>
      <c r="E146" s="78"/>
      <c r="F146" s="78"/>
      <c r="G146" s="78"/>
      <c r="H146" s="78"/>
      <c r="I146" s="78"/>
      <c r="J146" s="78"/>
      <c r="K146" s="78"/>
      <c r="L146" s="78"/>
      <c r="M146" s="78"/>
      <c r="N146" s="78"/>
      <c r="O146" s="78"/>
      <c r="P146" s="78"/>
      <c r="Q146" s="78"/>
      <c r="R146" s="78"/>
      <c r="S146" s="78"/>
      <c r="T146" s="78"/>
      <c r="U146" s="78"/>
      <c r="V146" s="78"/>
      <c r="W146" s="78"/>
      <c r="X146" s="78"/>
      <c r="Y146" s="78"/>
      <c r="Z146" s="78"/>
    </row>
    <row r="147" spans="1:26" ht="15.75" customHeight="1" x14ac:dyDescent="0.3">
      <c r="A147" s="95"/>
      <c r="B147" s="95" t="s">
        <v>485</v>
      </c>
      <c r="C147" s="95"/>
      <c r="D147" s="95"/>
      <c r="E147" s="78"/>
      <c r="F147" s="78"/>
      <c r="G147" s="78"/>
      <c r="H147" s="78"/>
      <c r="I147" s="78"/>
      <c r="J147" s="78"/>
      <c r="K147" s="78"/>
      <c r="L147" s="78"/>
      <c r="M147" s="78"/>
      <c r="N147" s="78"/>
      <c r="O147" s="78"/>
      <c r="P147" s="78"/>
      <c r="Q147" s="78"/>
      <c r="R147" s="78"/>
      <c r="S147" s="78"/>
      <c r="T147" s="78"/>
      <c r="U147" s="78"/>
      <c r="V147" s="78"/>
      <c r="W147" s="78"/>
      <c r="X147" s="78"/>
      <c r="Y147" s="78"/>
      <c r="Z147" s="78"/>
    </row>
    <row r="148" spans="1:26" ht="15.75" customHeight="1" x14ac:dyDescent="0.3">
      <c r="A148" s="95" t="s">
        <v>486</v>
      </c>
      <c r="B148" s="95"/>
      <c r="C148" s="95"/>
      <c r="D148" s="95"/>
      <c r="E148" s="78"/>
      <c r="F148" s="78"/>
      <c r="G148" s="78"/>
      <c r="H148" s="78"/>
      <c r="I148" s="78"/>
      <c r="J148" s="78"/>
      <c r="K148" s="78"/>
      <c r="L148" s="78"/>
      <c r="M148" s="78"/>
      <c r="N148" s="78"/>
      <c r="O148" s="78"/>
      <c r="P148" s="78"/>
      <c r="Q148" s="78"/>
      <c r="R148" s="78"/>
      <c r="S148" s="78"/>
      <c r="T148" s="78"/>
      <c r="U148" s="78"/>
      <c r="V148" s="78"/>
      <c r="W148" s="78"/>
      <c r="X148" s="78"/>
      <c r="Y148" s="78"/>
      <c r="Z148" s="78"/>
    </row>
    <row r="149" spans="1:26" ht="15.75" customHeight="1" x14ac:dyDescent="0.3">
      <c r="A149" s="95" t="s">
        <v>487</v>
      </c>
      <c r="B149" s="95"/>
      <c r="C149" s="95"/>
      <c r="D149" s="95"/>
      <c r="E149" s="78"/>
      <c r="F149" s="78"/>
      <c r="G149" s="78"/>
      <c r="H149" s="78"/>
      <c r="I149" s="78"/>
      <c r="J149" s="78"/>
      <c r="K149" s="78"/>
      <c r="L149" s="78"/>
      <c r="M149" s="78"/>
      <c r="N149" s="78"/>
      <c r="O149" s="78"/>
      <c r="P149" s="78"/>
      <c r="Q149" s="78"/>
      <c r="R149" s="78"/>
      <c r="S149" s="78"/>
      <c r="T149" s="78"/>
      <c r="U149" s="78"/>
      <c r="V149" s="78"/>
      <c r="W149" s="78"/>
      <c r="X149" s="78"/>
      <c r="Y149" s="78"/>
      <c r="Z149" s="78"/>
    </row>
    <row r="150" spans="1:26" ht="15.75" customHeight="1" x14ac:dyDescent="0.3">
      <c r="A150" s="95"/>
      <c r="B150" s="95" t="s">
        <v>488</v>
      </c>
      <c r="C150" s="95"/>
      <c r="D150" s="95"/>
      <c r="E150" s="78"/>
      <c r="F150" s="78"/>
      <c r="G150" s="78"/>
      <c r="H150" s="78"/>
      <c r="I150" s="78"/>
      <c r="J150" s="78"/>
      <c r="K150" s="78"/>
      <c r="L150" s="78"/>
      <c r="M150" s="78"/>
      <c r="N150" s="78"/>
      <c r="O150" s="78"/>
      <c r="P150" s="78"/>
      <c r="Q150" s="78"/>
      <c r="R150" s="78"/>
      <c r="S150" s="78"/>
      <c r="T150" s="78"/>
      <c r="U150" s="78"/>
      <c r="V150" s="78"/>
      <c r="W150" s="78"/>
      <c r="X150" s="78"/>
      <c r="Y150" s="78"/>
      <c r="Z150" s="78"/>
    </row>
    <row r="151" spans="1:26" ht="15.75" customHeight="1" x14ac:dyDescent="0.3">
      <c r="A151" s="95"/>
      <c r="B151" s="95" t="s">
        <v>489</v>
      </c>
      <c r="C151" s="95"/>
      <c r="D151" s="95"/>
      <c r="E151" s="78"/>
      <c r="F151" s="78"/>
      <c r="G151" s="78"/>
      <c r="H151" s="78"/>
      <c r="I151" s="78"/>
      <c r="J151" s="78"/>
      <c r="K151" s="78"/>
      <c r="L151" s="78"/>
      <c r="M151" s="78"/>
      <c r="N151" s="78"/>
      <c r="O151" s="78"/>
      <c r="P151" s="78"/>
      <c r="Q151" s="78"/>
      <c r="R151" s="78"/>
      <c r="S151" s="78"/>
      <c r="T151" s="78"/>
      <c r="U151" s="78"/>
      <c r="V151" s="78"/>
      <c r="W151" s="78"/>
      <c r="X151" s="78"/>
      <c r="Y151" s="78"/>
      <c r="Z151" s="78"/>
    </row>
    <row r="152" spans="1:26" ht="15.75" customHeight="1" x14ac:dyDescent="0.3">
      <c r="A152" s="95" t="s">
        <v>490</v>
      </c>
      <c r="B152" s="95"/>
      <c r="C152" s="95"/>
      <c r="D152" s="95"/>
      <c r="E152" s="78"/>
      <c r="F152" s="78"/>
      <c r="G152" s="78"/>
      <c r="H152" s="78"/>
      <c r="I152" s="78"/>
      <c r="J152" s="78"/>
      <c r="K152" s="78"/>
      <c r="L152" s="78"/>
      <c r="M152" s="78"/>
      <c r="N152" s="78"/>
      <c r="O152" s="78"/>
      <c r="P152" s="78"/>
      <c r="Q152" s="78"/>
      <c r="R152" s="78"/>
      <c r="S152" s="78"/>
      <c r="T152" s="78"/>
      <c r="U152" s="78"/>
      <c r="V152" s="78"/>
      <c r="W152" s="78"/>
      <c r="X152" s="78"/>
      <c r="Y152" s="78"/>
      <c r="Z152" s="78"/>
    </row>
    <row r="153" spans="1:26" ht="15.75" customHeight="1" x14ac:dyDescent="0.3">
      <c r="A153" s="95"/>
      <c r="B153" s="95" t="s">
        <v>491</v>
      </c>
      <c r="C153" s="95"/>
      <c r="D153" s="95"/>
      <c r="E153" s="78"/>
      <c r="F153" s="78"/>
      <c r="G153" s="78"/>
      <c r="H153" s="78"/>
      <c r="I153" s="78"/>
      <c r="J153" s="78"/>
      <c r="K153" s="78"/>
      <c r="L153" s="78"/>
      <c r="M153" s="78"/>
      <c r="N153" s="78"/>
      <c r="O153" s="78"/>
      <c r="P153" s="78"/>
      <c r="Q153" s="78"/>
      <c r="R153" s="78"/>
      <c r="S153" s="78"/>
      <c r="T153" s="78"/>
      <c r="U153" s="78"/>
      <c r="V153" s="78"/>
      <c r="W153" s="78"/>
      <c r="X153" s="78"/>
      <c r="Y153" s="78"/>
      <c r="Z153" s="78"/>
    </row>
    <row r="154" spans="1:26" ht="15.75" customHeight="1" x14ac:dyDescent="0.3">
      <c r="A154" s="95"/>
      <c r="B154" s="95" t="s">
        <v>492</v>
      </c>
      <c r="C154" s="95"/>
      <c r="D154" s="95"/>
      <c r="E154" s="78"/>
      <c r="F154" s="78"/>
      <c r="G154" s="78"/>
      <c r="H154" s="78"/>
      <c r="I154" s="78"/>
      <c r="J154" s="78"/>
      <c r="K154" s="78"/>
      <c r="L154" s="78"/>
      <c r="M154" s="78"/>
      <c r="N154" s="78"/>
      <c r="O154" s="78"/>
      <c r="P154" s="78"/>
      <c r="Q154" s="78"/>
      <c r="R154" s="78"/>
      <c r="S154" s="78"/>
      <c r="T154" s="78"/>
      <c r="U154" s="78"/>
      <c r="V154" s="78"/>
      <c r="W154" s="78"/>
      <c r="X154" s="78"/>
      <c r="Y154" s="78"/>
      <c r="Z154" s="78"/>
    </row>
    <row r="155" spans="1:26" ht="15.75" customHeight="1" x14ac:dyDescent="0.3">
      <c r="A155" s="95"/>
      <c r="B155" s="95" t="s">
        <v>493</v>
      </c>
      <c r="C155" s="95"/>
      <c r="D155" s="95"/>
      <c r="E155" s="78"/>
      <c r="F155" s="78"/>
      <c r="G155" s="78"/>
      <c r="H155" s="78"/>
      <c r="I155" s="78"/>
      <c r="J155" s="78"/>
      <c r="K155" s="78"/>
      <c r="L155" s="78"/>
      <c r="M155" s="78"/>
      <c r="N155" s="78"/>
      <c r="O155" s="78"/>
      <c r="P155" s="78"/>
      <c r="Q155" s="78"/>
      <c r="R155" s="78"/>
      <c r="S155" s="78"/>
      <c r="T155" s="78"/>
      <c r="U155" s="78"/>
      <c r="V155" s="78"/>
      <c r="W155" s="78"/>
      <c r="X155" s="78"/>
      <c r="Y155" s="78"/>
      <c r="Z155" s="78"/>
    </row>
    <row r="156" spans="1:26" ht="15.75" customHeight="1" x14ac:dyDescent="0.3">
      <c r="A156" s="95"/>
      <c r="B156" s="95" t="s">
        <v>494</v>
      </c>
      <c r="C156" s="95"/>
      <c r="D156" s="95"/>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ht="15.75" customHeight="1" x14ac:dyDescent="0.3">
      <c r="A157" s="95"/>
      <c r="B157" s="95" t="s">
        <v>495</v>
      </c>
      <c r="C157" s="95"/>
      <c r="D157" s="95"/>
      <c r="E157" s="78"/>
      <c r="F157" s="78"/>
      <c r="G157" s="78"/>
      <c r="H157" s="78"/>
      <c r="I157" s="78"/>
      <c r="J157" s="78"/>
      <c r="K157" s="78"/>
      <c r="L157" s="78"/>
      <c r="M157" s="78"/>
      <c r="N157" s="78"/>
      <c r="O157" s="78"/>
      <c r="P157" s="78"/>
      <c r="Q157" s="78"/>
      <c r="R157" s="78"/>
      <c r="S157" s="78"/>
      <c r="T157" s="78"/>
      <c r="U157" s="78"/>
      <c r="V157" s="78"/>
      <c r="W157" s="78"/>
      <c r="X157" s="78"/>
      <c r="Y157" s="78"/>
      <c r="Z157" s="78"/>
    </row>
    <row r="158" spans="1:26" ht="15.75" customHeight="1" x14ac:dyDescent="0.3">
      <c r="A158" s="96" t="s">
        <v>404</v>
      </c>
      <c r="B158" s="84" t="s">
        <v>496</v>
      </c>
      <c r="C158" s="84" t="s">
        <v>497</v>
      </c>
      <c r="D158" s="84" t="s">
        <v>498</v>
      </c>
      <c r="E158" s="84" t="s">
        <v>499</v>
      </c>
      <c r="F158" s="84" t="s">
        <v>500</v>
      </c>
      <c r="G158" s="84" t="s">
        <v>501</v>
      </c>
      <c r="H158" s="84" t="s">
        <v>502</v>
      </c>
      <c r="I158" s="85" t="s">
        <v>503</v>
      </c>
      <c r="J158" s="78"/>
      <c r="K158" s="78"/>
      <c r="L158" s="78"/>
      <c r="M158" s="78"/>
      <c r="N158" s="78"/>
      <c r="O158" s="78"/>
      <c r="P158" s="78"/>
      <c r="Q158" s="78"/>
      <c r="R158" s="78"/>
      <c r="S158" s="78"/>
      <c r="T158" s="78"/>
      <c r="U158" s="78"/>
      <c r="V158" s="78"/>
      <c r="W158" s="78"/>
      <c r="X158" s="78"/>
      <c r="Y158" s="78"/>
      <c r="Z158" s="78"/>
    </row>
    <row r="159" spans="1:26" ht="15.75" customHeight="1" x14ac:dyDescent="0.3">
      <c r="A159" s="86">
        <v>1</v>
      </c>
      <c r="B159" s="87" t="s">
        <v>504</v>
      </c>
      <c r="C159" s="87" t="s">
        <v>505</v>
      </c>
      <c r="D159" s="88">
        <v>0</v>
      </c>
      <c r="E159" s="87">
        <v>500</v>
      </c>
      <c r="F159" s="138"/>
      <c r="G159" s="89">
        <f t="shared" ref="G159:G165" si="41">IF(C159="Sản xuất",E159*2000,IF(C159="Kinh doanh",800*E159,500*E159))</f>
        <v>1000000</v>
      </c>
      <c r="H159" s="89">
        <f t="shared" ref="H159:H165" si="42">IF(C159="Sản xuất",20000,IF(C159="Kinh doanh",10000,5000))</f>
        <v>20000</v>
      </c>
      <c r="I159" s="90">
        <f t="shared" ref="I159:I165" si="43">G159+H159</f>
        <v>1020000</v>
      </c>
      <c r="J159" s="78"/>
      <c r="K159" s="78"/>
      <c r="L159" s="78"/>
      <c r="M159" s="78"/>
      <c r="N159" s="78"/>
      <c r="O159" s="78"/>
      <c r="P159" s="78"/>
      <c r="Q159" s="78"/>
      <c r="R159" s="78"/>
      <c r="S159" s="78"/>
      <c r="T159" s="78"/>
      <c r="U159" s="78"/>
      <c r="V159" s="78"/>
      <c r="W159" s="78"/>
      <c r="X159" s="78"/>
      <c r="Y159" s="78"/>
      <c r="Z159" s="78"/>
    </row>
    <row r="160" spans="1:26" ht="15.75" customHeight="1" x14ac:dyDescent="0.3">
      <c r="A160" s="139">
        <f t="shared" ref="A160:A165" si="44">A159+1</f>
        <v>2</v>
      </c>
      <c r="B160" s="79" t="s">
        <v>506</v>
      </c>
      <c r="C160" s="79" t="s">
        <v>207</v>
      </c>
      <c r="D160" s="53">
        <v>0</v>
      </c>
      <c r="E160" s="79">
        <v>200</v>
      </c>
      <c r="F160" s="138"/>
      <c r="G160" s="89">
        <f t="shared" si="41"/>
        <v>160000</v>
      </c>
      <c r="H160" s="89">
        <f t="shared" si="42"/>
        <v>10000</v>
      </c>
      <c r="I160" s="90">
        <f t="shared" si="43"/>
        <v>170000</v>
      </c>
      <c r="J160" s="78"/>
      <c r="K160" s="78"/>
      <c r="L160" s="78"/>
      <c r="M160" s="78"/>
      <c r="N160" s="78"/>
      <c r="O160" s="78"/>
      <c r="P160" s="78"/>
      <c r="Q160" s="78"/>
      <c r="R160" s="78"/>
      <c r="S160" s="78"/>
      <c r="T160" s="78"/>
      <c r="U160" s="78"/>
      <c r="V160" s="78"/>
      <c r="W160" s="78"/>
      <c r="X160" s="78"/>
      <c r="Y160" s="78"/>
      <c r="Z160" s="78"/>
    </row>
    <row r="161" spans="1:26" ht="15.75" customHeight="1" x14ac:dyDescent="0.3">
      <c r="A161" s="139">
        <f t="shared" si="44"/>
        <v>3</v>
      </c>
      <c r="B161" s="79" t="s">
        <v>507</v>
      </c>
      <c r="C161" s="79" t="s">
        <v>508</v>
      </c>
      <c r="D161" s="53">
        <v>0</v>
      </c>
      <c r="E161" s="79">
        <v>150</v>
      </c>
      <c r="F161" s="138"/>
      <c r="G161" s="89">
        <f t="shared" si="41"/>
        <v>75000</v>
      </c>
      <c r="H161" s="89">
        <f t="shared" si="42"/>
        <v>5000</v>
      </c>
      <c r="I161" s="90">
        <f t="shared" si="43"/>
        <v>80000</v>
      </c>
      <c r="J161" s="78"/>
      <c r="K161" s="78"/>
      <c r="L161" s="78"/>
      <c r="M161" s="78"/>
      <c r="N161" s="78"/>
      <c r="O161" s="78"/>
      <c r="P161" s="78"/>
      <c r="Q161" s="78"/>
      <c r="R161" s="78"/>
      <c r="S161" s="78"/>
      <c r="T161" s="78"/>
      <c r="U161" s="78"/>
      <c r="V161" s="78"/>
      <c r="W161" s="78"/>
      <c r="X161" s="78"/>
      <c r="Y161" s="78"/>
      <c r="Z161" s="78"/>
    </row>
    <row r="162" spans="1:26" ht="15.75" customHeight="1" x14ac:dyDescent="0.3">
      <c r="A162" s="139">
        <f t="shared" si="44"/>
        <v>4</v>
      </c>
      <c r="B162" s="79" t="s">
        <v>509</v>
      </c>
      <c r="C162" s="79" t="s">
        <v>505</v>
      </c>
      <c r="D162" s="53">
        <v>0</v>
      </c>
      <c r="E162" s="79">
        <v>600</v>
      </c>
      <c r="F162" s="138"/>
      <c r="G162" s="89">
        <f t="shared" si="41"/>
        <v>1200000</v>
      </c>
      <c r="H162" s="89">
        <f t="shared" si="42"/>
        <v>20000</v>
      </c>
      <c r="I162" s="90">
        <f t="shared" si="43"/>
        <v>1220000</v>
      </c>
      <c r="J162" s="78"/>
      <c r="K162" s="78"/>
      <c r="L162" s="78"/>
      <c r="M162" s="78"/>
      <c r="N162" s="78"/>
      <c r="O162" s="78"/>
      <c r="P162" s="78"/>
      <c r="Q162" s="78"/>
      <c r="R162" s="78"/>
      <c r="S162" s="78"/>
      <c r="T162" s="78"/>
      <c r="U162" s="78"/>
      <c r="V162" s="78"/>
      <c r="W162" s="78"/>
      <c r="X162" s="78"/>
      <c r="Y162" s="78"/>
      <c r="Z162" s="78"/>
    </row>
    <row r="163" spans="1:26" ht="15.75" customHeight="1" x14ac:dyDescent="0.3">
      <c r="A163" s="139">
        <f t="shared" si="44"/>
        <v>5</v>
      </c>
      <c r="B163" s="79" t="s">
        <v>94</v>
      </c>
      <c r="C163" s="79" t="s">
        <v>508</v>
      </c>
      <c r="D163" s="53">
        <v>0</v>
      </c>
      <c r="E163" s="79">
        <v>101</v>
      </c>
      <c r="F163" s="138"/>
      <c r="G163" s="89">
        <f t="shared" si="41"/>
        <v>50500</v>
      </c>
      <c r="H163" s="89">
        <f t="shared" si="42"/>
        <v>5000</v>
      </c>
      <c r="I163" s="90">
        <f t="shared" si="43"/>
        <v>55500</v>
      </c>
      <c r="J163" s="78"/>
      <c r="K163" s="78"/>
      <c r="L163" s="78"/>
      <c r="M163" s="78"/>
      <c r="N163" s="78"/>
      <c r="O163" s="78"/>
      <c r="P163" s="78"/>
      <c r="Q163" s="78"/>
      <c r="R163" s="78"/>
      <c r="S163" s="78"/>
      <c r="T163" s="78"/>
      <c r="U163" s="78"/>
      <c r="V163" s="78"/>
      <c r="W163" s="78"/>
      <c r="X163" s="78"/>
      <c r="Y163" s="78"/>
      <c r="Z163" s="78"/>
    </row>
    <row r="164" spans="1:26" ht="15.75" customHeight="1" x14ac:dyDescent="0.3">
      <c r="A164" s="139">
        <f t="shared" si="44"/>
        <v>6</v>
      </c>
      <c r="B164" s="79" t="s">
        <v>510</v>
      </c>
      <c r="C164" s="79" t="s">
        <v>508</v>
      </c>
      <c r="D164" s="53">
        <v>0</v>
      </c>
      <c r="E164" s="79">
        <v>50</v>
      </c>
      <c r="F164" s="138"/>
      <c r="G164" s="89">
        <f t="shared" si="41"/>
        <v>25000</v>
      </c>
      <c r="H164" s="89">
        <f t="shared" si="42"/>
        <v>5000</v>
      </c>
      <c r="I164" s="90">
        <f t="shared" si="43"/>
        <v>30000</v>
      </c>
      <c r="J164" s="78"/>
      <c r="K164" s="78"/>
      <c r="L164" s="78"/>
      <c r="M164" s="78"/>
      <c r="N164" s="78"/>
      <c r="O164" s="78"/>
      <c r="P164" s="78"/>
      <c r="Q164" s="78"/>
      <c r="R164" s="78"/>
      <c r="S164" s="78"/>
      <c r="T164" s="78"/>
      <c r="U164" s="78"/>
      <c r="V164" s="78"/>
      <c r="W164" s="78"/>
      <c r="X164" s="78"/>
      <c r="Y164" s="78"/>
      <c r="Z164" s="78"/>
    </row>
    <row r="165" spans="1:26" ht="15.75" customHeight="1" x14ac:dyDescent="0.3">
      <c r="A165" s="139">
        <f t="shared" si="44"/>
        <v>7</v>
      </c>
      <c r="B165" s="107" t="s">
        <v>511</v>
      </c>
      <c r="C165" s="107" t="s">
        <v>207</v>
      </c>
      <c r="D165" s="140">
        <v>0</v>
      </c>
      <c r="E165" s="107">
        <v>300</v>
      </c>
      <c r="F165" s="138"/>
      <c r="G165" s="89">
        <f t="shared" si="41"/>
        <v>240000</v>
      </c>
      <c r="H165" s="89">
        <f t="shared" si="42"/>
        <v>10000</v>
      </c>
      <c r="I165" s="90">
        <f t="shared" si="43"/>
        <v>250000</v>
      </c>
      <c r="J165" s="78"/>
      <c r="K165" s="78"/>
      <c r="L165" s="78"/>
      <c r="M165" s="78"/>
      <c r="N165" s="78"/>
      <c r="O165" s="78"/>
      <c r="P165" s="78"/>
      <c r="Q165" s="78"/>
      <c r="R165" s="78"/>
      <c r="S165" s="78"/>
      <c r="T165" s="78"/>
      <c r="U165" s="78"/>
      <c r="V165" s="78"/>
      <c r="W165" s="78"/>
      <c r="X165" s="78"/>
      <c r="Y165" s="78"/>
      <c r="Z165" s="78"/>
    </row>
    <row r="166" spans="1:26" ht="15.75" customHeight="1" x14ac:dyDescent="0.3">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spans="1:26" ht="15.75" customHeight="1" x14ac:dyDescent="0.3">
      <c r="A167" s="95" t="s">
        <v>512</v>
      </c>
      <c r="B167" s="141"/>
      <c r="C167" s="78"/>
      <c r="D167" s="78"/>
      <c r="E167" s="78"/>
      <c r="F167" s="78"/>
      <c r="G167" s="96" t="s">
        <v>384</v>
      </c>
      <c r="H167" s="97" t="s">
        <v>513</v>
      </c>
      <c r="I167" s="98" t="s">
        <v>503</v>
      </c>
      <c r="J167" s="78"/>
      <c r="K167" s="78"/>
      <c r="L167" s="78"/>
      <c r="M167" s="78"/>
      <c r="N167" s="78"/>
      <c r="O167" s="78"/>
      <c r="P167" s="78"/>
      <c r="Q167" s="78"/>
      <c r="R167" s="78"/>
      <c r="S167" s="78"/>
      <c r="T167" s="78"/>
      <c r="U167" s="78"/>
      <c r="V167" s="78"/>
      <c r="W167" s="78"/>
      <c r="X167" s="78"/>
      <c r="Y167" s="78"/>
      <c r="Z167" s="78"/>
    </row>
    <row r="168" spans="1:26" ht="15.75" customHeight="1" x14ac:dyDescent="0.3">
      <c r="A168" s="95" t="s">
        <v>514</v>
      </c>
      <c r="B168" s="78"/>
      <c r="C168" s="78"/>
      <c r="D168" s="78"/>
      <c r="E168" s="78"/>
      <c r="F168" s="78"/>
      <c r="G168" s="142" t="s">
        <v>505</v>
      </c>
      <c r="H168" s="124">
        <f>COUNTIF($C$159:$C$165,"Sản xuất")</f>
        <v>2</v>
      </c>
      <c r="I168" s="90">
        <f>SUMIF($C$159:$C$165,"Sản xuất",$I$159:$I$165)</f>
        <v>2240000</v>
      </c>
      <c r="J168" s="78"/>
      <c r="K168" s="78"/>
      <c r="L168" s="78"/>
      <c r="M168" s="78"/>
      <c r="N168" s="78"/>
      <c r="O168" s="78"/>
      <c r="P168" s="78"/>
      <c r="Q168" s="78"/>
      <c r="R168" s="78"/>
      <c r="S168" s="78"/>
      <c r="T168" s="78"/>
      <c r="U168" s="78"/>
      <c r="V168" s="78"/>
      <c r="W168" s="78"/>
      <c r="X168" s="78"/>
      <c r="Y168" s="78"/>
      <c r="Z168" s="78"/>
    </row>
    <row r="169" spans="1:26" ht="15.75" customHeight="1" x14ac:dyDescent="0.3">
      <c r="A169" s="95" t="s">
        <v>515</v>
      </c>
      <c r="B169" s="78"/>
      <c r="C169" s="78"/>
      <c r="D169" s="78"/>
      <c r="E169" s="78"/>
      <c r="F169" s="78"/>
      <c r="G169" s="143" t="s">
        <v>207</v>
      </c>
      <c r="H169" s="124">
        <f>COUNTIF($C$159:$C$165,"Kinh doanh")</f>
        <v>2</v>
      </c>
      <c r="I169" s="90">
        <f>SUMIF($C$159:$C$165,"Kinh doanh",$I$159:$I$165)</f>
        <v>420000</v>
      </c>
      <c r="J169" s="78"/>
      <c r="K169" s="78"/>
      <c r="L169" s="78"/>
      <c r="M169" s="78"/>
      <c r="N169" s="78"/>
      <c r="O169" s="78"/>
      <c r="P169" s="78"/>
      <c r="Q169" s="78"/>
      <c r="R169" s="78"/>
      <c r="S169" s="78"/>
      <c r="T169" s="78"/>
      <c r="U169" s="78"/>
      <c r="V169" s="78"/>
      <c r="W169" s="78"/>
      <c r="X169" s="78"/>
      <c r="Y169" s="78"/>
      <c r="Z169" s="78"/>
    </row>
    <row r="170" spans="1:26" ht="15.75" customHeight="1" x14ac:dyDescent="0.3">
      <c r="A170" s="95" t="s">
        <v>516</v>
      </c>
      <c r="B170" s="78"/>
      <c r="C170" s="78"/>
      <c r="D170" s="78"/>
      <c r="E170" s="78"/>
      <c r="F170" s="78"/>
      <c r="G170" s="144" t="s">
        <v>508</v>
      </c>
      <c r="H170" s="124">
        <f>COUNTIF($C$159:$C$165,"Tiêu dùng")</f>
        <v>3</v>
      </c>
      <c r="I170" s="90">
        <f>SUMIF($C$159:$C$165,"Tiêu dùng",$I$159:$I$165)</f>
        <v>165500</v>
      </c>
      <c r="J170" s="78"/>
      <c r="K170" s="78"/>
      <c r="L170" s="78"/>
      <c r="M170" s="78"/>
      <c r="N170" s="78"/>
      <c r="O170" s="78"/>
      <c r="P170" s="78"/>
      <c r="Q170" s="78"/>
      <c r="R170" s="78"/>
      <c r="S170" s="78"/>
      <c r="T170" s="78"/>
      <c r="U170" s="78"/>
      <c r="V170" s="78"/>
      <c r="W170" s="78"/>
      <c r="X170" s="78"/>
      <c r="Y170" s="78"/>
      <c r="Z170" s="78"/>
    </row>
    <row r="171" spans="1:26" ht="15.75" customHeight="1" x14ac:dyDescent="0.3">
      <c r="A171" s="95" t="s">
        <v>517</v>
      </c>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ht="15.75" customHeight="1" x14ac:dyDescent="0.3">
      <c r="A172" s="95" t="s">
        <v>518</v>
      </c>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spans="1:26" ht="15.75" customHeight="1" x14ac:dyDescent="0.3">
      <c r="A173" s="95" t="s">
        <v>519</v>
      </c>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ht="15.75" customHeight="1" x14ac:dyDescent="0.3">
      <c r="A174" s="95" t="s">
        <v>520</v>
      </c>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spans="1:26" ht="15.75" customHeight="1" x14ac:dyDescent="0.3">
      <c r="A175" s="95" t="s">
        <v>521</v>
      </c>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ht="15.75" customHeight="1" x14ac:dyDescent="0.3">
      <c r="A176" s="145"/>
      <c r="B176" s="426" t="s">
        <v>522</v>
      </c>
      <c r="C176" s="392"/>
      <c r="D176" s="392"/>
      <c r="E176" s="392"/>
      <c r="F176" s="392"/>
      <c r="G176" s="392"/>
      <c r="H176" s="392"/>
      <c r="I176" s="392"/>
      <c r="J176" s="392"/>
    </row>
    <row r="177" spans="1:10" ht="15.75" customHeight="1" x14ac:dyDescent="0.3">
      <c r="A177" s="145"/>
      <c r="B177" s="145"/>
      <c r="C177" s="145"/>
      <c r="D177" s="145"/>
      <c r="E177" s="145"/>
      <c r="F177" s="145"/>
      <c r="G177" s="145"/>
      <c r="H177" s="145"/>
      <c r="I177" s="145"/>
      <c r="J177" s="145"/>
    </row>
    <row r="178" spans="1:10" ht="15.75" customHeight="1" x14ac:dyDescent="0.3">
      <c r="A178" s="146"/>
      <c r="B178" s="147" t="s">
        <v>523</v>
      </c>
      <c r="C178" s="147" t="s">
        <v>524</v>
      </c>
      <c r="D178" s="147" t="s">
        <v>525</v>
      </c>
      <c r="E178" s="147" t="s">
        <v>526</v>
      </c>
      <c r="F178" s="147" t="s">
        <v>527</v>
      </c>
      <c r="G178" s="147" t="s">
        <v>528</v>
      </c>
      <c r="H178" s="147" t="s">
        <v>529</v>
      </c>
      <c r="I178" s="147" t="s">
        <v>530</v>
      </c>
      <c r="J178" s="147" t="s">
        <v>531</v>
      </c>
    </row>
    <row r="179" spans="1:10" ht="15.75" customHeight="1" x14ac:dyDescent="0.3">
      <c r="A179" s="148"/>
      <c r="B179" s="53" t="s">
        <v>382</v>
      </c>
      <c r="C179" s="53">
        <v>1</v>
      </c>
      <c r="D179" s="79">
        <v>468</v>
      </c>
      <c r="E179" s="79">
        <v>500</v>
      </c>
      <c r="F179" s="79">
        <f t="shared" ref="F179:F184" si="45">IF(C179=1,50,IF(C179=2,100,150))</f>
        <v>50</v>
      </c>
      <c r="G179" s="79">
        <f t="shared" ref="G179:G184" si="46">E179-D179</f>
        <v>32</v>
      </c>
      <c r="H179" s="79">
        <f t="shared" ref="H179:H184" si="47">IF(G179&lt;=F179,450*G179,800*(G179-F179)+F179*450)</f>
        <v>14400</v>
      </c>
      <c r="I179" s="79">
        <f t="shared" ref="I179:I184" si="48">5%*H179</f>
        <v>720</v>
      </c>
      <c r="J179" s="79">
        <f t="shared" ref="J179:J184" si="49">H179+I179</f>
        <v>15120</v>
      </c>
    </row>
    <row r="180" spans="1:10" ht="15.75" customHeight="1" x14ac:dyDescent="0.3">
      <c r="A180" s="148"/>
      <c r="B180" s="53" t="s">
        <v>532</v>
      </c>
      <c r="C180" s="53">
        <v>2</v>
      </c>
      <c r="D180" s="79">
        <v>160</v>
      </c>
      <c r="E180" s="79">
        <v>230</v>
      </c>
      <c r="F180" s="79">
        <f t="shared" si="45"/>
        <v>100</v>
      </c>
      <c r="G180" s="79">
        <f t="shared" si="46"/>
        <v>70</v>
      </c>
      <c r="H180" s="79">
        <f t="shared" si="47"/>
        <v>31500</v>
      </c>
      <c r="I180" s="79">
        <f t="shared" si="48"/>
        <v>1575</v>
      </c>
      <c r="J180" s="79">
        <f t="shared" si="49"/>
        <v>33075</v>
      </c>
    </row>
    <row r="181" spans="1:10" ht="15.75" customHeight="1" x14ac:dyDescent="0.3">
      <c r="A181" s="148"/>
      <c r="B181" s="53" t="s">
        <v>394</v>
      </c>
      <c r="C181" s="53">
        <v>3</v>
      </c>
      <c r="D181" s="79">
        <v>410</v>
      </c>
      <c r="E181" s="79">
        <v>509</v>
      </c>
      <c r="F181" s="79">
        <f t="shared" si="45"/>
        <v>150</v>
      </c>
      <c r="G181" s="79">
        <f t="shared" si="46"/>
        <v>99</v>
      </c>
      <c r="H181" s="79">
        <f t="shared" si="47"/>
        <v>44550</v>
      </c>
      <c r="I181" s="79">
        <f t="shared" si="48"/>
        <v>2227.5</v>
      </c>
      <c r="J181" s="79">
        <f t="shared" si="49"/>
        <v>46777.5</v>
      </c>
    </row>
    <row r="182" spans="1:10" ht="15.75" customHeight="1" x14ac:dyDescent="0.3">
      <c r="A182" s="148"/>
      <c r="B182" s="53" t="s">
        <v>94</v>
      </c>
      <c r="C182" s="53">
        <v>3</v>
      </c>
      <c r="D182" s="79">
        <v>436</v>
      </c>
      <c r="E182" s="79">
        <v>630</v>
      </c>
      <c r="F182" s="79">
        <f t="shared" si="45"/>
        <v>150</v>
      </c>
      <c r="G182" s="79">
        <f t="shared" si="46"/>
        <v>194</v>
      </c>
      <c r="H182" s="79">
        <f t="shared" si="47"/>
        <v>102700</v>
      </c>
      <c r="I182" s="79">
        <f t="shared" si="48"/>
        <v>5135</v>
      </c>
      <c r="J182" s="79">
        <f t="shared" si="49"/>
        <v>107835</v>
      </c>
    </row>
    <row r="183" spans="1:10" ht="15.75" customHeight="1" x14ac:dyDescent="0.3">
      <c r="A183" s="148"/>
      <c r="B183" s="53" t="s">
        <v>533</v>
      </c>
      <c r="C183" s="53">
        <v>2</v>
      </c>
      <c r="D183" s="79">
        <v>307</v>
      </c>
      <c r="E183" s="79">
        <v>450</v>
      </c>
      <c r="F183" s="79">
        <f t="shared" si="45"/>
        <v>100</v>
      </c>
      <c r="G183" s="79">
        <f t="shared" si="46"/>
        <v>143</v>
      </c>
      <c r="H183" s="79">
        <f t="shared" si="47"/>
        <v>79400</v>
      </c>
      <c r="I183" s="79">
        <f t="shared" si="48"/>
        <v>3970</v>
      </c>
      <c r="J183" s="79">
        <f t="shared" si="49"/>
        <v>83370</v>
      </c>
    </row>
    <row r="184" spans="1:10" ht="15.75" customHeight="1" x14ac:dyDescent="0.3">
      <c r="A184" s="148"/>
      <c r="B184" s="53" t="s">
        <v>24</v>
      </c>
      <c r="C184" s="53">
        <v>1</v>
      </c>
      <c r="D184" s="79">
        <v>171</v>
      </c>
      <c r="E184" s="79">
        <v>205</v>
      </c>
      <c r="F184" s="79">
        <f t="shared" si="45"/>
        <v>50</v>
      </c>
      <c r="G184" s="79">
        <f t="shared" si="46"/>
        <v>34</v>
      </c>
      <c r="H184" s="79">
        <f t="shared" si="47"/>
        <v>15300</v>
      </c>
      <c r="I184" s="79">
        <f t="shared" si="48"/>
        <v>765</v>
      </c>
      <c r="J184" s="79">
        <f t="shared" si="49"/>
        <v>16065</v>
      </c>
    </row>
    <row r="185" spans="1:10" ht="15.75" customHeight="1" x14ac:dyDescent="0.3">
      <c r="A185" s="145"/>
      <c r="B185" s="427" t="s">
        <v>534</v>
      </c>
      <c r="C185" s="389"/>
      <c r="D185" s="389"/>
      <c r="E185" s="389"/>
      <c r="F185" s="390"/>
      <c r="G185" s="149">
        <f t="shared" ref="G185:J185" si="50">SUM(G179:G184)</f>
        <v>572</v>
      </c>
      <c r="H185" s="149">
        <f t="shared" si="50"/>
        <v>287850</v>
      </c>
      <c r="I185" s="149">
        <f t="shared" si="50"/>
        <v>14392.5</v>
      </c>
      <c r="J185" s="149">
        <f t="shared" si="50"/>
        <v>302242.5</v>
      </c>
    </row>
    <row r="186" spans="1:10" ht="15.75" customHeight="1" x14ac:dyDescent="0.3">
      <c r="A186" s="150"/>
      <c r="B186" s="416" t="s">
        <v>535</v>
      </c>
      <c r="C186" s="389"/>
      <c r="D186" s="389"/>
      <c r="E186" s="389"/>
      <c r="F186" s="390"/>
      <c r="G186" s="151">
        <v>572</v>
      </c>
      <c r="H186" s="151">
        <v>287850</v>
      </c>
      <c r="I186" s="151">
        <v>14392.5</v>
      </c>
      <c r="J186" s="151">
        <v>302242.5</v>
      </c>
    </row>
    <row r="187" spans="1:10" ht="15.75" customHeight="1" x14ac:dyDescent="0.3">
      <c r="A187" s="152" t="s">
        <v>536</v>
      </c>
      <c r="B187" s="78"/>
      <c r="C187" s="78"/>
      <c r="D187" s="78"/>
      <c r="E187" s="78"/>
      <c r="F187" s="78"/>
      <c r="G187" s="78"/>
      <c r="H187" s="78"/>
      <c r="I187" s="78"/>
      <c r="J187" s="78"/>
    </row>
    <row r="188" spans="1:10" ht="15.75" customHeight="1" x14ac:dyDescent="0.3">
      <c r="A188" s="153" t="s">
        <v>537</v>
      </c>
      <c r="B188" s="78" t="s">
        <v>538</v>
      </c>
      <c r="C188" s="78"/>
      <c r="D188" s="78"/>
      <c r="E188" s="78"/>
      <c r="F188" s="78"/>
      <c r="G188" s="78"/>
      <c r="H188" s="78"/>
      <c r="I188" s="78"/>
      <c r="J188" s="78"/>
    </row>
    <row r="189" spans="1:10" ht="15.75" customHeight="1" x14ac:dyDescent="0.3">
      <c r="A189" s="153"/>
      <c r="B189" s="78"/>
      <c r="C189" s="78"/>
      <c r="D189" s="78"/>
      <c r="E189" s="78"/>
      <c r="F189" s="78"/>
      <c r="G189" s="78"/>
      <c r="H189" s="78"/>
      <c r="I189" s="78"/>
      <c r="J189" s="78"/>
    </row>
    <row r="190" spans="1:10" ht="15.75" customHeight="1" x14ac:dyDescent="0.3">
      <c r="A190" s="153" t="s">
        <v>539</v>
      </c>
      <c r="B190" s="78" t="s">
        <v>540</v>
      </c>
      <c r="C190" s="78"/>
      <c r="D190" s="78"/>
      <c r="E190" s="78"/>
      <c r="F190" s="78"/>
      <c r="G190" s="78"/>
      <c r="H190" s="78"/>
      <c r="I190" s="78"/>
      <c r="J190" s="78"/>
    </row>
    <row r="191" spans="1:10" ht="15.75" customHeight="1" x14ac:dyDescent="0.3">
      <c r="A191" s="153"/>
      <c r="B191" s="78"/>
      <c r="C191" s="78"/>
      <c r="D191" s="78"/>
      <c r="E191" s="78"/>
      <c r="F191" s="78"/>
      <c r="G191" s="78"/>
      <c r="H191" s="78"/>
      <c r="I191" s="78"/>
      <c r="J191" s="78"/>
    </row>
    <row r="192" spans="1:10" ht="15.75" customHeight="1" x14ac:dyDescent="0.3">
      <c r="A192" s="153" t="s">
        <v>541</v>
      </c>
      <c r="B192" s="78" t="s">
        <v>542</v>
      </c>
      <c r="C192" s="78"/>
      <c r="D192" s="78"/>
      <c r="E192" s="78"/>
      <c r="F192" s="78"/>
      <c r="G192" s="78"/>
      <c r="H192" s="78"/>
      <c r="I192" s="78"/>
      <c r="J192" s="78"/>
    </row>
    <row r="193" spans="1:26" ht="15.75" customHeight="1" x14ac:dyDescent="0.3">
      <c r="A193" s="153"/>
      <c r="B193" s="78" t="s">
        <v>543</v>
      </c>
      <c r="C193" s="78"/>
      <c r="D193" s="78"/>
      <c r="E193" s="78"/>
      <c r="F193" s="78"/>
      <c r="G193" s="78"/>
      <c r="H193" s="78"/>
      <c r="I193" s="78"/>
      <c r="J193" s="78"/>
    </row>
    <row r="194" spans="1:26" ht="15.75" customHeight="1" x14ac:dyDescent="0.3">
      <c r="A194" s="153"/>
      <c r="B194" s="78" t="s">
        <v>544</v>
      </c>
      <c r="C194" s="78"/>
      <c r="D194" s="78"/>
      <c r="E194" s="78"/>
      <c r="F194" s="78"/>
      <c r="G194" s="78"/>
      <c r="H194" s="78"/>
      <c r="I194" s="78"/>
      <c r="J194" s="78"/>
    </row>
    <row r="195" spans="1:26" ht="15.75" customHeight="1" x14ac:dyDescent="0.3">
      <c r="A195" s="153"/>
      <c r="B195" s="78"/>
      <c r="C195" s="78"/>
      <c r="D195" s="78"/>
      <c r="E195" s="78"/>
      <c r="F195" s="78"/>
      <c r="G195" s="78"/>
      <c r="H195" s="78"/>
      <c r="I195" s="78"/>
      <c r="J195" s="78"/>
    </row>
    <row r="196" spans="1:26" ht="15.75" customHeight="1" x14ac:dyDescent="0.3">
      <c r="A196" s="153" t="s">
        <v>545</v>
      </c>
      <c r="B196" s="78" t="s">
        <v>546</v>
      </c>
      <c r="C196" s="78"/>
      <c r="D196" s="78"/>
      <c r="E196" s="78"/>
      <c r="F196" s="78"/>
      <c r="G196" s="78"/>
      <c r="H196" s="78"/>
      <c r="I196" s="78"/>
      <c r="J196" s="78"/>
    </row>
    <row r="197" spans="1:26" ht="15.75" customHeight="1" x14ac:dyDescent="0.3">
      <c r="A197" s="153"/>
      <c r="B197" s="78"/>
      <c r="C197" s="78"/>
      <c r="D197" s="78"/>
      <c r="E197" s="78"/>
      <c r="F197" s="78"/>
      <c r="G197" s="78"/>
      <c r="H197" s="78"/>
      <c r="I197" s="78"/>
      <c r="J197" s="78"/>
    </row>
    <row r="198" spans="1:26" ht="15.75" customHeight="1" x14ac:dyDescent="0.3">
      <c r="A198" s="153" t="s">
        <v>547</v>
      </c>
      <c r="B198" s="78" t="s">
        <v>548</v>
      </c>
      <c r="C198" s="78"/>
      <c r="D198" s="78"/>
      <c r="E198" s="78"/>
      <c r="F198" s="78"/>
      <c r="G198" s="78"/>
      <c r="H198" s="78"/>
      <c r="I198" s="78"/>
      <c r="J198" s="78"/>
    </row>
    <row r="199" spans="1:26" ht="15.75" customHeight="1" x14ac:dyDescent="0.3">
      <c r="A199" s="153"/>
      <c r="B199" s="78"/>
      <c r="C199" s="78"/>
      <c r="D199" s="78"/>
      <c r="E199" s="78"/>
      <c r="F199" s="78"/>
      <c r="G199" s="78"/>
      <c r="H199" s="78"/>
      <c r="I199" s="78"/>
      <c r="J199" s="78"/>
    </row>
    <row r="200" spans="1:26" ht="15.75" customHeight="1" x14ac:dyDescent="0.3">
      <c r="A200" s="153" t="s">
        <v>549</v>
      </c>
      <c r="B200" s="78" t="s">
        <v>550</v>
      </c>
      <c r="C200" s="78"/>
      <c r="D200" s="78"/>
      <c r="E200" s="78"/>
      <c r="F200" s="78"/>
      <c r="G200" s="78"/>
      <c r="H200" s="78"/>
      <c r="I200" s="78"/>
      <c r="J200" s="78"/>
    </row>
    <row r="201" spans="1:26" ht="15.75" customHeight="1" x14ac:dyDescent="0.3">
      <c r="A201" s="153"/>
      <c r="B201" s="78"/>
      <c r="C201" s="78"/>
      <c r="D201" s="78"/>
      <c r="E201" s="78"/>
      <c r="F201" s="78"/>
      <c r="G201" s="78"/>
      <c r="H201" s="78"/>
      <c r="I201" s="78"/>
      <c r="J201" s="78"/>
    </row>
    <row r="202" spans="1:26" ht="15.75" customHeight="1" x14ac:dyDescent="0.3">
      <c r="A202" s="153" t="s">
        <v>551</v>
      </c>
      <c r="B202" s="78" t="s">
        <v>552</v>
      </c>
      <c r="C202" s="78"/>
      <c r="D202" s="78"/>
      <c r="E202" s="78"/>
      <c r="F202" s="78"/>
      <c r="G202" s="78"/>
      <c r="H202" s="78"/>
      <c r="I202" s="78"/>
      <c r="J202" s="78"/>
    </row>
    <row r="203" spans="1:26" ht="15.75" customHeight="1" x14ac:dyDescent="0.3">
      <c r="A203" s="153"/>
      <c r="B203" s="78"/>
      <c r="C203" s="78"/>
      <c r="D203" s="78"/>
      <c r="E203" s="78"/>
      <c r="F203" s="78"/>
      <c r="G203" s="78"/>
      <c r="H203" s="78"/>
      <c r="I203" s="78"/>
      <c r="J203" s="78"/>
    </row>
    <row r="204" spans="1:26" ht="15.75" customHeight="1" x14ac:dyDescent="0.3">
      <c r="A204" s="417" t="s">
        <v>553</v>
      </c>
      <c r="B204" s="392"/>
      <c r="C204" s="392"/>
      <c r="D204" s="392"/>
      <c r="E204" s="392"/>
      <c r="F204" s="392"/>
      <c r="G204" s="392"/>
      <c r="H204" s="392"/>
      <c r="I204" s="392"/>
      <c r="J204" s="78"/>
      <c r="K204" s="78"/>
      <c r="L204" s="78"/>
      <c r="M204" s="78"/>
      <c r="N204" s="78"/>
      <c r="O204" s="78"/>
      <c r="P204" s="78"/>
      <c r="Q204" s="78"/>
      <c r="R204" s="78"/>
      <c r="S204" s="78"/>
      <c r="T204" s="78"/>
      <c r="U204" s="78"/>
      <c r="V204" s="78"/>
      <c r="W204" s="78"/>
      <c r="X204" s="78"/>
      <c r="Y204" s="78"/>
      <c r="Z204" s="78"/>
    </row>
    <row r="205" spans="1:26" ht="15.75" customHeight="1" x14ac:dyDescent="0.3">
      <c r="A205" s="418" t="s">
        <v>554</v>
      </c>
      <c r="B205" s="392"/>
      <c r="C205" s="392"/>
      <c r="D205" s="392"/>
      <c r="E205" s="392"/>
      <c r="F205" s="392"/>
      <c r="G205" s="392"/>
      <c r="H205" s="392"/>
      <c r="I205" s="392"/>
      <c r="J205" s="78"/>
      <c r="K205" s="78"/>
      <c r="L205" s="78"/>
      <c r="M205" s="78"/>
      <c r="N205" s="78"/>
      <c r="O205" s="78"/>
      <c r="P205" s="78"/>
      <c r="Q205" s="78"/>
      <c r="R205" s="78"/>
      <c r="S205" s="78"/>
      <c r="T205" s="78"/>
      <c r="U205" s="78"/>
      <c r="V205" s="78"/>
      <c r="W205" s="78"/>
      <c r="X205" s="78"/>
      <c r="Y205" s="78"/>
      <c r="Z205" s="78"/>
    </row>
    <row r="206" spans="1:26" ht="15.75" customHeight="1" x14ac:dyDescent="0.3">
      <c r="A206" s="419" t="s">
        <v>555</v>
      </c>
      <c r="B206" s="420"/>
      <c r="C206" s="420"/>
      <c r="D206" s="420"/>
      <c r="E206" s="421"/>
      <c r="F206" s="154">
        <v>110</v>
      </c>
      <c r="G206" s="155"/>
      <c r="H206" s="156"/>
      <c r="I206" s="157"/>
      <c r="J206" s="78"/>
      <c r="K206" s="78"/>
      <c r="L206" s="78"/>
      <c r="M206" s="78"/>
      <c r="N206" s="78"/>
      <c r="O206" s="78"/>
      <c r="P206" s="78"/>
      <c r="Q206" s="78"/>
      <c r="R206" s="78"/>
      <c r="S206" s="78"/>
      <c r="T206" s="78"/>
      <c r="U206" s="78"/>
      <c r="V206" s="78"/>
      <c r="W206" s="78"/>
      <c r="X206" s="78"/>
      <c r="Y206" s="78"/>
      <c r="Z206" s="78"/>
    </row>
    <row r="207" spans="1:26" ht="15.75" customHeight="1" x14ac:dyDescent="0.3">
      <c r="A207" s="158" t="s">
        <v>404</v>
      </c>
      <c r="B207" s="70" t="s">
        <v>556</v>
      </c>
      <c r="C207" s="70" t="s">
        <v>557</v>
      </c>
      <c r="D207" s="70" t="s">
        <v>558</v>
      </c>
      <c r="E207" s="70" t="s">
        <v>293</v>
      </c>
      <c r="F207" s="70" t="s">
        <v>559</v>
      </c>
      <c r="G207" s="70" t="s">
        <v>560</v>
      </c>
      <c r="H207" s="70" t="s">
        <v>271</v>
      </c>
      <c r="I207" s="159" t="s">
        <v>561</v>
      </c>
      <c r="J207" s="78"/>
      <c r="K207" s="78"/>
      <c r="L207" s="78"/>
      <c r="M207" s="78"/>
      <c r="N207" s="78"/>
      <c r="O207" s="78"/>
      <c r="P207" s="78"/>
      <c r="Q207" s="78"/>
      <c r="R207" s="78"/>
      <c r="S207" s="78"/>
      <c r="T207" s="78"/>
      <c r="U207" s="78"/>
      <c r="V207" s="78"/>
      <c r="W207" s="78"/>
      <c r="X207" s="78"/>
      <c r="Y207" s="78"/>
      <c r="Z207" s="78"/>
    </row>
    <row r="208" spans="1:26" ht="15.75" customHeight="1" x14ac:dyDescent="0.3">
      <c r="A208" s="86">
        <v>1</v>
      </c>
      <c r="B208" s="88" t="s">
        <v>562</v>
      </c>
      <c r="C208" s="87" t="s">
        <v>563</v>
      </c>
      <c r="D208" s="87" t="s">
        <v>564</v>
      </c>
      <c r="E208" s="88">
        <v>15</v>
      </c>
      <c r="F208" s="88">
        <v>148</v>
      </c>
      <c r="G208" s="160">
        <f t="shared" ref="G208:G227" si="51">E208*F208*$F$206</f>
        <v>244200</v>
      </c>
      <c r="H208" s="160">
        <f t="shared" ref="H208:H227" si="52">ROUND(G208*(IF(D208="SGN",5%,IF(D208="CLN",3%,2%)))*(IF(E208&gt;20,1.5%,1.2%)),0)</f>
        <v>59</v>
      </c>
      <c r="I208" s="161">
        <f t="shared" ref="I208:I227" si="53">G208+H208</f>
        <v>244259</v>
      </c>
      <c r="J208" s="78"/>
      <c r="K208" s="78"/>
      <c r="L208" s="78"/>
      <c r="M208" s="78"/>
      <c r="N208" s="78"/>
      <c r="O208" s="78"/>
      <c r="P208" s="78"/>
      <c r="Q208" s="78"/>
      <c r="R208" s="78"/>
      <c r="S208" s="78"/>
      <c r="T208" s="78"/>
      <c r="U208" s="78"/>
      <c r="V208" s="78"/>
      <c r="W208" s="78"/>
      <c r="X208" s="78"/>
      <c r="Y208" s="78"/>
      <c r="Z208" s="78"/>
    </row>
    <row r="209" spans="1:26" ht="15.75" customHeight="1" x14ac:dyDescent="0.3">
      <c r="A209" s="91">
        <v>2</v>
      </c>
      <c r="B209" s="53" t="s">
        <v>565</v>
      </c>
      <c r="C209" s="79" t="s">
        <v>566</v>
      </c>
      <c r="D209" s="79" t="s">
        <v>567</v>
      </c>
      <c r="E209" s="53">
        <v>27</v>
      </c>
      <c r="F209" s="53">
        <v>128</v>
      </c>
      <c r="G209" s="160">
        <f t="shared" si="51"/>
        <v>380160</v>
      </c>
      <c r="H209" s="160">
        <f t="shared" si="52"/>
        <v>285</v>
      </c>
      <c r="I209" s="161">
        <f t="shared" si="53"/>
        <v>380445</v>
      </c>
      <c r="J209" s="78"/>
      <c r="K209" s="78"/>
      <c r="L209" s="78"/>
      <c r="M209" s="78"/>
      <c r="N209" s="78"/>
      <c r="O209" s="78"/>
      <c r="P209" s="78"/>
      <c r="Q209" s="78"/>
      <c r="R209" s="78"/>
      <c r="S209" s="78"/>
      <c r="T209" s="78"/>
      <c r="U209" s="78"/>
      <c r="V209" s="78"/>
      <c r="W209" s="78"/>
      <c r="X209" s="78"/>
      <c r="Y209" s="78"/>
      <c r="Z209" s="78"/>
    </row>
    <row r="210" spans="1:26" ht="15.75" customHeight="1" x14ac:dyDescent="0.3">
      <c r="A210" s="91">
        <v>3</v>
      </c>
      <c r="B210" s="53" t="s">
        <v>568</v>
      </c>
      <c r="C210" s="79" t="s">
        <v>569</v>
      </c>
      <c r="D210" s="79" t="s">
        <v>570</v>
      </c>
      <c r="E210" s="53">
        <v>10</v>
      </c>
      <c r="F210" s="53">
        <v>140</v>
      </c>
      <c r="G210" s="160">
        <f t="shared" si="51"/>
        <v>154000</v>
      </c>
      <c r="H210" s="160">
        <f t="shared" si="52"/>
        <v>55</v>
      </c>
      <c r="I210" s="161">
        <f t="shared" si="53"/>
        <v>154055</v>
      </c>
      <c r="J210" s="78"/>
      <c r="K210" s="78"/>
      <c r="L210" s="78"/>
      <c r="M210" s="78"/>
      <c r="N210" s="78"/>
      <c r="O210" s="78"/>
      <c r="P210" s="78"/>
      <c r="Q210" s="78"/>
      <c r="R210" s="78"/>
      <c r="S210" s="78"/>
      <c r="T210" s="78"/>
      <c r="U210" s="78"/>
      <c r="V210" s="78"/>
      <c r="W210" s="78"/>
      <c r="X210" s="78"/>
      <c r="Y210" s="78"/>
      <c r="Z210" s="78"/>
    </row>
    <row r="211" spans="1:26" ht="15.75" customHeight="1" x14ac:dyDescent="0.3">
      <c r="A211" s="91">
        <v>4</v>
      </c>
      <c r="B211" s="53" t="s">
        <v>571</v>
      </c>
      <c r="C211" s="79" t="s">
        <v>572</v>
      </c>
      <c r="D211" s="79" t="s">
        <v>567</v>
      </c>
      <c r="E211" s="53">
        <v>15</v>
      </c>
      <c r="F211" s="53">
        <v>146</v>
      </c>
      <c r="G211" s="160">
        <f t="shared" si="51"/>
        <v>240900</v>
      </c>
      <c r="H211" s="160">
        <f t="shared" si="52"/>
        <v>145</v>
      </c>
      <c r="I211" s="161">
        <f t="shared" si="53"/>
        <v>241045</v>
      </c>
      <c r="J211" s="78"/>
      <c r="K211" s="78"/>
      <c r="L211" s="78"/>
      <c r="M211" s="78"/>
      <c r="N211" s="78"/>
      <c r="O211" s="78"/>
      <c r="P211" s="78"/>
      <c r="Q211" s="78"/>
      <c r="R211" s="78"/>
      <c r="S211" s="78"/>
      <c r="T211" s="78"/>
      <c r="U211" s="78"/>
      <c r="V211" s="78"/>
      <c r="W211" s="78"/>
      <c r="X211" s="78"/>
      <c r="Y211" s="78"/>
      <c r="Z211" s="78"/>
    </row>
    <row r="212" spans="1:26" ht="15.75" customHeight="1" x14ac:dyDescent="0.3">
      <c r="A212" s="91">
        <v>5</v>
      </c>
      <c r="B212" s="53" t="s">
        <v>573</v>
      </c>
      <c r="C212" s="79" t="s">
        <v>574</v>
      </c>
      <c r="D212" s="79" t="s">
        <v>575</v>
      </c>
      <c r="E212" s="53">
        <v>10</v>
      </c>
      <c r="F212" s="53">
        <v>124</v>
      </c>
      <c r="G212" s="160">
        <f t="shared" si="51"/>
        <v>136400</v>
      </c>
      <c r="H212" s="160">
        <f t="shared" si="52"/>
        <v>33</v>
      </c>
      <c r="I212" s="161">
        <f t="shared" si="53"/>
        <v>136433</v>
      </c>
      <c r="J212" s="78"/>
      <c r="K212" s="78"/>
      <c r="L212" s="78"/>
      <c r="M212" s="78"/>
      <c r="N212" s="78"/>
      <c r="O212" s="78"/>
      <c r="P212" s="78"/>
      <c r="Q212" s="78"/>
      <c r="R212" s="78"/>
      <c r="S212" s="78"/>
      <c r="T212" s="78"/>
      <c r="U212" s="78"/>
      <c r="V212" s="78"/>
      <c r="W212" s="78"/>
      <c r="X212" s="78"/>
      <c r="Y212" s="78"/>
      <c r="Z212" s="78"/>
    </row>
    <row r="213" spans="1:26" ht="15.75" customHeight="1" x14ac:dyDescent="0.3">
      <c r="A213" s="91">
        <v>6</v>
      </c>
      <c r="B213" s="53" t="s">
        <v>576</v>
      </c>
      <c r="C213" s="79" t="s">
        <v>577</v>
      </c>
      <c r="D213" s="79" t="s">
        <v>564</v>
      </c>
      <c r="E213" s="53">
        <v>15</v>
      </c>
      <c r="F213" s="53">
        <v>130</v>
      </c>
      <c r="G213" s="160">
        <f t="shared" si="51"/>
        <v>214500</v>
      </c>
      <c r="H213" s="160">
        <f t="shared" si="52"/>
        <v>51</v>
      </c>
      <c r="I213" s="161">
        <f t="shared" si="53"/>
        <v>214551</v>
      </c>
      <c r="J213" s="78"/>
      <c r="K213" s="78"/>
      <c r="L213" s="78"/>
      <c r="M213" s="78"/>
      <c r="N213" s="78"/>
      <c r="O213" s="78"/>
      <c r="P213" s="78"/>
      <c r="Q213" s="78"/>
      <c r="R213" s="78"/>
      <c r="S213" s="78"/>
      <c r="T213" s="78"/>
      <c r="U213" s="78"/>
      <c r="V213" s="78"/>
      <c r="W213" s="78"/>
      <c r="X213" s="78"/>
      <c r="Y213" s="78"/>
      <c r="Z213" s="78"/>
    </row>
    <row r="214" spans="1:26" ht="15.75" customHeight="1" x14ac:dyDescent="0.3">
      <c r="A214" s="91">
        <v>7</v>
      </c>
      <c r="B214" s="53" t="s">
        <v>578</v>
      </c>
      <c r="C214" s="79" t="s">
        <v>579</v>
      </c>
      <c r="D214" s="79" t="s">
        <v>570</v>
      </c>
      <c r="E214" s="53">
        <v>17</v>
      </c>
      <c r="F214" s="53">
        <v>156</v>
      </c>
      <c r="G214" s="160">
        <f t="shared" si="51"/>
        <v>291720</v>
      </c>
      <c r="H214" s="160">
        <f t="shared" si="52"/>
        <v>105</v>
      </c>
      <c r="I214" s="161">
        <f t="shared" si="53"/>
        <v>291825</v>
      </c>
      <c r="J214" s="78"/>
      <c r="K214" s="78"/>
      <c r="L214" s="78"/>
      <c r="M214" s="78"/>
      <c r="N214" s="78"/>
      <c r="O214" s="78"/>
      <c r="P214" s="78"/>
      <c r="Q214" s="78"/>
      <c r="R214" s="78"/>
      <c r="S214" s="78"/>
      <c r="T214" s="78"/>
      <c r="U214" s="78"/>
      <c r="V214" s="78"/>
      <c r="W214" s="78"/>
      <c r="X214" s="78"/>
      <c r="Y214" s="78"/>
      <c r="Z214" s="78"/>
    </row>
    <row r="215" spans="1:26" ht="15.75" customHeight="1" x14ac:dyDescent="0.3">
      <c r="A215" s="91">
        <v>8</v>
      </c>
      <c r="B215" s="53" t="s">
        <v>580</v>
      </c>
      <c r="C215" s="79" t="s">
        <v>581</v>
      </c>
      <c r="D215" s="79" t="s">
        <v>567</v>
      </c>
      <c r="E215" s="53">
        <v>29</v>
      </c>
      <c r="F215" s="53">
        <v>144</v>
      </c>
      <c r="G215" s="160">
        <f t="shared" si="51"/>
        <v>459360</v>
      </c>
      <c r="H215" s="160">
        <f t="shared" si="52"/>
        <v>345</v>
      </c>
      <c r="I215" s="161">
        <f t="shared" si="53"/>
        <v>459705</v>
      </c>
      <c r="J215" s="78"/>
      <c r="K215" s="78"/>
      <c r="L215" s="78"/>
      <c r="M215" s="78"/>
      <c r="N215" s="78"/>
      <c r="O215" s="78"/>
      <c r="P215" s="78"/>
      <c r="Q215" s="78"/>
      <c r="R215" s="78"/>
      <c r="S215" s="78"/>
      <c r="T215" s="78"/>
      <c r="U215" s="78"/>
      <c r="V215" s="78"/>
      <c r="W215" s="78"/>
      <c r="X215" s="78"/>
      <c r="Y215" s="78"/>
      <c r="Z215" s="78"/>
    </row>
    <row r="216" spans="1:26" ht="15.75" customHeight="1" x14ac:dyDescent="0.3">
      <c r="A216" s="91">
        <v>9</v>
      </c>
      <c r="B216" s="53" t="s">
        <v>582</v>
      </c>
      <c r="C216" s="79" t="s">
        <v>583</v>
      </c>
      <c r="D216" s="79" t="s">
        <v>570</v>
      </c>
      <c r="E216" s="53">
        <v>12</v>
      </c>
      <c r="F216" s="53">
        <v>122</v>
      </c>
      <c r="G216" s="160">
        <f t="shared" si="51"/>
        <v>161040</v>
      </c>
      <c r="H216" s="160">
        <f t="shared" si="52"/>
        <v>58</v>
      </c>
      <c r="I216" s="161">
        <f t="shared" si="53"/>
        <v>161098</v>
      </c>
      <c r="J216" s="78"/>
      <c r="K216" s="78"/>
      <c r="L216" s="78"/>
      <c r="M216" s="78"/>
      <c r="N216" s="78"/>
      <c r="O216" s="78"/>
      <c r="P216" s="78"/>
      <c r="Q216" s="78"/>
      <c r="R216" s="78"/>
      <c r="S216" s="78"/>
      <c r="T216" s="78"/>
      <c r="U216" s="78"/>
      <c r="V216" s="78"/>
      <c r="W216" s="78"/>
      <c r="X216" s="78"/>
      <c r="Y216" s="78"/>
      <c r="Z216" s="78"/>
    </row>
    <row r="217" spans="1:26" ht="15.75" customHeight="1" x14ac:dyDescent="0.3">
      <c r="A217" s="91">
        <v>10</v>
      </c>
      <c r="B217" s="53" t="s">
        <v>584</v>
      </c>
      <c r="C217" s="79" t="s">
        <v>585</v>
      </c>
      <c r="D217" s="79" t="s">
        <v>586</v>
      </c>
      <c r="E217" s="53">
        <v>24</v>
      </c>
      <c r="F217" s="53">
        <v>124</v>
      </c>
      <c r="G217" s="160">
        <f t="shared" si="51"/>
        <v>327360</v>
      </c>
      <c r="H217" s="160">
        <f t="shared" si="52"/>
        <v>98</v>
      </c>
      <c r="I217" s="161">
        <f t="shared" si="53"/>
        <v>327458</v>
      </c>
      <c r="J217" s="78"/>
      <c r="K217" s="78"/>
      <c r="L217" s="78"/>
      <c r="M217" s="78"/>
      <c r="N217" s="78"/>
      <c r="O217" s="78"/>
      <c r="P217" s="78"/>
      <c r="Q217" s="78"/>
      <c r="R217" s="78"/>
      <c r="S217" s="78"/>
      <c r="T217" s="78"/>
      <c r="U217" s="78"/>
      <c r="V217" s="78"/>
      <c r="W217" s="78"/>
      <c r="X217" s="78"/>
      <c r="Y217" s="78"/>
      <c r="Z217" s="78"/>
    </row>
    <row r="218" spans="1:26" ht="15.75" customHeight="1" x14ac:dyDescent="0.3">
      <c r="A218" s="91">
        <v>11</v>
      </c>
      <c r="B218" s="53" t="s">
        <v>587</v>
      </c>
      <c r="C218" s="79" t="s">
        <v>588</v>
      </c>
      <c r="D218" s="79" t="s">
        <v>564</v>
      </c>
      <c r="E218" s="53">
        <v>10</v>
      </c>
      <c r="F218" s="53">
        <v>140</v>
      </c>
      <c r="G218" s="160">
        <f t="shared" si="51"/>
        <v>154000</v>
      </c>
      <c r="H218" s="160">
        <f t="shared" si="52"/>
        <v>37</v>
      </c>
      <c r="I218" s="161">
        <f t="shared" si="53"/>
        <v>154037</v>
      </c>
      <c r="J218" s="78"/>
      <c r="K218" s="78"/>
      <c r="L218" s="78"/>
      <c r="M218" s="78"/>
      <c r="N218" s="78"/>
      <c r="O218" s="78"/>
      <c r="P218" s="78"/>
      <c r="Q218" s="78"/>
      <c r="R218" s="78"/>
      <c r="S218" s="78"/>
      <c r="T218" s="78"/>
      <c r="U218" s="78"/>
      <c r="V218" s="78"/>
      <c r="W218" s="78"/>
      <c r="X218" s="78"/>
      <c r="Y218" s="78"/>
      <c r="Z218" s="78"/>
    </row>
    <row r="219" spans="1:26" ht="15.75" customHeight="1" x14ac:dyDescent="0.3">
      <c r="A219" s="91">
        <v>12</v>
      </c>
      <c r="B219" s="53" t="s">
        <v>589</v>
      </c>
      <c r="C219" s="79" t="s">
        <v>590</v>
      </c>
      <c r="D219" s="79" t="s">
        <v>586</v>
      </c>
      <c r="E219" s="53">
        <v>28</v>
      </c>
      <c r="F219" s="53">
        <v>132</v>
      </c>
      <c r="G219" s="160">
        <f t="shared" si="51"/>
        <v>406560</v>
      </c>
      <c r="H219" s="160">
        <f t="shared" si="52"/>
        <v>122</v>
      </c>
      <c r="I219" s="161">
        <f t="shared" si="53"/>
        <v>406682</v>
      </c>
      <c r="J219" s="78"/>
      <c r="K219" s="78"/>
      <c r="L219" s="78"/>
      <c r="M219" s="78"/>
      <c r="N219" s="78"/>
      <c r="O219" s="78"/>
      <c r="P219" s="78"/>
      <c r="Q219" s="78"/>
      <c r="R219" s="78"/>
      <c r="S219" s="78"/>
      <c r="T219" s="78"/>
      <c r="U219" s="78"/>
      <c r="V219" s="78"/>
      <c r="W219" s="78"/>
      <c r="X219" s="78"/>
      <c r="Y219" s="78"/>
      <c r="Z219" s="78"/>
    </row>
    <row r="220" spans="1:26" ht="15.75" customHeight="1" x14ac:dyDescent="0.3">
      <c r="A220" s="91">
        <v>13</v>
      </c>
      <c r="B220" s="53" t="s">
        <v>591</v>
      </c>
      <c r="C220" s="79" t="s">
        <v>592</v>
      </c>
      <c r="D220" s="79" t="s">
        <v>567</v>
      </c>
      <c r="E220" s="53">
        <v>26</v>
      </c>
      <c r="F220" s="53">
        <v>150</v>
      </c>
      <c r="G220" s="160">
        <f t="shared" si="51"/>
        <v>429000</v>
      </c>
      <c r="H220" s="160">
        <f t="shared" si="52"/>
        <v>322</v>
      </c>
      <c r="I220" s="161">
        <f t="shared" si="53"/>
        <v>429322</v>
      </c>
      <c r="J220" s="78"/>
      <c r="K220" s="78"/>
      <c r="L220" s="78"/>
      <c r="M220" s="78"/>
      <c r="N220" s="78"/>
      <c r="O220" s="78"/>
      <c r="P220" s="78"/>
      <c r="Q220" s="78"/>
      <c r="R220" s="78"/>
      <c r="S220" s="78"/>
      <c r="T220" s="78"/>
      <c r="U220" s="78"/>
      <c r="V220" s="78"/>
      <c r="W220" s="78"/>
      <c r="X220" s="78"/>
      <c r="Y220" s="78"/>
      <c r="Z220" s="78"/>
    </row>
    <row r="221" spans="1:26" ht="15.75" customHeight="1" x14ac:dyDescent="0.3">
      <c r="A221" s="91">
        <v>14</v>
      </c>
      <c r="B221" s="53" t="s">
        <v>593</v>
      </c>
      <c r="C221" s="79" t="s">
        <v>594</v>
      </c>
      <c r="D221" s="79" t="s">
        <v>575</v>
      </c>
      <c r="E221" s="53">
        <v>28</v>
      </c>
      <c r="F221" s="53">
        <v>144</v>
      </c>
      <c r="G221" s="160">
        <f t="shared" si="51"/>
        <v>443520</v>
      </c>
      <c r="H221" s="160">
        <f t="shared" si="52"/>
        <v>133</v>
      </c>
      <c r="I221" s="161">
        <f t="shared" si="53"/>
        <v>443653</v>
      </c>
      <c r="J221" s="78"/>
      <c r="K221" s="78"/>
      <c r="L221" s="78"/>
      <c r="M221" s="78"/>
      <c r="N221" s="78"/>
      <c r="O221" s="78"/>
      <c r="P221" s="78"/>
      <c r="Q221" s="78"/>
      <c r="R221" s="78"/>
      <c r="S221" s="78"/>
      <c r="T221" s="78"/>
      <c r="U221" s="78"/>
      <c r="V221" s="78"/>
      <c r="W221" s="78"/>
      <c r="X221" s="78"/>
      <c r="Y221" s="78"/>
      <c r="Z221" s="78"/>
    </row>
    <row r="222" spans="1:26" ht="15.75" customHeight="1" x14ac:dyDescent="0.3">
      <c r="A222" s="91">
        <v>15</v>
      </c>
      <c r="B222" s="53" t="s">
        <v>595</v>
      </c>
      <c r="C222" s="79" t="s">
        <v>596</v>
      </c>
      <c r="D222" s="79" t="s">
        <v>564</v>
      </c>
      <c r="E222" s="53">
        <v>28</v>
      </c>
      <c r="F222" s="53">
        <v>132</v>
      </c>
      <c r="G222" s="160">
        <f t="shared" si="51"/>
        <v>406560</v>
      </c>
      <c r="H222" s="160">
        <f t="shared" si="52"/>
        <v>122</v>
      </c>
      <c r="I222" s="161">
        <f t="shared" si="53"/>
        <v>406682</v>
      </c>
      <c r="J222" s="78"/>
      <c r="K222" s="78"/>
      <c r="L222" s="78"/>
      <c r="M222" s="78"/>
      <c r="N222" s="78"/>
      <c r="O222" s="78"/>
      <c r="P222" s="78"/>
      <c r="Q222" s="78"/>
      <c r="R222" s="78"/>
      <c r="S222" s="78"/>
      <c r="T222" s="78"/>
      <c r="U222" s="78"/>
      <c r="V222" s="78"/>
      <c r="W222" s="78"/>
      <c r="X222" s="78"/>
      <c r="Y222" s="78"/>
      <c r="Z222" s="78"/>
    </row>
    <row r="223" spans="1:26" ht="15.75" customHeight="1" x14ac:dyDescent="0.3">
      <c r="A223" s="91">
        <v>16</v>
      </c>
      <c r="B223" s="53" t="s">
        <v>597</v>
      </c>
      <c r="C223" s="79" t="s">
        <v>598</v>
      </c>
      <c r="D223" s="79" t="s">
        <v>570</v>
      </c>
      <c r="E223" s="53">
        <v>23</v>
      </c>
      <c r="F223" s="53">
        <v>126</v>
      </c>
      <c r="G223" s="160">
        <f t="shared" si="51"/>
        <v>318780</v>
      </c>
      <c r="H223" s="160">
        <f t="shared" si="52"/>
        <v>143</v>
      </c>
      <c r="I223" s="161">
        <f t="shared" si="53"/>
        <v>318923</v>
      </c>
      <c r="J223" s="78"/>
      <c r="K223" s="78"/>
      <c r="L223" s="78"/>
      <c r="M223" s="78"/>
      <c r="N223" s="78"/>
      <c r="O223" s="78"/>
      <c r="P223" s="78"/>
      <c r="Q223" s="78"/>
      <c r="R223" s="78"/>
      <c r="S223" s="78"/>
      <c r="T223" s="78"/>
      <c r="U223" s="78"/>
      <c r="V223" s="78"/>
      <c r="W223" s="78"/>
      <c r="X223" s="78"/>
      <c r="Y223" s="78"/>
      <c r="Z223" s="78"/>
    </row>
    <row r="224" spans="1:26" ht="15.75" customHeight="1" x14ac:dyDescent="0.3">
      <c r="A224" s="91">
        <v>17</v>
      </c>
      <c r="B224" s="53" t="s">
        <v>599</v>
      </c>
      <c r="C224" s="79" t="s">
        <v>600</v>
      </c>
      <c r="D224" s="79" t="s">
        <v>567</v>
      </c>
      <c r="E224" s="53">
        <v>19</v>
      </c>
      <c r="F224" s="53">
        <v>124</v>
      </c>
      <c r="G224" s="160">
        <f t="shared" si="51"/>
        <v>259160</v>
      </c>
      <c r="H224" s="160">
        <f t="shared" si="52"/>
        <v>155</v>
      </c>
      <c r="I224" s="161">
        <f t="shared" si="53"/>
        <v>259315</v>
      </c>
      <c r="J224" s="78"/>
      <c r="K224" s="78"/>
      <c r="L224" s="78"/>
      <c r="M224" s="78"/>
      <c r="N224" s="78"/>
      <c r="O224" s="78"/>
      <c r="P224" s="78"/>
      <c r="Q224" s="78"/>
      <c r="R224" s="78"/>
      <c r="S224" s="78"/>
      <c r="T224" s="78"/>
      <c r="U224" s="78"/>
      <c r="V224" s="78"/>
      <c r="W224" s="78"/>
      <c r="X224" s="78"/>
      <c r="Y224" s="78"/>
      <c r="Z224" s="78"/>
    </row>
    <row r="225" spans="1:26" ht="15.75" customHeight="1" x14ac:dyDescent="0.3">
      <c r="A225" s="91">
        <v>18</v>
      </c>
      <c r="B225" s="53" t="s">
        <v>601</v>
      </c>
      <c r="C225" s="79" t="s">
        <v>602</v>
      </c>
      <c r="D225" s="79" t="s">
        <v>575</v>
      </c>
      <c r="E225" s="53">
        <v>11</v>
      </c>
      <c r="F225" s="53">
        <v>134</v>
      </c>
      <c r="G225" s="160">
        <f t="shared" si="51"/>
        <v>162140</v>
      </c>
      <c r="H225" s="160">
        <f t="shared" si="52"/>
        <v>39</v>
      </c>
      <c r="I225" s="161">
        <f t="shared" si="53"/>
        <v>162179</v>
      </c>
      <c r="J225" s="78"/>
      <c r="K225" s="78"/>
      <c r="L225" s="78"/>
      <c r="M225" s="78"/>
      <c r="N225" s="78"/>
      <c r="O225" s="78"/>
      <c r="P225" s="78"/>
      <c r="Q225" s="78"/>
      <c r="R225" s="78"/>
      <c r="S225" s="78"/>
      <c r="T225" s="78"/>
      <c r="U225" s="78"/>
      <c r="V225" s="78"/>
      <c r="W225" s="78"/>
      <c r="X225" s="78"/>
      <c r="Y225" s="78"/>
      <c r="Z225" s="78"/>
    </row>
    <row r="226" spans="1:26" ht="15.75" customHeight="1" x14ac:dyDescent="0.3">
      <c r="A226" s="91">
        <v>19</v>
      </c>
      <c r="B226" s="53" t="s">
        <v>603</v>
      </c>
      <c r="C226" s="79" t="s">
        <v>604</v>
      </c>
      <c r="D226" s="79" t="s">
        <v>564</v>
      </c>
      <c r="E226" s="53">
        <v>14</v>
      </c>
      <c r="F226" s="53">
        <v>112</v>
      </c>
      <c r="G226" s="160">
        <f t="shared" si="51"/>
        <v>172480</v>
      </c>
      <c r="H226" s="160">
        <f t="shared" si="52"/>
        <v>41</v>
      </c>
      <c r="I226" s="161">
        <f t="shared" si="53"/>
        <v>172521</v>
      </c>
      <c r="J226" s="78"/>
      <c r="K226" s="78"/>
      <c r="L226" s="78"/>
      <c r="M226" s="78"/>
      <c r="N226" s="78"/>
      <c r="O226" s="78"/>
      <c r="P226" s="78"/>
      <c r="Q226" s="78"/>
      <c r="R226" s="78"/>
      <c r="S226" s="78"/>
      <c r="T226" s="78"/>
      <c r="U226" s="78"/>
      <c r="V226" s="78"/>
      <c r="W226" s="78"/>
      <c r="X226" s="78"/>
      <c r="Y226" s="78"/>
      <c r="Z226" s="78"/>
    </row>
    <row r="227" spans="1:26" ht="15.75" customHeight="1" x14ac:dyDescent="0.3">
      <c r="A227" s="92">
        <v>20</v>
      </c>
      <c r="B227" s="93" t="s">
        <v>605</v>
      </c>
      <c r="C227" s="81" t="s">
        <v>606</v>
      </c>
      <c r="D227" s="81" t="s">
        <v>575</v>
      </c>
      <c r="E227" s="93">
        <v>22</v>
      </c>
      <c r="F227" s="93">
        <v>158</v>
      </c>
      <c r="G227" s="160">
        <f t="shared" si="51"/>
        <v>382360</v>
      </c>
      <c r="H227" s="160">
        <f t="shared" si="52"/>
        <v>115</v>
      </c>
      <c r="I227" s="161">
        <f t="shared" si="53"/>
        <v>382475</v>
      </c>
      <c r="J227" s="78"/>
      <c r="K227" s="78"/>
      <c r="L227" s="78"/>
      <c r="M227" s="78"/>
      <c r="N227" s="78"/>
      <c r="O227" s="78"/>
      <c r="P227" s="78"/>
      <c r="Q227" s="78"/>
      <c r="R227" s="78"/>
      <c r="S227" s="78"/>
      <c r="T227" s="78"/>
      <c r="U227" s="78"/>
      <c r="V227" s="78"/>
      <c r="W227" s="78"/>
      <c r="X227" s="78"/>
      <c r="Y227" s="78"/>
      <c r="Z227" s="78"/>
    </row>
    <row r="228" spans="1:26" ht="19.5" customHeight="1" x14ac:dyDescent="0.3">
      <c r="A228" s="422" t="s">
        <v>422</v>
      </c>
      <c r="B228" s="423"/>
      <c r="C228" s="423"/>
      <c r="D228" s="423"/>
      <c r="E228" s="423"/>
      <c r="F228" s="424"/>
      <c r="G228" s="162"/>
      <c r="H228" s="162"/>
      <c r="I228" s="163"/>
      <c r="J228" s="78"/>
      <c r="K228" s="78"/>
      <c r="L228" s="78"/>
      <c r="M228" s="78"/>
      <c r="N228" s="78"/>
      <c r="O228" s="78"/>
      <c r="P228" s="78"/>
      <c r="Q228" s="78"/>
      <c r="R228" s="78"/>
      <c r="S228" s="78"/>
      <c r="T228" s="78"/>
      <c r="U228" s="78"/>
      <c r="V228" s="78"/>
      <c r="W228" s="78"/>
      <c r="X228" s="78"/>
      <c r="Y228" s="78"/>
      <c r="Z228" s="78"/>
    </row>
    <row r="229" spans="1:26" ht="15.75" customHeight="1" x14ac:dyDescent="0.3">
      <c r="A229" s="164"/>
      <c r="B229" s="164"/>
      <c r="C229" s="164"/>
      <c r="D229" s="164"/>
      <c r="E229" s="164"/>
      <c r="F229" s="164"/>
      <c r="G229" s="164"/>
      <c r="H229" s="78"/>
      <c r="I229" s="78"/>
      <c r="J229" s="78"/>
      <c r="K229" s="78"/>
      <c r="L229" s="78"/>
      <c r="M229" s="78"/>
      <c r="N229" s="78"/>
      <c r="O229" s="78"/>
      <c r="P229" s="78"/>
      <c r="Q229" s="78"/>
      <c r="R229" s="78"/>
      <c r="S229" s="78"/>
      <c r="T229" s="78"/>
      <c r="U229" s="78"/>
      <c r="V229" s="78"/>
      <c r="W229" s="78"/>
      <c r="X229" s="78"/>
      <c r="Y229" s="78"/>
      <c r="Z229" s="78"/>
    </row>
    <row r="230" spans="1:26" ht="15.75" customHeight="1" x14ac:dyDescent="0.3">
      <c r="A230" s="165" t="s">
        <v>607</v>
      </c>
      <c r="B230" s="164"/>
      <c r="C230" s="164"/>
      <c r="D230" s="164"/>
      <c r="E230" s="164"/>
      <c r="F230" s="164"/>
      <c r="G230" s="164"/>
      <c r="H230" s="78"/>
      <c r="I230" s="78"/>
      <c r="J230" s="78"/>
      <c r="K230" s="78"/>
      <c r="L230" s="78"/>
      <c r="M230" s="78"/>
      <c r="N230" s="78"/>
      <c r="O230" s="78"/>
      <c r="P230" s="78"/>
      <c r="Q230" s="78"/>
      <c r="R230" s="78"/>
      <c r="S230" s="78"/>
      <c r="T230" s="78"/>
      <c r="U230" s="78"/>
      <c r="V230" s="78"/>
      <c r="W230" s="78"/>
      <c r="X230" s="78"/>
      <c r="Y230" s="78"/>
      <c r="Z230" s="78"/>
    </row>
    <row r="231" spans="1:26" ht="15.75" customHeight="1" x14ac:dyDescent="0.3">
      <c r="A231" s="165" t="s">
        <v>608</v>
      </c>
      <c r="B231" s="164"/>
      <c r="C231" s="164"/>
      <c r="D231" s="164"/>
      <c r="E231" s="164"/>
      <c r="F231" s="164"/>
      <c r="G231" s="164"/>
      <c r="H231" s="78"/>
      <c r="I231" s="78"/>
      <c r="J231" s="78"/>
      <c r="K231" s="78"/>
      <c r="L231" s="78"/>
      <c r="M231" s="78"/>
      <c r="N231" s="78"/>
      <c r="O231" s="78"/>
      <c r="P231" s="78"/>
      <c r="Q231" s="78"/>
      <c r="R231" s="78"/>
      <c r="S231" s="78"/>
      <c r="T231" s="78"/>
      <c r="U231" s="78"/>
      <c r="V231" s="78"/>
      <c r="W231" s="78"/>
      <c r="X231" s="78"/>
      <c r="Y231" s="78"/>
      <c r="Z231" s="78"/>
    </row>
    <row r="232" spans="1:26" ht="15.75" customHeight="1" x14ac:dyDescent="0.3">
      <c r="A232" s="165" t="s">
        <v>609</v>
      </c>
      <c r="B232" s="165"/>
      <c r="C232" s="166"/>
      <c r="D232" s="164"/>
      <c r="E232" s="164"/>
      <c r="F232" s="164"/>
      <c r="G232" s="164"/>
      <c r="H232" s="78"/>
      <c r="I232" s="78"/>
      <c r="J232" s="78"/>
      <c r="K232" s="78"/>
      <c r="L232" s="78"/>
      <c r="M232" s="78"/>
      <c r="N232" s="78"/>
      <c r="O232" s="78"/>
      <c r="P232" s="78"/>
      <c r="Q232" s="78"/>
      <c r="R232" s="78"/>
      <c r="S232" s="78"/>
      <c r="T232" s="78"/>
      <c r="U232" s="78"/>
      <c r="V232" s="78"/>
      <c r="W232" s="78"/>
      <c r="X232" s="78"/>
      <c r="Y232" s="78"/>
      <c r="Z232" s="78"/>
    </row>
    <row r="233" spans="1:26" ht="15.75" customHeight="1" x14ac:dyDescent="0.3">
      <c r="A233" s="165" t="s">
        <v>610</v>
      </c>
      <c r="B233" s="164"/>
      <c r="C233" s="166"/>
      <c r="D233" s="164"/>
      <c r="E233" s="164"/>
      <c r="F233" s="164"/>
      <c r="G233" s="164"/>
      <c r="H233" s="78"/>
      <c r="I233" s="78"/>
      <c r="J233" s="78"/>
      <c r="K233" s="78"/>
      <c r="L233" s="78"/>
      <c r="M233" s="78"/>
      <c r="N233" s="78"/>
      <c r="O233" s="78"/>
      <c r="P233" s="78"/>
      <c r="Q233" s="78"/>
      <c r="R233" s="78"/>
      <c r="S233" s="78"/>
      <c r="T233" s="78"/>
      <c r="U233" s="78"/>
      <c r="V233" s="78"/>
      <c r="W233" s="78"/>
      <c r="X233" s="78"/>
      <c r="Y233" s="78"/>
      <c r="Z233" s="78"/>
    </row>
    <row r="234" spans="1:26" ht="15.75" customHeight="1" x14ac:dyDescent="0.3">
      <c r="A234" s="165" t="s">
        <v>611</v>
      </c>
      <c r="B234" s="164"/>
      <c r="C234" s="164"/>
      <c r="D234" s="164"/>
      <c r="E234" s="164"/>
      <c r="F234" s="164"/>
      <c r="G234" s="164"/>
      <c r="H234" s="78"/>
      <c r="I234" s="78"/>
      <c r="J234" s="78"/>
      <c r="K234" s="78"/>
      <c r="L234" s="78"/>
      <c r="M234" s="78"/>
      <c r="N234" s="78"/>
      <c r="O234" s="78"/>
      <c r="P234" s="78"/>
      <c r="Q234" s="78"/>
      <c r="R234" s="78"/>
      <c r="S234" s="78"/>
      <c r="T234" s="78"/>
      <c r="U234" s="78"/>
      <c r="V234" s="78"/>
      <c r="W234" s="78"/>
      <c r="X234" s="78"/>
      <c r="Y234" s="78"/>
      <c r="Z234" s="78"/>
    </row>
    <row r="235" spans="1:26" ht="15.75" customHeight="1" x14ac:dyDescent="0.3">
      <c r="A235" s="28"/>
      <c r="B235" s="28"/>
      <c r="C235" s="28"/>
      <c r="D235" s="28"/>
      <c r="E235" s="28"/>
    </row>
    <row r="236" spans="1:26" ht="15.75" customHeight="1" x14ac:dyDescent="0.3">
      <c r="A236" s="28"/>
      <c r="B236" s="28"/>
      <c r="C236" s="28"/>
      <c r="D236" s="28"/>
      <c r="E236" s="28"/>
    </row>
    <row r="237" spans="1:26" ht="15.75" customHeight="1" x14ac:dyDescent="0.3">
      <c r="A237" s="167" t="s">
        <v>77</v>
      </c>
      <c r="B237" s="167" t="s">
        <v>381</v>
      </c>
      <c r="C237" s="168" t="s">
        <v>612</v>
      </c>
      <c r="D237" s="167" t="s">
        <v>613</v>
      </c>
      <c r="E237" s="169" t="s">
        <v>614</v>
      </c>
      <c r="F237" s="164"/>
      <c r="G237" s="164"/>
    </row>
    <row r="238" spans="1:26" ht="15.75" customHeight="1" x14ac:dyDescent="0.3">
      <c r="A238" s="72">
        <v>1</v>
      </c>
      <c r="B238" s="72" t="s">
        <v>615</v>
      </c>
      <c r="C238" s="72">
        <v>4</v>
      </c>
      <c r="D238" s="72" t="s">
        <v>616</v>
      </c>
      <c r="E238" s="170" t="str">
        <f t="shared" ref="E238:E247" si="54">IF(OR(AND(D238="Tốt",C238&gt;=4),AND(D238="TB",C238&gt;=5)),"Lên lớp","Ở lại lớp")</f>
        <v>Ở lại lớp</v>
      </c>
    </row>
    <row r="239" spans="1:26" ht="15.75" customHeight="1" x14ac:dyDescent="0.3">
      <c r="A239" s="32">
        <v>2</v>
      </c>
      <c r="B239" s="32" t="s">
        <v>617</v>
      </c>
      <c r="C239" s="32">
        <v>7</v>
      </c>
      <c r="D239" s="32" t="s">
        <v>618</v>
      </c>
      <c r="E239" s="170" t="str">
        <f t="shared" si="54"/>
        <v>Lên lớp</v>
      </c>
    </row>
    <row r="240" spans="1:26" ht="15.75" customHeight="1" x14ac:dyDescent="0.3">
      <c r="A240" s="32">
        <v>3</v>
      </c>
      <c r="B240" s="32" t="s">
        <v>619</v>
      </c>
      <c r="C240" s="32">
        <v>4</v>
      </c>
      <c r="D240" s="32" t="s">
        <v>618</v>
      </c>
      <c r="E240" s="170" t="str">
        <f t="shared" si="54"/>
        <v>Lên lớp</v>
      </c>
    </row>
    <row r="241" spans="1:7" ht="15.75" customHeight="1" x14ac:dyDescent="0.3">
      <c r="A241" s="32">
        <v>4</v>
      </c>
      <c r="B241" s="32" t="s">
        <v>620</v>
      </c>
      <c r="C241" s="32">
        <v>3</v>
      </c>
      <c r="D241" s="32" t="s">
        <v>618</v>
      </c>
      <c r="E241" s="170" t="str">
        <f t="shared" si="54"/>
        <v>Ở lại lớp</v>
      </c>
    </row>
    <row r="242" spans="1:7" ht="15.75" customHeight="1" x14ac:dyDescent="0.3">
      <c r="A242" s="32">
        <v>5</v>
      </c>
      <c r="B242" s="32" t="s">
        <v>621</v>
      </c>
      <c r="C242" s="32">
        <v>8</v>
      </c>
      <c r="D242" s="32" t="s">
        <v>618</v>
      </c>
      <c r="E242" s="170" t="str">
        <f t="shared" si="54"/>
        <v>Lên lớp</v>
      </c>
    </row>
    <row r="243" spans="1:7" ht="15.75" customHeight="1" x14ac:dyDescent="0.3">
      <c r="A243" s="32">
        <v>6</v>
      </c>
      <c r="B243" s="32" t="s">
        <v>622</v>
      </c>
      <c r="C243" s="32">
        <v>9</v>
      </c>
      <c r="D243" s="32" t="s">
        <v>616</v>
      </c>
      <c r="E243" s="170" t="str">
        <f t="shared" si="54"/>
        <v>Lên lớp</v>
      </c>
    </row>
    <row r="244" spans="1:7" ht="15.75" customHeight="1" x14ac:dyDescent="0.3">
      <c r="A244" s="32">
        <v>7</v>
      </c>
      <c r="B244" s="32" t="s">
        <v>623</v>
      </c>
      <c r="C244" s="32">
        <v>3</v>
      </c>
      <c r="D244" s="32" t="s">
        <v>616</v>
      </c>
      <c r="E244" s="170" t="str">
        <f t="shared" si="54"/>
        <v>Ở lại lớp</v>
      </c>
    </row>
    <row r="245" spans="1:7" ht="15.75" customHeight="1" x14ac:dyDescent="0.3">
      <c r="A245" s="32">
        <v>8</v>
      </c>
      <c r="B245" s="32" t="s">
        <v>624</v>
      </c>
      <c r="C245" s="32">
        <v>5</v>
      </c>
      <c r="D245" s="32" t="s">
        <v>618</v>
      </c>
      <c r="E245" s="170" t="str">
        <f t="shared" si="54"/>
        <v>Lên lớp</v>
      </c>
    </row>
    <row r="246" spans="1:7" ht="15.75" customHeight="1" x14ac:dyDescent="0.3">
      <c r="A246" s="32">
        <v>9</v>
      </c>
      <c r="B246" s="32" t="s">
        <v>625</v>
      </c>
      <c r="C246" s="32">
        <v>6</v>
      </c>
      <c r="D246" s="32" t="s">
        <v>616</v>
      </c>
      <c r="E246" s="170" t="str">
        <f t="shared" si="54"/>
        <v>Lên lớp</v>
      </c>
    </row>
    <row r="247" spans="1:7" ht="15.75" customHeight="1" x14ac:dyDescent="0.3">
      <c r="A247" s="32">
        <v>10</v>
      </c>
      <c r="B247" s="32" t="s">
        <v>626</v>
      </c>
      <c r="C247" s="32">
        <v>4</v>
      </c>
      <c r="D247" s="32" t="s">
        <v>618</v>
      </c>
      <c r="E247" s="170" t="str">
        <f t="shared" si="54"/>
        <v>Lên lớp</v>
      </c>
    </row>
    <row r="248" spans="1:7" ht="15.75" customHeight="1" x14ac:dyDescent="0.3">
      <c r="A248" s="1"/>
      <c r="B248" s="1"/>
      <c r="C248" s="1"/>
      <c r="D248" s="1"/>
      <c r="E248" s="1"/>
    </row>
    <row r="249" spans="1:7" ht="15.75" customHeight="1" x14ac:dyDescent="0.3">
      <c r="A249" s="1" t="s">
        <v>71</v>
      </c>
      <c r="B249" s="1"/>
      <c r="C249" s="1"/>
      <c r="D249" s="1"/>
      <c r="E249" s="1"/>
    </row>
    <row r="250" spans="1:7" ht="15.75" customHeight="1" x14ac:dyDescent="0.3">
      <c r="A250" s="1" t="s">
        <v>627</v>
      </c>
      <c r="B250" s="1"/>
      <c r="C250" s="1"/>
      <c r="D250" s="1"/>
      <c r="E250" s="1"/>
    </row>
    <row r="251" spans="1:7" ht="15.75" customHeight="1" x14ac:dyDescent="0.3">
      <c r="A251" s="1" t="s">
        <v>628</v>
      </c>
      <c r="B251" s="1"/>
      <c r="C251" s="1"/>
      <c r="D251" s="1"/>
      <c r="E251" s="1"/>
    </row>
    <row r="252" spans="1:7" ht="15.75" customHeight="1" x14ac:dyDescent="0.3">
      <c r="A252" s="1" t="s">
        <v>629</v>
      </c>
      <c r="B252" s="1"/>
      <c r="C252" s="1"/>
      <c r="D252" s="1"/>
      <c r="E252" s="1"/>
    </row>
    <row r="253" spans="1:7" ht="15.75" customHeight="1" x14ac:dyDescent="0.3"/>
    <row r="254" spans="1:7" ht="15.75" customHeight="1" x14ac:dyDescent="0.3"/>
    <row r="255" spans="1:7" ht="15.75" customHeight="1" x14ac:dyDescent="0.3">
      <c r="A255" s="171" t="s">
        <v>630</v>
      </c>
      <c r="B255" s="1"/>
      <c r="C255" s="1"/>
      <c r="D255" s="1"/>
      <c r="E255" s="1"/>
      <c r="F255" s="1"/>
      <c r="G255" s="1"/>
    </row>
    <row r="256" spans="1:7" ht="15.75" customHeight="1" x14ac:dyDescent="0.3">
      <c r="A256" s="172" t="s">
        <v>321</v>
      </c>
      <c r="B256" s="172" t="s">
        <v>139</v>
      </c>
      <c r="C256" s="172" t="s">
        <v>49</v>
      </c>
      <c r="D256" s="1"/>
      <c r="E256" s="1"/>
      <c r="F256" s="1"/>
      <c r="G256" s="1"/>
    </row>
    <row r="257" spans="1:7" ht="15.75" customHeight="1" x14ac:dyDescent="0.3">
      <c r="A257" s="172">
        <v>0</v>
      </c>
      <c r="B257" s="172">
        <v>0</v>
      </c>
      <c r="C257" s="173" t="str">
        <f t="shared" ref="C257:C260" si="55">IF(AND(A257=0,B257=0),"Vô số nghiệm",IF(A257=0,"Vô nghiệm",-B257/A257))</f>
        <v>Vô số nghiệm</v>
      </c>
      <c r="D257" s="1"/>
      <c r="E257" s="1"/>
      <c r="F257" s="1"/>
      <c r="G257" s="1"/>
    </row>
    <row r="258" spans="1:7" ht="15.75" customHeight="1" x14ac:dyDescent="0.3">
      <c r="A258" s="172">
        <v>0</v>
      </c>
      <c r="B258" s="172">
        <v>5</v>
      </c>
      <c r="C258" s="173" t="str">
        <f t="shared" si="55"/>
        <v>Vô nghiệm</v>
      </c>
      <c r="D258" s="1"/>
      <c r="E258" s="1"/>
      <c r="F258" s="1"/>
      <c r="G258" s="1"/>
    </row>
    <row r="259" spans="1:7" ht="15.75" customHeight="1" x14ac:dyDescent="0.3">
      <c r="A259" s="172">
        <v>1</v>
      </c>
      <c r="B259" s="172">
        <v>0</v>
      </c>
      <c r="C259" s="173">
        <f t="shared" si="55"/>
        <v>0</v>
      </c>
      <c r="D259" s="1"/>
      <c r="E259" s="1"/>
      <c r="F259" s="1"/>
      <c r="G259" s="1"/>
    </row>
    <row r="260" spans="1:7" ht="15.75" customHeight="1" x14ac:dyDescent="0.3">
      <c r="A260" s="172">
        <v>2</v>
      </c>
      <c r="B260" s="172">
        <v>4</v>
      </c>
      <c r="C260" s="173">
        <f t="shared" si="55"/>
        <v>-2</v>
      </c>
      <c r="D260" s="1"/>
      <c r="E260" s="1"/>
      <c r="F260" s="1"/>
      <c r="G260" s="1"/>
    </row>
    <row r="261" spans="1:7" ht="15.75" customHeight="1" x14ac:dyDescent="0.3">
      <c r="A261" s="1"/>
      <c r="B261" s="1"/>
      <c r="C261" s="1"/>
      <c r="D261" s="1"/>
      <c r="E261" s="1"/>
      <c r="F261" s="1"/>
      <c r="G261" s="1"/>
    </row>
    <row r="262" spans="1:7" ht="15.75" customHeight="1" x14ac:dyDescent="0.3">
      <c r="A262" s="174" t="s">
        <v>631</v>
      </c>
      <c r="B262" s="175"/>
      <c r="C262" s="175"/>
      <c r="D262" s="175"/>
      <c r="E262" s="1"/>
      <c r="F262" s="1"/>
      <c r="G262" s="1"/>
    </row>
    <row r="263" spans="1:7" ht="15.75" customHeight="1" x14ac:dyDescent="0.3">
      <c r="A263" s="175" t="s">
        <v>632</v>
      </c>
      <c r="B263" s="175"/>
      <c r="C263" s="175"/>
      <c r="D263" s="175"/>
      <c r="E263" s="1"/>
      <c r="F263" s="1"/>
      <c r="G263" s="1"/>
    </row>
    <row r="264" spans="1:7" ht="15.75" customHeight="1" x14ac:dyDescent="0.3">
      <c r="A264" s="1"/>
      <c r="B264" s="1"/>
      <c r="C264" s="1"/>
      <c r="D264" s="1"/>
      <c r="E264" s="1"/>
      <c r="F264" s="1"/>
      <c r="G264" s="1"/>
    </row>
    <row r="265" spans="1:7" ht="15.75" customHeight="1" x14ac:dyDescent="0.3">
      <c r="A265" s="1"/>
      <c r="B265" s="1"/>
      <c r="C265" s="1"/>
      <c r="D265" s="1"/>
      <c r="E265" s="1"/>
      <c r="F265" s="1"/>
      <c r="G265" s="1"/>
    </row>
    <row r="266" spans="1:7" ht="15.75" customHeight="1" x14ac:dyDescent="0.3">
      <c r="A266" s="1"/>
      <c r="B266" s="1"/>
      <c r="C266" s="171" t="s">
        <v>633</v>
      </c>
      <c r="D266" s="1"/>
      <c r="E266" s="1"/>
      <c r="F266" s="1"/>
      <c r="G266" s="1"/>
    </row>
    <row r="267" spans="1:7" ht="15.75" customHeight="1" x14ac:dyDescent="0.3">
      <c r="A267" s="1"/>
      <c r="B267" s="176" t="s">
        <v>321</v>
      </c>
      <c r="C267" s="176" t="s">
        <v>139</v>
      </c>
      <c r="D267" s="176" t="s">
        <v>327</v>
      </c>
      <c r="E267" s="176" t="s">
        <v>620</v>
      </c>
      <c r="F267" s="177" t="s">
        <v>634</v>
      </c>
      <c r="G267" s="177" t="s">
        <v>635</v>
      </c>
    </row>
    <row r="268" spans="1:7" ht="15.75" customHeight="1" x14ac:dyDescent="0.3">
      <c r="A268" s="1"/>
      <c r="B268" s="178">
        <v>4</v>
      </c>
      <c r="C268" s="178">
        <v>4</v>
      </c>
      <c r="D268" s="178">
        <v>-8</v>
      </c>
      <c r="E268" s="179"/>
      <c r="F268" s="179"/>
      <c r="G268" s="179"/>
    </row>
    <row r="269" spans="1:7" ht="15.75" customHeight="1" x14ac:dyDescent="0.3">
      <c r="A269" s="1"/>
      <c r="B269" s="178">
        <v>1</v>
      </c>
      <c r="C269" s="178">
        <v>-2</v>
      </c>
      <c r="D269" s="178">
        <v>1</v>
      </c>
      <c r="E269" s="179"/>
      <c r="F269" s="179"/>
      <c r="G269" s="179"/>
    </row>
    <row r="270" spans="1:7" ht="15.75" customHeight="1" x14ac:dyDescent="0.3">
      <c r="A270" s="1"/>
      <c r="B270" s="178">
        <v>2</v>
      </c>
      <c r="C270" s="178">
        <v>4</v>
      </c>
      <c r="D270" s="178">
        <v>60</v>
      </c>
      <c r="E270" s="179"/>
      <c r="F270" s="179"/>
      <c r="G270" s="179"/>
    </row>
    <row r="271" spans="1:7" ht="15.75" customHeight="1" x14ac:dyDescent="0.3">
      <c r="A271" s="1"/>
      <c r="B271" s="178">
        <v>0</v>
      </c>
      <c r="C271" s="178">
        <v>4</v>
      </c>
      <c r="D271" s="178">
        <v>8</v>
      </c>
      <c r="E271" s="179"/>
      <c r="F271" s="179"/>
      <c r="G271" s="179"/>
    </row>
    <row r="272" spans="1:7" ht="15.75" customHeight="1" x14ac:dyDescent="0.3">
      <c r="A272" s="1"/>
      <c r="B272" s="178">
        <v>0</v>
      </c>
      <c r="C272" s="178">
        <v>0</v>
      </c>
      <c r="D272" s="178">
        <v>1</v>
      </c>
      <c r="E272" s="179"/>
      <c r="F272" s="179"/>
      <c r="G272" s="179"/>
    </row>
    <row r="273" spans="1:7" ht="15.75" customHeight="1" x14ac:dyDescent="0.3">
      <c r="A273" s="1"/>
      <c r="B273" s="178">
        <v>0</v>
      </c>
      <c r="C273" s="178">
        <v>0</v>
      </c>
      <c r="D273" s="178">
        <v>0</v>
      </c>
      <c r="E273" s="179"/>
      <c r="F273" s="179"/>
      <c r="G273" s="179"/>
    </row>
    <row r="274" spans="1:7" ht="15.75" customHeight="1" x14ac:dyDescent="0.3">
      <c r="A274" s="1"/>
      <c r="B274" s="1"/>
      <c r="C274" s="1"/>
      <c r="D274" s="1"/>
      <c r="E274" s="1"/>
      <c r="F274" s="1"/>
      <c r="G274" s="1"/>
    </row>
    <row r="275" spans="1:7" ht="15.75" customHeight="1" x14ac:dyDescent="0.3">
      <c r="A275" s="174" t="s">
        <v>631</v>
      </c>
      <c r="B275" s="175"/>
      <c r="C275" s="175"/>
      <c r="D275" s="175"/>
      <c r="E275" s="175"/>
      <c r="F275" s="175"/>
      <c r="G275" s="175"/>
    </row>
    <row r="276" spans="1:7" ht="15.75" customHeight="1" x14ac:dyDescent="0.3">
      <c r="A276" s="175" t="s">
        <v>636</v>
      </c>
      <c r="B276" s="175"/>
      <c r="C276" s="175"/>
      <c r="D276" s="175"/>
      <c r="E276" s="175"/>
      <c r="F276" s="175"/>
      <c r="G276" s="175"/>
    </row>
    <row r="277" spans="1:7" ht="15.75" customHeight="1" x14ac:dyDescent="0.3">
      <c r="A277" s="175" t="s">
        <v>637</v>
      </c>
      <c r="B277" s="175"/>
      <c r="C277" s="175"/>
      <c r="D277" s="175"/>
      <c r="E277" s="175"/>
      <c r="F277" s="175"/>
      <c r="G277" s="175"/>
    </row>
    <row r="278" spans="1:7" ht="15.75" customHeight="1" x14ac:dyDescent="0.3"/>
    <row r="279" spans="1:7" ht="15.75" customHeight="1" x14ac:dyDescent="0.3"/>
    <row r="280" spans="1:7" ht="15.75" customHeight="1" x14ac:dyDescent="0.3"/>
    <row r="281" spans="1:7" ht="15.75" customHeight="1" x14ac:dyDescent="0.3"/>
    <row r="282" spans="1:7" ht="15.75" customHeight="1" x14ac:dyDescent="0.3"/>
    <row r="283" spans="1:7" ht="15.75" customHeight="1" x14ac:dyDescent="0.3"/>
    <row r="284" spans="1:7" ht="15.75" customHeight="1" x14ac:dyDescent="0.3"/>
    <row r="285" spans="1:7" ht="15.75" customHeight="1" x14ac:dyDescent="0.3"/>
    <row r="286" spans="1:7" ht="15.75" customHeight="1" x14ac:dyDescent="0.3"/>
    <row r="287" spans="1:7" ht="15.75" customHeight="1" x14ac:dyDescent="0.3"/>
    <row r="288" spans="1:7"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8">
    <mergeCell ref="A1:F1"/>
    <mergeCell ref="A8:H8"/>
    <mergeCell ref="A15:F15"/>
    <mergeCell ref="A16:A17"/>
    <mergeCell ref="B16:E16"/>
    <mergeCell ref="F16:F17"/>
    <mergeCell ref="A28:H28"/>
    <mergeCell ref="A45:C45"/>
    <mergeCell ref="A46:C46"/>
    <mergeCell ref="A47:C47"/>
    <mergeCell ref="A48:C48"/>
    <mergeCell ref="A57:L57"/>
    <mergeCell ref="B58:C58"/>
    <mergeCell ref="A73:K73"/>
    <mergeCell ref="B176:J176"/>
    <mergeCell ref="B185:F185"/>
    <mergeCell ref="A85:G85"/>
    <mergeCell ref="A102:M102"/>
    <mergeCell ref="A116:H116"/>
    <mergeCell ref="A129:K129"/>
    <mergeCell ref="A141:D141"/>
    <mergeCell ref="A142:D142"/>
    <mergeCell ref="A143:D143"/>
    <mergeCell ref="B186:F186"/>
    <mergeCell ref="A204:I204"/>
    <mergeCell ref="A205:I205"/>
    <mergeCell ref="A206:E206"/>
    <mergeCell ref="A228:F228"/>
  </mergeCells>
  <pageMargins left="0.75" right="0.75" top="1" bottom="1"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2" zoomScale="115" zoomScaleNormal="115" workbookViewId="0">
      <selection activeCell="D36" sqref="D36"/>
    </sheetView>
  </sheetViews>
  <sheetFormatPr defaultColWidth="11.19921875" defaultRowHeight="15" customHeight="1" x14ac:dyDescent="0.3"/>
  <cols>
    <col min="1" max="1" width="11.09765625" customWidth="1"/>
    <col min="2" max="2" width="10.09765625" customWidth="1"/>
    <col min="3" max="3" width="18.19921875" customWidth="1"/>
    <col min="4" max="4" width="25.3984375" customWidth="1"/>
    <col min="5" max="5" width="10.09765625" customWidth="1"/>
    <col min="6" max="6" width="25.09765625" customWidth="1"/>
    <col min="7" max="7" width="16.09765625" bestFit="1" customWidth="1"/>
    <col min="8" max="26" width="9" customWidth="1"/>
  </cols>
  <sheetData>
    <row r="1" spans="1:26" ht="17.399999999999999" x14ac:dyDescent="0.3">
      <c r="A1" s="171" t="s">
        <v>638</v>
      </c>
      <c r="B1" s="1"/>
      <c r="C1" s="1"/>
      <c r="D1" s="1"/>
      <c r="E1" s="1"/>
      <c r="F1" s="1"/>
      <c r="G1" s="1"/>
      <c r="H1" s="1"/>
      <c r="I1" s="1"/>
      <c r="J1" s="1"/>
      <c r="K1" s="1"/>
      <c r="L1" s="1"/>
      <c r="M1" s="1"/>
      <c r="N1" s="1"/>
      <c r="O1" s="1"/>
      <c r="P1" s="1"/>
      <c r="Q1" s="1"/>
      <c r="R1" s="1"/>
      <c r="S1" s="1"/>
      <c r="T1" s="1"/>
      <c r="U1" s="1"/>
      <c r="V1" s="1"/>
      <c r="W1" s="1"/>
      <c r="X1" s="1"/>
      <c r="Y1" s="1"/>
      <c r="Z1" s="1"/>
    </row>
    <row r="2" spans="1:26" ht="31.2" x14ac:dyDescent="0.3">
      <c r="A2" s="180" t="s">
        <v>639</v>
      </c>
      <c r="B2" s="181" t="s">
        <v>640</v>
      </c>
      <c r="C2" s="181" t="s">
        <v>641</v>
      </c>
      <c r="D2" s="181" t="s">
        <v>642</v>
      </c>
      <c r="E2" s="181" t="s">
        <v>643</v>
      </c>
      <c r="F2" s="181" t="s">
        <v>644</v>
      </c>
      <c r="G2" s="1"/>
      <c r="H2" s="1"/>
      <c r="I2" s="1"/>
      <c r="J2" s="1"/>
      <c r="K2" s="1"/>
      <c r="L2" s="1"/>
      <c r="M2" s="1"/>
      <c r="N2" s="1"/>
      <c r="O2" s="1"/>
      <c r="P2" s="1"/>
      <c r="Q2" s="1"/>
      <c r="R2" s="1"/>
      <c r="S2" s="1"/>
      <c r="T2" s="1"/>
      <c r="U2" s="1"/>
      <c r="V2" s="1"/>
      <c r="W2" s="1"/>
      <c r="X2" s="1"/>
      <c r="Y2" s="1"/>
      <c r="Z2" s="1"/>
    </row>
    <row r="3" spans="1:26" ht="15.6" x14ac:dyDescent="0.3">
      <c r="A3" s="182">
        <v>36500</v>
      </c>
      <c r="B3" s="183">
        <f t="shared" ref="B3:B6" si="0">DAY(A3)</f>
        <v>6</v>
      </c>
      <c r="C3" s="184">
        <f t="shared" ref="C3:C6" si="1">MONTH(A3)</f>
        <v>12</v>
      </c>
      <c r="D3" s="184">
        <f t="shared" ref="D3:D6" si="2">YEAR(A3)</f>
        <v>1999</v>
      </c>
      <c r="E3" s="184">
        <f t="shared" ref="E3:E6" si="3">WEEKDAY(A3)</f>
        <v>2</v>
      </c>
      <c r="F3" s="185">
        <f>DATE(D3,C3,B3)</f>
        <v>36500</v>
      </c>
      <c r="G3" s="1"/>
      <c r="H3" s="1"/>
      <c r="I3" s="1"/>
      <c r="J3" s="1"/>
      <c r="K3" s="1"/>
      <c r="L3" s="1"/>
      <c r="M3" s="1"/>
      <c r="N3" s="1"/>
      <c r="O3" s="1"/>
      <c r="P3" s="1"/>
      <c r="Q3" s="1"/>
      <c r="R3" s="1"/>
      <c r="S3" s="1"/>
      <c r="T3" s="1"/>
      <c r="U3" s="1"/>
      <c r="V3" s="1"/>
      <c r="W3" s="1"/>
      <c r="X3" s="1"/>
      <c r="Y3" s="1"/>
      <c r="Z3" s="1"/>
    </row>
    <row r="4" spans="1:26" ht="15.6" x14ac:dyDescent="0.3">
      <c r="A4" s="182">
        <v>38500</v>
      </c>
      <c r="B4" s="183">
        <f t="shared" si="0"/>
        <v>28</v>
      </c>
      <c r="C4" s="184">
        <f t="shared" si="1"/>
        <v>5</v>
      </c>
      <c r="D4" s="184">
        <f t="shared" si="2"/>
        <v>2005</v>
      </c>
      <c r="E4" s="184">
        <f t="shared" si="3"/>
        <v>7</v>
      </c>
      <c r="F4" s="185">
        <f t="shared" ref="F4:F6" si="4">DATE(D4,C4,B4)</f>
        <v>38500</v>
      </c>
      <c r="G4" s="1"/>
      <c r="H4" s="1"/>
      <c r="I4" s="1"/>
      <c r="J4" s="1"/>
      <c r="K4" s="1"/>
      <c r="L4" s="1"/>
      <c r="M4" s="1"/>
      <c r="N4" s="1"/>
      <c r="O4" s="1"/>
      <c r="P4" s="1"/>
      <c r="Q4" s="1"/>
      <c r="R4" s="1"/>
      <c r="S4" s="1"/>
      <c r="T4" s="1"/>
      <c r="U4" s="1"/>
      <c r="V4" s="1"/>
      <c r="W4" s="1"/>
      <c r="X4" s="1"/>
      <c r="Y4" s="1"/>
      <c r="Z4" s="1"/>
    </row>
    <row r="5" spans="1:26" ht="15.6" x14ac:dyDescent="0.3">
      <c r="A5" s="182">
        <v>39000</v>
      </c>
      <c r="B5" s="183">
        <f t="shared" si="0"/>
        <v>10</v>
      </c>
      <c r="C5" s="184">
        <f t="shared" si="1"/>
        <v>10</v>
      </c>
      <c r="D5" s="184">
        <f t="shared" si="2"/>
        <v>2006</v>
      </c>
      <c r="E5" s="184">
        <f t="shared" si="3"/>
        <v>3</v>
      </c>
      <c r="F5" s="185">
        <f t="shared" si="4"/>
        <v>39000</v>
      </c>
      <c r="G5" s="1"/>
      <c r="H5" s="1"/>
      <c r="I5" s="1"/>
      <c r="J5" s="1"/>
      <c r="K5" s="1"/>
      <c r="L5" s="1"/>
      <c r="M5" s="1"/>
      <c r="N5" s="1"/>
      <c r="O5" s="1"/>
      <c r="P5" s="1"/>
      <c r="Q5" s="1"/>
      <c r="R5" s="1"/>
      <c r="S5" s="1"/>
      <c r="T5" s="1"/>
      <c r="U5" s="1"/>
      <c r="V5" s="1"/>
      <c r="W5" s="1"/>
      <c r="X5" s="1"/>
      <c r="Y5" s="1"/>
      <c r="Z5" s="1"/>
    </row>
    <row r="6" spans="1:26" ht="15.6" x14ac:dyDescent="0.3">
      <c r="A6" s="182">
        <v>40000</v>
      </c>
      <c r="B6" s="183">
        <f t="shared" si="0"/>
        <v>6</v>
      </c>
      <c r="C6" s="184">
        <f t="shared" si="1"/>
        <v>7</v>
      </c>
      <c r="D6" s="184">
        <f t="shared" si="2"/>
        <v>2009</v>
      </c>
      <c r="E6" s="184">
        <f t="shared" si="3"/>
        <v>2</v>
      </c>
      <c r="F6" s="185">
        <f t="shared" si="4"/>
        <v>40000</v>
      </c>
      <c r="G6" s="1"/>
      <c r="H6" s="1"/>
      <c r="I6" s="1"/>
      <c r="J6" s="1"/>
      <c r="K6" s="1"/>
      <c r="L6" s="1"/>
      <c r="M6" s="1"/>
      <c r="N6" s="1"/>
      <c r="O6" s="1"/>
      <c r="P6" s="1"/>
      <c r="Q6" s="1"/>
      <c r="R6" s="1"/>
      <c r="S6" s="1"/>
      <c r="T6" s="1"/>
      <c r="U6" s="1"/>
      <c r="V6" s="1"/>
      <c r="W6" s="1"/>
      <c r="X6" s="1"/>
      <c r="Y6" s="1"/>
      <c r="Z6" s="1"/>
    </row>
    <row r="7" spans="1:26" ht="15.6" x14ac:dyDescent="0.3">
      <c r="A7" s="1"/>
      <c r="B7" s="186"/>
      <c r="C7" s="1"/>
      <c r="D7" s="1"/>
      <c r="E7" s="1"/>
      <c r="F7" s="1"/>
      <c r="G7" s="1"/>
      <c r="H7" s="1"/>
      <c r="I7" s="1"/>
      <c r="J7" s="1"/>
      <c r="K7" s="1"/>
      <c r="L7" s="1"/>
      <c r="M7" s="1"/>
      <c r="N7" s="1"/>
      <c r="O7" s="1"/>
      <c r="P7" s="1"/>
      <c r="Q7" s="1"/>
      <c r="R7" s="1"/>
      <c r="S7" s="1"/>
      <c r="T7" s="1"/>
      <c r="U7" s="1"/>
      <c r="V7" s="1"/>
      <c r="W7" s="1"/>
      <c r="X7" s="1"/>
      <c r="Y7" s="1"/>
      <c r="Z7" s="1"/>
    </row>
    <row r="8" spans="1:26" ht="15.6" x14ac:dyDescent="0.3">
      <c r="A8" s="187" t="s">
        <v>645</v>
      </c>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1"/>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35.25" customHeight="1" x14ac:dyDescent="0.3">
      <c r="A11" s="188" t="s">
        <v>646</v>
      </c>
      <c r="B11" s="188" t="s">
        <v>647</v>
      </c>
      <c r="C11" s="188" t="s">
        <v>648</v>
      </c>
      <c r="D11" s="188" t="s">
        <v>649</v>
      </c>
      <c r="E11" s="444" t="s">
        <v>650</v>
      </c>
      <c r="F11" s="445"/>
      <c r="G11" s="1"/>
      <c r="H11" s="1"/>
      <c r="I11" s="1"/>
      <c r="J11" s="1"/>
      <c r="K11" s="1"/>
      <c r="L11" s="1"/>
      <c r="M11" s="1"/>
      <c r="N11" s="1"/>
      <c r="O11" s="1"/>
      <c r="P11" s="1"/>
      <c r="Q11" s="1"/>
      <c r="R11" s="1"/>
      <c r="S11" s="1"/>
      <c r="T11" s="1"/>
      <c r="U11" s="1"/>
      <c r="V11" s="1"/>
      <c r="W11" s="1"/>
      <c r="X11" s="1"/>
      <c r="Y11" s="1"/>
      <c r="Z11" s="1"/>
    </row>
    <row r="12" spans="1:26" ht="15.6" x14ac:dyDescent="0.3">
      <c r="A12" s="178">
        <v>0.32</v>
      </c>
      <c r="B12" s="179">
        <f>SECOND(A12)</f>
        <v>48</v>
      </c>
      <c r="C12" s="179">
        <f>MINUTE(A12)</f>
        <v>40</v>
      </c>
      <c r="D12" s="179">
        <f>HOUR(A12)</f>
        <v>7</v>
      </c>
      <c r="E12" s="446">
        <f>TIME(D12,C12,B12)</f>
        <v>0.32</v>
      </c>
      <c r="F12" s="445"/>
      <c r="G12" s="1"/>
      <c r="H12" s="1"/>
      <c r="I12" s="1"/>
      <c r="J12" s="1"/>
      <c r="K12" s="1"/>
      <c r="L12" s="1"/>
      <c r="M12" s="1"/>
      <c r="N12" s="1"/>
      <c r="O12" s="1"/>
      <c r="P12" s="1"/>
      <c r="Q12" s="1"/>
      <c r="R12" s="1"/>
      <c r="S12" s="1"/>
      <c r="T12" s="1"/>
      <c r="U12" s="1"/>
      <c r="V12" s="1"/>
      <c r="W12" s="1"/>
      <c r="X12" s="1"/>
      <c r="Y12" s="1"/>
      <c r="Z12" s="1"/>
    </row>
    <row r="13" spans="1:26" ht="15.6" x14ac:dyDescent="0.3">
      <c r="A13" s="178">
        <v>0.75</v>
      </c>
      <c r="B13" s="179">
        <f t="shared" ref="B13:B15" si="5">SECOND(A13)</f>
        <v>0</v>
      </c>
      <c r="C13" s="179">
        <f t="shared" ref="C13:C15" si="6">MINUTE(A13)</f>
        <v>0</v>
      </c>
      <c r="D13" s="179">
        <f t="shared" ref="D13:D15" si="7">HOUR(A13)</f>
        <v>18</v>
      </c>
      <c r="E13" s="446">
        <f t="shared" ref="E13:E15" si="8">TIME(D13,C13,B13)</f>
        <v>0.75</v>
      </c>
      <c r="F13" s="445"/>
      <c r="G13" s="1"/>
      <c r="H13" s="1"/>
      <c r="I13" s="1"/>
      <c r="J13" s="1"/>
      <c r="K13" s="1"/>
      <c r="L13" s="1"/>
      <c r="M13" s="1"/>
      <c r="N13" s="1"/>
      <c r="O13" s="1"/>
      <c r="P13" s="1"/>
      <c r="Q13" s="1"/>
      <c r="R13" s="1"/>
      <c r="S13" s="1"/>
      <c r="T13" s="1"/>
      <c r="U13" s="1"/>
      <c r="V13" s="1"/>
      <c r="W13" s="1"/>
      <c r="X13" s="1"/>
      <c r="Y13" s="1"/>
      <c r="Z13" s="1"/>
    </row>
    <row r="14" spans="1:26" ht="15.6" x14ac:dyDescent="0.3">
      <c r="A14" s="178">
        <v>0.64</v>
      </c>
      <c r="B14" s="179">
        <f t="shared" si="5"/>
        <v>36</v>
      </c>
      <c r="C14" s="179">
        <f t="shared" si="6"/>
        <v>21</v>
      </c>
      <c r="D14" s="179">
        <f t="shared" si="7"/>
        <v>15</v>
      </c>
      <c r="E14" s="446">
        <f t="shared" si="8"/>
        <v>0.64</v>
      </c>
      <c r="F14" s="445"/>
      <c r="G14" s="1"/>
      <c r="H14" s="1"/>
      <c r="I14" s="1"/>
      <c r="J14" s="1"/>
      <c r="K14" s="1"/>
      <c r="L14" s="1"/>
      <c r="M14" s="1"/>
      <c r="N14" s="1"/>
      <c r="O14" s="1"/>
      <c r="P14" s="1"/>
      <c r="Q14" s="1"/>
      <c r="R14" s="1"/>
      <c r="S14" s="1"/>
      <c r="T14" s="1"/>
      <c r="U14" s="1"/>
      <c r="V14" s="1"/>
      <c r="W14" s="1"/>
      <c r="X14" s="1"/>
      <c r="Y14" s="1"/>
      <c r="Z14" s="1"/>
    </row>
    <row r="15" spans="1:26" ht="15.6" x14ac:dyDescent="0.3">
      <c r="A15" s="178">
        <v>0.45</v>
      </c>
      <c r="B15" s="179">
        <f t="shared" si="5"/>
        <v>0</v>
      </c>
      <c r="C15" s="179">
        <f t="shared" si="6"/>
        <v>48</v>
      </c>
      <c r="D15" s="179">
        <f t="shared" si="7"/>
        <v>10</v>
      </c>
      <c r="E15" s="446">
        <f t="shared" si="8"/>
        <v>0.45</v>
      </c>
      <c r="F15" s="445"/>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87" t="s">
        <v>651</v>
      </c>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37" t="s">
        <v>652</v>
      </c>
      <c r="B21" s="37" t="s">
        <v>653</v>
      </c>
      <c r="C21" s="37" t="s">
        <v>654</v>
      </c>
      <c r="D21" s="37" t="s">
        <v>655</v>
      </c>
      <c r="E21" s="37" t="s">
        <v>656</v>
      </c>
      <c r="F21" s="37" t="s">
        <v>657</v>
      </c>
      <c r="G21" s="37" t="s">
        <v>658</v>
      </c>
      <c r="H21" s="37" t="s">
        <v>335</v>
      </c>
      <c r="I21" s="1"/>
      <c r="J21" s="1"/>
      <c r="K21" s="1"/>
      <c r="L21" s="1"/>
      <c r="M21" s="1"/>
      <c r="N21" s="1"/>
      <c r="O21" s="1"/>
      <c r="P21" s="1"/>
      <c r="Q21" s="1"/>
      <c r="R21" s="1"/>
      <c r="S21" s="1"/>
      <c r="T21" s="1"/>
      <c r="U21" s="1"/>
      <c r="V21" s="1"/>
      <c r="W21" s="1"/>
      <c r="X21" s="1"/>
      <c r="Y21" s="1"/>
      <c r="Z21" s="1"/>
    </row>
    <row r="22" spans="1:26" ht="15.75" customHeight="1" x14ac:dyDescent="0.3">
      <c r="A22" s="37"/>
      <c r="B22" s="37" t="s">
        <v>562</v>
      </c>
      <c r="C22" s="37" t="s">
        <v>659</v>
      </c>
      <c r="D22" s="386">
        <v>39138</v>
      </c>
      <c r="E22" s="37">
        <v>1600</v>
      </c>
      <c r="F22" s="45">
        <f>IF(OR(MONTH(D22)=1,MONTH(D22)=2,MONTH(D22)=3),98%*(E22+10%*E22),E22+E22*10%)</f>
        <v>1724.8</v>
      </c>
      <c r="G22" s="37">
        <v>3</v>
      </c>
      <c r="H22" s="37"/>
      <c r="I22" s="1"/>
      <c r="J22" s="1"/>
      <c r="K22" s="1"/>
      <c r="L22" s="1"/>
      <c r="M22" s="1"/>
      <c r="N22" s="1"/>
      <c r="O22" s="1"/>
      <c r="P22" s="1"/>
      <c r="Q22" s="1"/>
      <c r="R22" s="1"/>
      <c r="S22" s="1"/>
      <c r="T22" s="1"/>
      <c r="U22" s="1"/>
      <c r="V22" s="1"/>
      <c r="W22" s="1"/>
      <c r="X22" s="1"/>
      <c r="Y22" s="1"/>
      <c r="Z22" s="1"/>
    </row>
    <row r="23" spans="1:26" ht="15.75" customHeight="1" x14ac:dyDescent="0.3">
      <c r="A23" s="37"/>
      <c r="B23" s="37" t="s">
        <v>660</v>
      </c>
      <c r="C23" s="37" t="s">
        <v>661</v>
      </c>
      <c r="D23" s="386">
        <v>38968</v>
      </c>
      <c r="E23" s="37">
        <v>1850</v>
      </c>
      <c r="F23" s="45">
        <f t="shared" ref="F23:F28" si="9">IF(OR(MONTH(D23)=1,MONTH(D23)=2,MONTH(D23)=3),98%*(E23+10%*E23),E23+E23*10%)</f>
        <v>2035</v>
      </c>
      <c r="G23" s="37">
        <v>5</v>
      </c>
      <c r="H23" s="37"/>
      <c r="I23" s="1"/>
      <c r="J23" s="1"/>
      <c r="K23" s="1"/>
      <c r="L23" s="1"/>
      <c r="M23" s="1"/>
      <c r="N23" s="1"/>
      <c r="O23" s="1"/>
      <c r="P23" s="1"/>
      <c r="Q23" s="1"/>
      <c r="R23" s="1"/>
      <c r="S23" s="1"/>
      <c r="T23" s="1"/>
      <c r="U23" s="1"/>
      <c r="V23" s="1"/>
      <c r="W23" s="1"/>
      <c r="X23" s="1"/>
      <c r="Y23" s="1"/>
      <c r="Z23" s="1"/>
    </row>
    <row r="24" spans="1:26" ht="15.75" customHeight="1" x14ac:dyDescent="0.3">
      <c r="A24" s="37"/>
      <c r="B24" s="37" t="s">
        <v>662</v>
      </c>
      <c r="C24" s="37" t="s">
        <v>663</v>
      </c>
      <c r="D24" s="386">
        <v>39164</v>
      </c>
      <c r="E24" s="37">
        <v>1900</v>
      </c>
      <c r="F24" s="45">
        <f t="shared" si="9"/>
        <v>2048.1999999999998</v>
      </c>
      <c r="G24" s="37">
        <v>4</v>
      </c>
      <c r="H24" s="37"/>
      <c r="I24" s="1"/>
      <c r="J24" s="1"/>
      <c r="K24" s="1"/>
      <c r="L24" s="1"/>
      <c r="M24" s="1"/>
      <c r="N24" s="1"/>
      <c r="O24" s="1"/>
      <c r="P24" s="1"/>
      <c r="Q24" s="1"/>
      <c r="R24" s="1"/>
      <c r="S24" s="1"/>
      <c r="T24" s="1"/>
      <c r="U24" s="1"/>
      <c r="V24" s="1"/>
      <c r="W24" s="1"/>
      <c r="X24" s="1"/>
      <c r="Y24" s="1"/>
      <c r="Z24" s="1"/>
    </row>
    <row r="25" spans="1:26" ht="15.75" customHeight="1" x14ac:dyDescent="0.3">
      <c r="A25" s="37"/>
      <c r="B25" s="37" t="s">
        <v>664</v>
      </c>
      <c r="C25" s="37" t="s">
        <v>665</v>
      </c>
      <c r="D25" s="386">
        <v>39188</v>
      </c>
      <c r="E25" s="37">
        <v>1850</v>
      </c>
      <c r="F25" s="45">
        <f t="shared" si="9"/>
        <v>2035</v>
      </c>
      <c r="G25" s="37">
        <v>5</v>
      </c>
      <c r="H25" s="37"/>
      <c r="I25" s="1"/>
      <c r="J25" s="1"/>
      <c r="K25" s="1"/>
      <c r="L25" s="1"/>
      <c r="M25" s="1"/>
      <c r="N25" s="1"/>
      <c r="O25" s="1"/>
      <c r="P25" s="1"/>
      <c r="Q25" s="1"/>
      <c r="R25" s="1"/>
      <c r="S25" s="1"/>
      <c r="T25" s="1"/>
      <c r="U25" s="1"/>
      <c r="V25" s="1"/>
      <c r="W25" s="1"/>
      <c r="X25" s="1"/>
      <c r="Y25" s="1"/>
      <c r="Z25" s="1"/>
    </row>
    <row r="26" spans="1:26" ht="15.75" customHeight="1" x14ac:dyDescent="0.3">
      <c r="A26" s="37"/>
      <c r="B26" s="37" t="s">
        <v>662</v>
      </c>
      <c r="C26" s="37" t="s">
        <v>666</v>
      </c>
      <c r="D26" s="386">
        <v>39025</v>
      </c>
      <c r="E26" s="37">
        <v>1900</v>
      </c>
      <c r="F26" s="45">
        <f t="shared" si="9"/>
        <v>2090</v>
      </c>
      <c r="G26" s="37">
        <v>4</v>
      </c>
      <c r="H26" s="37"/>
      <c r="I26" s="1"/>
      <c r="J26" s="1"/>
      <c r="K26" s="1"/>
      <c r="L26" s="1"/>
      <c r="M26" s="1"/>
      <c r="N26" s="1"/>
      <c r="O26" s="1"/>
      <c r="P26" s="1"/>
      <c r="Q26" s="1"/>
      <c r="R26" s="1"/>
      <c r="S26" s="1"/>
      <c r="T26" s="1"/>
      <c r="U26" s="1"/>
      <c r="V26" s="1"/>
      <c r="W26" s="1"/>
      <c r="X26" s="1"/>
      <c r="Y26" s="1"/>
      <c r="Z26" s="1"/>
    </row>
    <row r="27" spans="1:26" ht="15.75" customHeight="1" x14ac:dyDescent="0.3">
      <c r="A27" s="37"/>
      <c r="B27" s="37" t="s">
        <v>568</v>
      </c>
      <c r="C27" s="37" t="s">
        <v>667</v>
      </c>
      <c r="D27" s="386">
        <v>39908</v>
      </c>
      <c r="E27" s="37">
        <v>1600</v>
      </c>
      <c r="F27" s="45">
        <f t="shared" si="9"/>
        <v>1760</v>
      </c>
      <c r="G27" s="37">
        <v>3</v>
      </c>
      <c r="H27" s="37"/>
      <c r="I27" s="1"/>
      <c r="J27" s="1"/>
      <c r="K27" s="1"/>
      <c r="L27" s="1"/>
      <c r="M27" s="1"/>
      <c r="N27" s="1"/>
      <c r="O27" s="1"/>
      <c r="P27" s="1"/>
      <c r="Q27" s="1"/>
      <c r="R27" s="1"/>
      <c r="S27" s="1"/>
      <c r="T27" s="1"/>
      <c r="U27" s="1"/>
      <c r="V27" s="1"/>
      <c r="W27" s="1"/>
      <c r="X27" s="1"/>
      <c r="Y27" s="1"/>
      <c r="Z27" s="1"/>
    </row>
    <row r="28" spans="1:26" ht="15.75" customHeight="1" x14ac:dyDescent="0.3">
      <c r="A28" s="37"/>
      <c r="B28" s="37" t="s">
        <v>664</v>
      </c>
      <c r="C28" s="37" t="s">
        <v>668</v>
      </c>
      <c r="D28" s="386">
        <v>38539</v>
      </c>
      <c r="E28" s="37">
        <v>1850</v>
      </c>
      <c r="F28" s="45">
        <f t="shared" si="9"/>
        <v>2035</v>
      </c>
      <c r="G28" s="37">
        <v>5</v>
      </c>
      <c r="H28" s="37"/>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t="s">
        <v>669</v>
      </c>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t="s">
        <v>670</v>
      </c>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442"/>
      <c r="B33" s="443"/>
      <c r="C33" s="443"/>
      <c r="D33" s="443"/>
      <c r="E33" s="1"/>
      <c r="F33" s="1"/>
      <c r="G33" s="1"/>
      <c r="H33" s="1"/>
      <c r="I33" s="1"/>
      <c r="J33" s="1"/>
      <c r="K33" s="1"/>
      <c r="L33" s="1"/>
      <c r="M33" s="1"/>
      <c r="N33" s="1"/>
      <c r="O33" s="1"/>
      <c r="P33" s="1"/>
      <c r="Q33" s="1"/>
      <c r="R33" s="1"/>
      <c r="S33" s="1"/>
      <c r="T33" s="1"/>
      <c r="U33" s="1"/>
      <c r="V33" s="1"/>
      <c r="W33" s="1"/>
      <c r="X33" s="1"/>
      <c r="Y33" s="1"/>
      <c r="Z33" s="1"/>
    </row>
    <row r="34" spans="1:26" ht="15.75" customHeight="1" thickBot="1" x14ac:dyDescent="0.35">
      <c r="A34" s="172" t="s">
        <v>671</v>
      </c>
      <c r="B34" s="172" t="s">
        <v>672</v>
      </c>
      <c r="C34" s="172" t="s">
        <v>673</v>
      </c>
      <c r="D34" s="172" t="s">
        <v>674</v>
      </c>
      <c r="E34" s="1"/>
      <c r="F34" s="1"/>
      <c r="G34" s="1"/>
      <c r="H34" s="1"/>
      <c r="I34" s="1"/>
      <c r="J34" s="1"/>
      <c r="K34" s="1"/>
      <c r="L34" s="1"/>
      <c r="M34" s="1"/>
      <c r="N34" s="1"/>
      <c r="O34" s="1"/>
      <c r="P34" s="1"/>
      <c r="Q34" s="1"/>
      <c r="R34" s="1"/>
      <c r="S34" s="1"/>
      <c r="T34" s="1"/>
      <c r="U34" s="1"/>
      <c r="V34" s="1"/>
      <c r="W34" s="1"/>
      <c r="X34" s="1"/>
      <c r="Y34" s="1"/>
      <c r="Z34" s="1"/>
    </row>
    <row r="35" spans="1:26" ht="15.75" customHeight="1" thickBot="1" x14ac:dyDescent="0.35">
      <c r="A35" s="189">
        <v>38895</v>
      </c>
      <c r="B35" s="190">
        <f>WEEKDAY(A35)</f>
        <v>3</v>
      </c>
      <c r="C35" s="617">
        <f>DAY(DATE(YEAR(A35),MONTH(A35)+1,1)-1)</f>
        <v>30</v>
      </c>
      <c r="D35" s="618" t="s">
        <v>1320</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9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92" t="s">
        <v>631</v>
      </c>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75" t="s">
        <v>675</v>
      </c>
      <c r="B38" s="175"/>
      <c r="C38" s="175"/>
      <c r="D38" s="175"/>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75" t="s">
        <v>676</v>
      </c>
      <c r="B39" s="175"/>
      <c r="C39" s="175"/>
      <c r="D39" s="175"/>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75" t="s">
        <v>677</v>
      </c>
      <c r="B40" s="175"/>
      <c r="C40" s="175"/>
      <c r="D40" s="175"/>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75" t="s">
        <v>678</v>
      </c>
      <c r="B41" s="175"/>
      <c r="C41" s="175"/>
      <c r="D41" s="175"/>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33:D33"/>
    <mergeCell ref="E11:F11"/>
    <mergeCell ref="E12:F12"/>
    <mergeCell ref="E13:F13"/>
    <mergeCell ref="E14:F14"/>
    <mergeCell ref="E15:F15"/>
  </mergeCells>
  <pageMargins left="0.75" right="0.75" top="1" bottom="1"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Normal="100" workbookViewId="0">
      <selection activeCell="H12" sqref="H12"/>
    </sheetView>
  </sheetViews>
  <sheetFormatPr defaultColWidth="11.19921875" defaultRowHeight="15" customHeight="1" x14ac:dyDescent="0.3"/>
  <cols>
    <col min="1" max="1" width="13.09765625" customWidth="1"/>
    <col min="2" max="2" width="15.19921875" customWidth="1"/>
    <col min="3" max="3" width="15.59765625" customWidth="1"/>
    <col min="4" max="4" width="36.09765625" customWidth="1"/>
    <col min="5" max="6" width="8.59765625" customWidth="1"/>
    <col min="7" max="7" width="13.8984375" bestFit="1" customWidth="1"/>
    <col min="8" max="9" width="10.5" bestFit="1" customWidth="1"/>
    <col min="10" max="26" width="8.59765625" customWidth="1"/>
  </cols>
  <sheetData>
    <row r="1" spans="1:26" ht="17.399999999999999" x14ac:dyDescent="0.3">
      <c r="A1" s="442" t="s">
        <v>679</v>
      </c>
      <c r="B1" s="443"/>
      <c r="C1" s="443"/>
      <c r="D1" s="443"/>
      <c r="E1" s="443"/>
      <c r="F1" s="443"/>
      <c r="G1" s="443"/>
      <c r="H1" s="443"/>
      <c r="I1" s="443"/>
    </row>
    <row r="2" spans="1:26" ht="15.6" x14ac:dyDescent="0.3">
      <c r="A2" s="178" t="s">
        <v>680</v>
      </c>
      <c r="B2" s="178" t="s">
        <v>681</v>
      </c>
      <c r="C2" s="178" t="s">
        <v>682</v>
      </c>
      <c r="D2" s="178" t="s">
        <v>683</v>
      </c>
      <c r="E2" s="178" t="s">
        <v>267</v>
      </c>
      <c r="F2" s="178" t="s">
        <v>684</v>
      </c>
      <c r="G2" s="178" t="s">
        <v>685</v>
      </c>
      <c r="H2" s="178" t="s">
        <v>686</v>
      </c>
      <c r="I2" s="178" t="s">
        <v>687</v>
      </c>
    </row>
    <row r="3" spans="1:26" ht="15.6" x14ac:dyDescent="0.3">
      <c r="A3" s="172" t="s">
        <v>688</v>
      </c>
      <c r="B3" s="172" t="s">
        <v>689</v>
      </c>
      <c r="C3" s="193" t="str">
        <f t="shared" ref="C3:C6" si="0">RIGHT(B3,1)</f>
        <v>2</v>
      </c>
      <c r="D3" s="194" t="str">
        <f t="shared" ref="D3:D6" si="1">MID(B3,2,3)</f>
        <v>125</v>
      </c>
      <c r="E3" s="194" t="str">
        <f t="shared" ref="E3:E6" si="2">LEFT(B3,1)</f>
        <v>K</v>
      </c>
      <c r="F3" s="178">
        <v>80000</v>
      </c>
      <c r="G3" s="178">
        <v>15</v>
      </c>
      <c r="H3" s="195"/>
      <c r="I3" s="196"/>
    </row>
    <row r="4" spans="1:26" ht="15.6" x14ac:dyDescent="0.3">
      <c r="A4" s="172" t="s">
        <v>690</v>
      </c>
      <c r="B4" s="172" t="s">
        <v>691</v>
      </c>
      <c r="C4" s="193" t="str">
        <f t="shared" si="0"/>
        <v>1</v>
      </c>
      <c r="D4" s="194" t="str">
        <f t="shared" si="1"/>
        <v>201</v>
      </c>
      <c r="E4" s="194" t="str">
        <f t="shared" si="2"/>
        <v>J</v>
      </c>
      <c r="F4" s="178">
        <v>200000</v>
      </c>
      <c r="G4" s="178">
        <v>24</v>
      </c>
      <c r="H4" s="195"/>
      <c r="I4" s="196"/>
    </row>
    <row r="5" spans="1:26" ht="15.6" x14ac:dyDescent="0.3">
      <c r="A5" s="172" t="s">
        <v>692</v>
      </c>
      <c r="B5" s="172" t="s">
        <v>693</v>
      </c>
      <c r="C5" s="193" t="str">
        <f t="shared" si="0"/>
        <v>2</v>
      </c>
      <c r="D5" s="194" t="str">
        <f t="shared" si="1"/>
        <v>098</v>
      </c>
      <c r="E5" s="194" t="str">
        <f t="shared" si="2"/>
        <v>J</v>
      </c>
      <c r="F5" s="178">
        <v>150000</v>
      </c>
      <c r="G5" s="178">
        <v>12</v>
      </c>
      <c r="H5" s="195"/>
      <c r="I5" s="196"/>
    </row>
    <row r="6" spans="1:26" ht="15.6" x14ac:dyDescent="0.3">
      <c r="A6" s="172" t="s">
        <v>694</v>
      </c>
      <c r="B6" s="172" t="s">
        <v>695</v>
      </c>
      <c r="C6" s="193" t="str">
        <f t="shared" si="0"/>
        <v>1</v>
      </c>
      <c r="D6" s="194" t="str">
        <f t="shared" si="1"/>
        <v>580</v>
      </c>
      <c r="E6" s="194" t="str">
        <f t="shared" si="2"/>
        <v>K</v>
      </c>
      <c r="F6" s="178">
        <v>120000</v>
      </c>
      <c r="G6" s="178">
        <v>30</v>
      </c>
      <c r="H6" s="195"/>
      <c r="I6" s="196"/>
    </row>
    <row r="8" spans="1:26" ht="15.6" x14ac:dyDescent="0.3">
      <c r="A8" s="175" t="s">
        <v>696</v>
      </c>
      <c r="B8" s="175"/>
      <c r="C8" s="175"/>
      <c r="D8" s="175"/>
      <c r="E8" s="175"/>
      <c r="F8" s="175"/>
      <c r="G8" s="175"/>
      <c r="H8" s="175"/>
      <c r="I8" s="175"/>
      <c r="J8" s="175"/>
      <c r="K8" s="1"/>
      <c r="L8" s="1"/>
      <c r="M8" s="1"/>
      <c r="N8" s="1"/>
      <c r="O8" s="1"/>
      <c r="P8" s="1"/>
      <c r="Q8" s="1"/>
      <c r="R8" s="1"/>
      <c r="S8" s="1"/>
      <c r="T8" s="1"/>
      <c r="U8" s="1"/>
      <c r="V8" s="1"/>
      <c r="W8" s="1"/>
      <c r="X8" s="1"/>
      <c r="Y8" s="1"/>
      <c r="Z8" s="1"/>
    </row>
    <row r="9" spans="1:26" ht="15.6" x14ac:dyDescent="0.3">
      <c r="A9" s="175" t="s">
        <v>697</v>
      </c>
      <c r="B9" s="175"/>
      <c r="C9" s="175"/>
      <c r="D9" s="175"/>
      <c r="E9" s="175"/>
      <c r="F9" s="175"/>
      <c r="G9" s="175"/>
      <c r="H9" s="175"/>
      <c r="I9" s="175"/>
      <c r="J9" s="175"/>
      <c r="K9" s="1"/>
      <c r="L9" s="1"/>
      <c r="M9" s="1"/>
      <c r="N9" s="1"/>
      <c r="O9" s="1"/>
      <c r="P9" s="1"/>
      <c r="Q9" s="1"/>
      <c r="R9" s="1"/>
      <c r="S9" s="1"/>
      <c r="T9" s="1"/>
      <c r="U9" s="1"/>
      <c r="V9" s="1"/>
      <c r="W9" s="1"/>
      <c r="X9" s="1"/>
      <c r="Y9" s="1"/>
      <c r="Z9" s="1"/>
    </row>
    <row r="10" spans="1:26" ht="15.6" x14ac:dyDescent="0.3">
      <c r="A10" s="175" t="s">
        <v>698</v>
      </c>
      <c r="B10" s="175"/>
      <c r="C10" s="175"/>
      <c r="D10" s="175"/>
      <c r="E10" s="175"/>
      <c r="F10" s="175"/>
      <c r="G10" s="175"/>
      <c r="H10" s="175"/>
      <c r="I10" s="175"/>
      <c r="J10" s="175"/>
    </row>
    <row r="14" spans="1:26" ht="15.6" x14ac:dyDescent="0.3">
      <c r="A14" s="455" t="s">
        <v>699</v>
      </c>
      <c r="B14" s="456"/>
      <c r="C14" s="456"/>
      <c r="D14" s="456"/>
      <c r="E14" s="456"/>
      <c r="F14" s="456"/>
      <c r="G14" s="456"/>
    </row>
    <row r="15" spans="1:26" ht="26.4" x14ac:dyDescent="0.3">
      <c r="A15" s="197" t="s">
        <v>700</v>
      </c>
      <c r="B15" s="198" t="s">
        <v>267</v>
      </c>
      <c r="C15" s="199" t="s">
        <v>701</v>
      </c>
      <c r="D15" s="199" t="s">
        <v>702</v>
      </c>
      <c r="E15" s="199" t="s">
        <v>703</v>
      </c>
      <c r="F15" s="199" t="s">
        <v>293</v>
      </c>
      <c r="G15" s="200" t="s">
        <v>304</v>
      </c>
    </row>
    <row r="16" spans="1:26" ht="15.6" x14ac:dyDescent="0.3">
      <c r="A16" s="201" t="s">
        <v>704</v>
      </c>
      <c r="B16" s="202" t="str">
        <f t="shared" ref="B16:B23" si="3">LEFT(A16,2)</f>
        <v>TV</v>
      </c>
      <c r="C16" s="202" t="str">
        <f t="shared" ref="C16:C23" si="4">MID(A16,5,2)</f>
        <v>SN</v>
      </c>
      <c r="D16" s="203" t="str">
        <f t="shared" ref="D16:D23" si="5">MID(A16,3,2)&amp;"/2007"</f>
        <v>09/2007</v>
      </c>
      <c r="E16" s="202">
        <f t="shared" ref="E16:E23" si="6">VALUE(MID(A16,7,3))</f>
        <v>200</v>
      </c>
      <c r="F16" s="202">
        <f t="shared" ref="F16:F23" si="7">VALUE(RIGHT(A16,3))</f>
        <v>100</v>
      </c>
      <c r="G16" s="204">
        <f t="shared" ref="G16:G23" si="8">ROUND(F16*E16*16150,1)</f>
        <v>323000000</v>
      </c>
    </row>
    <row r="17" spans="1:7" ht="15.6" x14ac:dyDescent="0.3">
      <c r="A17" s="205" t="s">
        <v>705</v>
      </c>
      <c r="B17" s="202" t="str">
        <f t="shared" si="3"/>
        <v>ML</v>
      </c>
      <c r="C17" s="202" t="str">
        <f t="shared" si="4"/>
        <v>PN</v>
      </c>
      <c r="D17" s="203" t="str">
        <f t="shared" si="5"/>
        <v>08/2007</v>
      </c>
      <c r="E17" s="202">
        <f t="shared" si="6"/>
        <v>500</v>
      </c>
      <c r="F17" s="202">
        <f t="shared" si="7"/>
        <v>10</v>
      </c>
      <c r="G17" s="204">
        <f t="shared" si="8"/>
        <v>80750000</v>
      </c>
    </row>
    <row r="18" spans="1:7" ht="15.6" x14ac:dyDescent="0.3">
      <c r="A18" s="201" t="s">
        <v>706</v>
      </c>
      <c r="B18" s="202" t="str">
        <f t="shared" si="3"/>
        <v>TL</v>
      </c>
      <c r="C18" s="202" t="str">
        <f t="shared" si="4"/>
        <v>TB</v>
      </c>
      <c r="D18" s="203" t="str">
        <f t="shared" si="5"/>
        <v>07/2007</v>
      </c>
      <c r="E18" s="202">
        <f t="shared" si="6"/>
        <v>350</v>
      </c>
      <c r="F18" s="202">
        <f t="shared" si="7"/>
        <v>50</v>
      </c>
      <c r="G18" s="204">
        <f t="shared" si="8"/>
        <v>282625000</v>
      </c>
    </row>
    <row r="19" spans="1:7" ht="15.6" x14ac:dyDescent="0.3">
      <c r="A19" s="205" t="s">
        <v>707</v>
      </c>
      <c r="B19" s="202" t="str">
        <f t="shared" si="3"/>
        <v>MG</v>
      </c>
      <c r="C19" s="202" t="str">
        <f t="shared" si="4"/>
        <v>SY</v>
      </c>
      <c r="D19" s="203" t="str">
        <f t="shared" si="5"/>
        <v>09/2007</v>
      </c>
      <c r="E19" s="202">
        <f t="shared" si="6"/>
        <v>400</v>
      </c>
      <c r="F19" s="202">
        <f t="shared" si="7"/>
        <v>500</v>
      </c>
      <c r="G19" s="204">
        <f t="shared" si="8"/>
        <v>3230000000</v>
      </c>
    </row>
    <row r="20" spans="1:7" ht="15.6" x14ac:dyDescent="0.3">
      <c r="A20" s="201" t="s">
        <v>708</v>
      </c>
      <c r="B20" s="202" t="str">
        <f t="shared" si="3"/>
        <v>TV</v>
      </c>
      <c r="C20" s="202" t="str">
        <f t="shared" si="4"/>
        <v>PN</v>
      </c>
      <c r="D20" s="203" t="str">
        <f t="shared" si="5"/>
        <v>07/2007</v>
      </c>
      <c r="E20" s="202">
        <f t="shared" si="6"/>
        <v>250</v>
      </c>
      <c r="F20" s="202">
        <f t="shared" si="7"/>
        <v>200</v>
      </c>
      <c r="G20" s="204">
        <f t="shared" si="8"/>
        <v>807500000</v>
      </c>
    </row>
    <row r="21" spans="1:7" ht="15.75" customHeight="1" x14ac:dyDescent="0.3">
      <c r="A21" s="205" t="s">
        <v>709</v>
      </c>
      <c r="B21" s="202" t="str">
        <f t="shared" si="3"/>
        <v>VD</v>
      </c>
      <c r="C21" s="202" t="str">
        <f t="shared" si="4"/>
        <v>SN</v>
      </c>
      <c r="D21" s="203" t="str">
        <f t="shared" si="5"/>
        <v>08/2007</v>
      </c>
      <c r="E21" s="202">
        <f t="shared" si="6"/>
        <v>120</v>
      </c>
      <c r="F21" s="202">
        <f t="shared" si="7"/>
        <v>150</v>
      </c>
      <c r="G21" s="204">
        <f t="shared" si="8"/>
        <v>290700000</v>
      </c>
    </row>
    <row r="22" spans="1:7" ht="15.75" customHeight="1" x14ac:dyDescent="0.3">
      <c r="A22" s="201" t="s">
        <v>710</v>
      </c>
      <c r="B22" s="202" t="str">
        <f t="shared" si="3"/>
        <v>TL</v>
      </c>
      <c r="C22" s="202" t="str">
        <f t="shared" si="4"/>
        <v>EL</v>
      </c>
      <c r="D22" s="203" t="str">
        <f t="shared" si="5"/>
        <v>08/2007</v>
      </c>
      <c r="E22" s="202">
        <f t="shared" si="6"/>
        <v>500</v>
      </c>
      <c r="F22" s="202">
        <f t="shared" si="7"/>
        <v>10</v>
      </c>
      <c r="G22" s="204">
        <f t="shared" si="8"/>
        <v>80750000</v>
      </c>
    </row>
    <row r="23" spans="1:7" ht="15.75" customHeight="1" x14ac:dyDescent="0.3">
      <c r="A23" s="206" t="s">
        <v>711</v>
      </c>
      <c r="B23" s="202" t="str">
        <f t="shared" si="3"/>
        <v>TL</v>
      </c>
      <c r="C23" s="202" t="str">
        <f t="shared" si="4"/>
        <v>SP</v>
      </c>
      <c r="D23" s="203" t="str">
        <f t="shared" si="5"/>
        <v>07/2007</v>
      </c>
      <c r="E23" s="202">
        <f t="shared" si="6"/>
        <v>300</v>
      </c>
      <c r="F23" s="202">
        <f t="shared" si="7"/>
        <v>50</v>
      </c>
      <c r="G23" s="204">
        <f t="shared" si="8"/>
        <v>242250000</v>
      </c>
    </row>
    <row r="24" spans="1:7" ht="15.75" customHeight="1" x14ac:dyDescent="0.3"/>
    <row r="25" spans="1:7" ht="15.75" customHeight="1" x14ac:dyDescent="0.3">
      <c r="A25" s="207" t="s">
        <v>712</v>
      </c>
    </row>
    <row r="26" spans="1:7" ht="15.75" customHeight="1" x14ac:dyDescent="0.3">
      <c r="A26" s="208" t="s">
        <v>713</v>
      </c>
    </row>
    <row r="27" spans="1:7" ht="15.75" customHeight="1" x14ac:dyDescent="0.3">
      <c r="A27" s="208" t="s">
        <v>714</v>
      </c>
    </row>
    <row r="28" spans="1:7" ht="15.75" customHeight="1" x14ac:dyDescent="0.3">
      <c r="A28" s="208" t="s">
        <v>715</v>
      </c>
    </row>
    <row r="29" spans="1:7" ht="15.75" customHeight="1" x14ac:dyDescent="0.3">
      <c r="A29" s="208" t="s">
        <v>716</v>
      </c>
    </row>
    <row r="30" spans="1:7" ht="15.75" customHeight="1" x14ac:dyDescent="0.3">
      <c r="A30" s="208" t="s">
        <v>717</v>
      </c>
    </row>
    <row r="31" spans="1:7" ht="15.75" customHeight="1" x14ac:dyDescent="0.3">
      <c r="A31" s="208" t="s">
        <v>718</v>
      </c>
    </row>
    <row r="32" spans="1:7" ht="15.75" customHeight="1" x14ac:dyDescent="0.3"/>
    <row r="33" spans="1:6" ht="15.75" customHeight="1" x14ac:dyDescent="0.3"/>
    <row r="34" spans="1:6" ht="15.75" customHeight="1" x14ac:dyDescent="0.3">
      <c r="A34" s="457" t="s">
        <v>719</v>
      </c>
      <c r="B34" s="458"/>
      <c r="C34" s="458"/>
      <c r="D34" s="458"/>
      <c r="E34" s="458"/>
      <c r="F34" s="459"/>
    </row>
    <row r="35" spans="1:6" ht="15.75" customHeight="1" x14ac:dyDescent="0.3">
      <c r="A35" s="460" t="s">
        <v>720</v>
      </c>
      <c r="B35" s="461"/>
      <c r="C35" s="461"/>
      <c r="D35" s="461"/>
      <c r="E35" s="461"/>
      <c r="F35" s="462"/>
    </row>
    <row r="36" spans="1:6" ht="15.75" customHeight="1" x14ac:dyDescent="0.3">
      <c r="A36" s="209" t="s">
        <v>77</v>
      </c>
      <c r="B36" s="210" t="s">
        <v>721</v>
      </c>
      <c r="C36" s="210" t="s">
        <v>722</v>
      </c>
      <c r="D36" s="210" t="s">
        <v>723</v>
      </c>
      <c r="E36" s="210" t="s">
        <v>724</v>
      </c>
      <c r="F36" s="210" t="s">
        <v>725</v>
      </c>
    </row>
    <row r="37" spans="1:6" ht="15.75" customHeight="1" x14ac:dyDescent="0.3">
      <c r="A37" s="211">
        <v>1</v>
      </c>
      <c r="B37" s="212" t="s">
        <v>726</v>
      </c>
      <c r="C37" s="213" t="str">
        <f t="shared" ref="C37:C42" si="9">LEFT(B37,2)</f>
        <v>IN</v>
      </c>
      <c r="D37" s="213" t="str">
        <f t="shared" ref="D37:D42" si="10">MID(B37,5,2)&amp;"/"&amp;MID(B37,7,2)</f>
        <v>15/01</v>
      </c>
      <c r="E37" s="213" t="str">
        <f t="shared" ref="E37:E42" si="11">RIGHT(B37,4)</f>
        <v>L100</v>
      </c>
      <c r="F37" s="213" t="str">
        <f t="shared" ref="F37:F42" si="12">MID(B37,10,LEN(B37))</f>
        <v>010-L100</v>
      </c>
    </row>
    <row r="38" spans="1:6" ht="15.75" customHeight="1" x14ac:dyDescent="0.3">
      <c r="A38" s="211">
        <v>2</v>
      </c>
      <c r="B38" s="212" t="s">
        <v>727</v>
      </c>
      <c r="C38" s="213" t="str">
        <f t="shared" si="9"/>
        <v>IN</v>
      </c>
      <c r="D38" s="213" t="str">
        <f t="shared" si="10"/>
        <v>15/01</v>
      </c>
      <c r="E38" s="213" t="str">
        <f t="shared" si="11"/>
        <v>S500</v>
      </c>
      <c r="F38" s="213" t="str">
        <f t="shared" si="12"/>
        <v>011-S500</v>
      </c>
    </row>
    <row r="39" spans="1:6" ht="15.75" customHeight="1" x14ac:dyDescent="0.3">
      <c r="A39" s="211">
        <v>3</v>
      </c>
      <c r="B39" s="212" t="s">
        <v>728</v>
      </c>
      <c r="C39" s="213" t="str">
        <f t="shared" si="9"/>
        <v>TL</v>
      </c>
      <c r="D39" s="213" t="str">
        <f t="shared" si="10"/>
        <v>20/01</v>
      </c>
      <c r="E39" s="213" t="str">
        <f t="shared" si="11"/>
        <v>L100</v>
      </c>
      <c r="F39" s="213" t="str">
        <f t="shared" si="12"/>
        <v>22-L100</v>
      </c>
    </row>
    <row r="40" spans="1:6" ht="15.75" customHeight="1" x14ac:dyDescent="0.3">
      <c r="A40" s="211">
        <v>4</v>
      </c>
      <c r="B40" s="212" t="s">
        <v>729</v>
      </c>
      <c r="C40" s="213" t="str">
        <f t="shared" si="9"/>
        <v>TL</v>
      </c>
      <c r="D40" s="213" t="str">
        <f t="shared" si="10"/>
        <v>20/01</v>
      </c>
      <c r="E40" s="213" t="str">
        <f t="shared" si="11"/>
        <v>S500</v>
      </c>
      <c r="F40" s="213" t="str">
        <f t="shared" si="12"/>
        <v>23-S500</v>
      </c>
    </row>
    <row r="41" spans="1:6" ht="15.75" customHeight="1" x14ac:dyDescent="0.3">
      <c r="A41" s="211">
        <v>5</v>
      </c>
      <c r="B41" s="212" t="s">
        <v>730</v>
      </c>
      <c r="C41" s="213" t="str">
        <f t="shared" si="9"/>
        <v>TL</v>
      </c>
      <c r="D41" s="213" t="str">
        <f t="shared" si="10"/>
        <v>20/01</v>
      </c>
      <c r="E41" s="213" t="str">
        <f t="shared" si="11"/>
        <v>L300</v>
      </c>
      <c r="F41" s="213" t="str">
        <f t="shared" si="12"/>
        <v>49-L300</v>
      </c>
    </row>
    <row r="42" spans="1:6" ht="15.75" customHeight="1" x14ac:dyDescent="0.3">
      <c r="A42" s="214">
        <v>6</v>
      </c>
      <c r="B42" s="215" t="s">
        <v>731</v>
      </c>
      <c r="C42" s="213" t="str">
        <f t="shared" si="9"/>
        <v>TL</v>
      </c>
      <c r="D42" s="213" t="str">
        <f t="shared" si="10"/>
        <v>20/01</v>
      </c>
      <c r="E42" s="213" t="str">
        <f t="shared" si="11"/>
        <v>L500</v>
      </c>
      <c r="F42" s="213" t="str">
        <f t="shared" si="12"/>
        <v>50-L500</v>
      </c>
    </row>
    <row r="43" spans="1:6" ht="15.75" customHeight="1" x14ac:dyDescent="0.3"/>
    <row r="44" spans="1:6" ht="15.75" customHeight="1" x14ac:dyDescent="0.3">
      <c r="A44" s="216" t="s">
        <v>712</v>
      </c>
    </row>
    <row r="45" spans="1:6" ht="15.75" customHeight="1" x14ac:dyDescent="0.3">
      <c r="A45" s="217" t="s">
        <v>732</v>
      </c>
    </row>
    <row r="46" spans="1:6" ht="15.75" customHeight="1" x14ac:dyDescent="0.3">
      <c r="A46" s="218" t="s">
        <v>733</v>
      </c>
    </row>
    <row r="47" spans="1:6" ht="15.75" customHeight="1" x14ac:dyDescent="0.3">
      <c r="A47" s="217" t="s">
        <v>734</v>
      </c>
    </row>
    <row r="48" spans="1:6" ht="15.75" customHeight="1" x14ac:dyDescent="0.3">
      <c r="A48" s="217" t="s">
        <v>735</v>
      </c>
    </row>
    <row r="49" spans="1:26" ht="15.75" customHeight="1" x14ac:dyDescent="0.3"/>
    <row r="50" spans="1:26" ht="24" customHeight="1" x14ac:dyDescent="0.3">
      <c r="A50" s="418" t="s">
        <v>736</v>
      </c>
      <c r="B50" s="392"/>
      <c r="C50" s="392"/>
      <c r="D50" s="392"/>
      <c r="E50" s="392"/>
      <c r="F50" s="392"/>
      <c r="G50" s="392"/>
      <c r="H50" s="392"/>
      <c r="I50" s="392"/>
      <c r="J50" s="1"/>
      <c r="K50" s="1"/>
      <c r="L50" s="1"/>
      <c r="M50" s="1"/>
      <c r="N50" s="1"/>
      <c r="O50" s="1"/>
      <c r="P50" s="1"/>
      <c r="Q50" s="1"/>
      <c r="R50" s="1"/>
      <c r="S50" s="1"/>
      <c r="T50" s="1"/>
      <c r="U50" s="1"/>
      <c r="V50" s="1"/>
      <c r="W50" s="1"/>
      <c r="X50" s="1"/>
      <c r="Y50" s="1"/>
      <c r="Z50" s="1"/>
    </row>
    <row r="51" spans="1:26" ht="15.75" customHeight="1" x14ac:dyDescent="0.3">
      <c r="A51" s="219" t="s">
        <v>404</v>
      </c>
      <c r="B51" s="220" t="s">
        <v>737</v>
      </c>
      <c r="C51" s="220" t="s">
        <v>334</v>
      </c>
      <c r="D51" s="220" t="s">
        <v>738</v>
      </c>
      <c r="E51" s="220" t="s">
        <v>739</v>
      </c>
      <c r="F51" s="220" t="s">
        <v>740</v>
      </c>
      <c r="G51" s="220" t="s">
        <v>407</v>
      </c>
      <c r="H51" s="220" t="s">
        <v>352</v>
      </c>
      <c r="I51" s="221" t="s">
        <v>412</v>
      </c>
      <c r="J51" s="19"/>
      <c r="K51" s="19"/>
      <c r="L51" s="19"/>
      <c r="M51" s="19"/>
      <c r="N51" s="19"/>
      <c r="O51" s="19"/>
      <c r="P51" s="19"/>
      <c r="Q51" s="19"/>
      <c r="R51" s="19"/>
      <c r="S51" s="19"/>
      <c r="T51" s="19"/>
      <c r="U51" s="19"/>
      <c r="V51" s="19"/>
      <c r="W51" s="19"/>
      <c r="X51" s="19"/>
      <c r="Y51" s="19"/>
      <c r="Z51" s="19"/>
    </row>
    <row r="52" spans="1:26" ht="15.75" customHeight="1" x14ac:dyDescent="0.3">
      <c r="A52" s="222">
        <v>1</v>
      </c>
      <c r="B52" s="223" t="s">
        <v>741</v>
      </c>
      <c r="C52" s="223" t="s">
        <v>742</v>
      </c>
      <c r="D52" s="224" t="str">
        <f t="shared" ref="D52:D61" si="13">IF(OR(LEFT(B52)="A",RIGHT(B52)="A"),"Kế hoạch",IF(OR(LEFT(B52)="B",RIGHT(B52)="B"),"Hành chính",IF(OR(LEFT(B52)="C",RIGHT(B52)="C"),"Kế toán",IF(OR(LEFT(B52)="G",RIGHT(B52)="G"),"Giám đốc","Phó Giám Đốc"))))</f>
        <v>Giám đốc</v>
      </c>
      <c r="E52" s="72" t="s">
        <v>25</v>
      </c>
      <c r="F52" s="225">
        <f t="shared" ref="F52:F61" si="14">IF(E52="GĐ",100000,IF(E52="PGĐ",80000,IF(E52="TP",60000,IF(E52="PP",50000,0))))</f>
        <v>100000</v>
      </c>
      <c r="G52" s="72">
        <v>5.47</v>
      </c>
      <c r="H52" s="225">
        <f t="shared" ref="H52:H61" si="15">290000*G52</f>
        <v>1586300</v>
      </c>
      <c r="I52" s="226">
        <f t="shared" ref="I52:I61" si="16">H52+G52</f>
        <v>1586305.47</v>
      </c>
      <c r="J52" s="1"/>
      <c r="K52" s="1"/>
      <c r="L52" s="1"/>
      <c r="M52" s="1"/>
      <c r="N52" s="1"/>
      <c r="O52" s="1"/>
      <c r="P52" s="1"/>
      <c r="Q52" s="1"/>
      <c r="R52" s="1"/>
      <c r="S52" s="1"/>
      <c r="T52" s="1"/>
      <c r="U52" s="1"/>
      <c r="V52" s="1"/>
      <c r="W52" s="1"/>
      <c r="X52" s="1"/>
      <c r="Y52" s="1"/>
      <c r="Z52" s="1"/>
    </row>
    <row r="53" spans="1:26" ht="15.75" customHeight="1" x14ac:dyDescent="0.3">
      <c r="A53" s="227">
        <v>2</v>
      </c>
      <c r="B53" s="37" t="s">
        <v>743</v>
      </c>
      <c r="C53" s="37" t="s">
        <v>744</v>
      </c>
      <c r="D53" s="224" t="str">
        <f t="shared" si="13"/>
        <v>Phó Giám Đốc</v>
      </c>
      <c r="E53" s="32" t="s">
        <v>28</v>
      </c>
      <c r="F53" s="225">
        <f t="shared" si="14"/>
        <v>80000</v>
      </c>
      <c r="G53" s="32">
        <v>4.79</v>
      </c>
      <c r="H53" s="225">
        <f t="shared" si="15"/>
        <v>1389100</v>
      </c>
      <c r="I53" s="226">
        <f t="shared" si="16"/>
        <v>1389104.79</v>
      </c>
      <c r="J53" s="1"/>
      <c r="K53" s="1"/>
      <c r="L53" s="1"/>
      <c r="M53" s="1"/>
      <c r="N53" s="1"/>
      <c r="O53" s="1"/>
      <c r="P53" s="1"/>
      <c r="Q53" s="1"/>
      <c r="R53" s="1"/>
      <c r="S53" s="1"/>
      <c r="T53" s="1"/>
      <c r="U53" s="1"/>
      <c r="V53" s="1"/>
      <c r="W53" s="1"/>
      <c r="X53" s="1"/>
      <c r="Y53" s="1"/>
      <c r="Z53" s="1"/>
    </row>
    <row r="54" spans="1:26" ht="15.75" customHeight="1" x14ac:dyDescent="0.3">
      <c r="A54" s="227">
        <v>3</v>
      </c>
      <c r="B54" s="37" t="s">
        <v>745</v>
      </c>
      <c r="C54" s="37" t="s">
        <v>746</v>
      </c>
      <c r="D54" s="224" t="str">
        <f t="shared" si="13"/>
        <v>Kế hoạch</v>
      </c>
      <c r="E54" s="32" t="s">
        <v>22</v>
      </c>
      <c r="F54" s="225">
        <f t="shared" si="14"/>
        <v>60000</v>
      </c>
      <c r="G54" s="32">
        <v>4.54</v>
      </c>
      <c r="H54" s="225">
        <f t="shared" si="15"/>
        <v>1316600</v>
      </c>
      <c r="I54" s="226">
        <f t="shared" si="16"/>
        <v>1316604.54</v>
      </c>
      <c r="J54" s="1"/>
      <c r="K54" s="1"/>
      <c r="L54" s="1"/>
      <c r="M54" s="1"/>
      <c r="N54" s="1"/>
      <c r="O54" s="1"/>
      <c r="P54" s="1"/>
      <c r="Q54" s="1"/>
      <c r="R54" s="1"/>
      <c r="S54" s="1"/>
      <c r="T54" s="1"/>
      <c r="U54" s="1"/>
      <c r="V54" s="1"/>
      <c r="W54" s="1"/>
      <c r="X54" s="1"/>
      <c r="Y54" s="1"/>
      <c r="Z54" s="1"/>
    </row>
    <row r="55" spans="1:26" ht="15.75" customHeight="1" x14ac:dyDescent="0.3">
      <c r="A55" s="227">
        <v>4</v>
      </c>
      <c r="B55" s="37" t="s">
        <v>747</v>
      </c>
      <c r="C55" s="37" t="s">
        <v>748</v>
      </c>
      <c r="D55" s="224" t="str">
        <f t="shared" si="13"/>
        <v>Kế toán</v>
      </c>
      <c r="E55" s="32" t="s">
        <v>749</v>
      </c>
      <c r="F55" s="225">
        <f t="shared" si="14"/>
        <v>50000</v>
      </c>
      <c r="G55" s="32">
        <v>4.28</v>
      </c>
      <c r="H55" s="225">
        <f t="shared" si="15"/>
        <v>1241200</v>
      </c>
      <c r="I55" s="226">
        <f t="shared" si="16"/>
        <v>1241204.28</v>
      </c>
      <c r="J55" s="1"/>
      <c r="K55" s="1"/>
      <c r="L55" s="1"/>
      <c r="M55" s="1"/>
      <c r="N55" s="1"/>
      <c r="O55" s="1"/>
      <c r="P55" s="1"/>
      <c r="Q55" s="1"/>
      <c r="R55" s="1"/>
      <c r="S55" s="1"/>
      <c r="T55" s="1"/>
      <c r="U55" s="1"/>
      <c r="V55" s="1"/>
      <c r="W55" s="1"/>
      <c r="X55" s="1"/>
      <c r="Y55" s="1"/>
      <c r="Z55" s="1"/>
    </row>
    <row r="56" spans="1:26" ht="15.75" customHeight="1" x14ac:dyDescent="0.3">
      <c r="A56" s="227">
        <v>5</v>
      </c>
      <c r="B56" s="37" t="s">
        <v>750</v>
      </c>
      <c r="C56" s="37" t="s">
        <v>751</v>
      </c>
      <c r="D56" s="224" t="str">
        <f t="shared" si="13"/>
        <v>Kế hoạch</v>
      </c>
      <c r="E56" s="32" t="s">
        <v>16</v>
      </c>
      <c r="F56" s="225">
        <f t="shared" si="14"/>
        <v>0</v>
      </c>
      <c r="G56" s="32">
        <v>3.42</v>
      </c>
      <c r="H56" s="225">
        <f t="shared" si="15"/>
        <v>991800</v>
      </c>
      <c r="I56" s="226">
        <f t="shared" si="16"/>
        <v>991803.42</v>
      </c>
      <c r="J56" s="1"/>
      <c r="K56" s="1"/>
      <c r="L56" s="1"/>
      <c r="M56" s="1"/>
      <c r="N56" s="1"/>
      <c r="O56" s="1"/>
      <c r="P56" s="1"/>
      <c r="Q56" s="1"/>
      <c r="R56" s="1"/>
      <c r="S56" s="1"/>
      <c r="T56" s="1"/>
      <c r="U56" s="1"/>
      <c r="V56" s="1"/>
      <c r="W56" s="1"/>
      <c r="X56" s="1"/>
      <c r="Y56" s="1"/>
      <c r="Z56" s="1"/>
    </row>
    <row r="57" spans="1:26" ht="15.75" customHeight="1" x14ac:dyDescent="0.3">
      <c r="A57" s="227">
        <v>6</v>
      </c>
      <c r="B57" s="37" t="s">
        <v>752</v>
      </c>
      <c r="C57" s="37" t="s">
        <v>753</v>
      </c>
      <c r="D57" s="224" t="str">
        <f t="shared" si="13"/>
        <v>Hành chính</v>
      </c>
      <c r="E57" s="32" t="s">
        <v>16</v>
      </c>
      <c r="F57" s="225">
        <f t="shared" si="14"/>
        <v>0</v>
      </c>
      <c r="G57" s="32">
        <v>3.24</v>
      </c>
      <c r="H57" s="225">
        <f t="shared" si="15"/>
        <v>939600.00000000012</v>
      </c>
      <c r="I57" s="226">
        <f t="shared" si="16"/>
        <v>939603.24000000011</v>
      </c>
      <c r="J57" s="1"/>
      <c r="K57" s="1"/>
      <c r="L57" s="1"/>
      <c r="M57" s="1"/>
      <c r="N57" s="1"/>
      <c r="O57" s="1"/>
      <c r="P57" s="1"/>
      <c r="Q57" s="1"/>
      <c r="R57" s="1"/>
      <c r="S57" s="1"/>
      <c r="T57" s="1"/>
      <c r="U57" s="1"/>
      <c r="V57" s="1"/>
      <c r="W57" s="1"/>
      <c r="X57" s="1"/>
      <c r="Y57" s="1"/>
      <c r="Z57" s="1"/>
    </row>
    <row r="58" spans="1:26" ht="15.75" customHeight="1" x14ac:dyDescent="0.3">
      <c r="A58" s="227">
        <v>7</v>
      </c>
      <c r="B58" s="37" t="s">
        <v>754</v>
      </c>
      <c r="C58" s="37" t="s">
        <v>755</v>
      </c>
      <c r="D58" s="224" t="str">
        <f t="shared" si="13"/>
        <v>Kế toán</v>
      </c>
      <c r="E58" s="32" t="s">
        <v>16</v>
      </c>
      <c r="F58" s="225">
        <f t="shared" si="14"/>
        <v>0</v>
      </c>
      <c r="G58" s="32">
        <v>3.58</v>
      </c>
      <c r="H58" s="225">
        <f t="shared" si="15"/>
        <v>1038200</v>
      </c>
      <c r="I58" s="226">
        <f t="shared" si="16"/>
        <v>1038203.58</v>
      </c>
      <c r="J58" s="1"/>
      <c r="K58" s="1"/>
      <c r="L58" s="1"/>
      <c r="M58" s="1"/>
      <c r="N58" s="1"/>
      <c r="O58" s="1"/>
      <c r="P58" s="1"/>
      <c r="Q58" s="1"/>
      <c r="R58" s="1"/>
      <c r="S58" s="1"/>
      <c r="T58" s="1"/>
      <c r="U58" s="1"/>
      <c r="V58" s="1"/>
      <c r="W58" s="1"/>
      <c r="X58" s="1"/>
      <c r="Y58" s="1"/>
      <c r="Z58" s="1"/>
    </row>
    <row r="59" spans="1:26" ht="15.75" customHeight="1" x14ac:dyDescent="0.3">
      <c r="A59" s="227">
        <v>8</v>
      </c>
      <c r="B59" s="37" t="s">
        <v>756</v>
      </c>
      <c r="C59" s="37" t="s">
        <v>757</v>
      </c>
      <c r="D59" s="224" t="str">
        <f t="shared" si="13"/>
        <v>Hành chính</v>
      </c>
      <c r="E59" s="32" t="s">
        <v>16</v>
      </c>
      <c r="F59" s="225">
        <f t="shared" si="14"/>
        <v>0</v>
      </c>
      <c r="G59" s="32">
        <v>3.05</v>
      </c>
      <c r="H59" s="225">
        <f t="shared" si="15"/>
        <v>884500</v>
      </c>
      <c r="I59" s="226">
        <f t="shared" si="16"/>
        <v>884503.05</v>
      </c>
      <c r="J59" s="1"/>
      <c r="K59" s="1"/>
      <c r="L59" s="1"/>
      <c r="M59" s="1"/>
      <c r="N59" s="1"/>
      <c r="O59" s="1"/>
      <c r="P59" s="1"/>
      <c r="Q59" s="1"/>
      <c r="R59" s="1"/>
      <c r="S59" s="1"/>
      <c r="T59" s="1"/>
      <c r="U59" s="1"/>
      <c r="V59" s="1"/>
      <c r="W59" s="1"/>
      <c r="X59" s="1"/>
      <c r="Y59" s="1"/>
      <c r="Z59" s="1"/>
    </row>
    <row r="60" spans="1:26" ht="15.75" customHeight="1" x14ac:dyDescent="0.3">
      <c r="A60" s="227">
        <v>9</v>
      </c>
      <c r="B60" s="37" t="s">
        <v>758</v>
      </c>
      <c r="C60" s="37" t="s">
        <v>421</v>
      </c>
      <c r="D60" s="224" t="str">
        <f t="shared" si="13"/>
        <v>Kế hoạch</v>
      </c>
      <c r="E60" s="32" t="s">
        <v>16</v>
      </c>
      <c r="F60" s="225">
        <f t="shared" si="14"/>
        <v>0</v>
      </c>
      <c r="G60" s="32">
        <v>3.57</v>
      </c>
      <c r="H60" s="225">
        <f t="shared" si="15"/>
        <v>1035300</v>
      </c>
      <c r="I60" s="226">
        <f t="shared" si="16"/>
        <v>1035303.57</v>
      </c>
      <c r="J60" s="1"/>
      <c r="K60" s="1"/>
      <c r="L60" s="1"/>
      <c r="M60" s="1"/>
      <c r="N60" s="1"/>
      <c r="O60" s="1"/>
      <c r="P60" s="1"/>
      <c r="Q60" s="1"/>
      <c r="R60" s="1"/>
      <c r="S60" s="1"/>
      <c r="T60" s="1"/>
      <c r="U60" s="1"/>
      <c r="V60" s="1"/>
      <c r="W60" s="1"/>
      <c r="X60" s="1"/>
      <c r="Y60" s="1"/>
      <c r="Z60" s="1"/>
    </row>
    <row r="61" spans="1:26" ht="15.75" customHeight="1" x14ac:dyDescent="0.3">
      <c r="A61" s="228">
        <v>10</v>
      </c>
      <c r="B61" s="229" t="s">
        <v>759</v>
      </c>
      <c r="C61" s="229" t="s">
        <v>760</v>
      </c>
      <c r="D61" s="224" t="str">
        <f t="shared" si="13"/>
        <v>Kế toán</v>
      </c>
      <c r="E61" s="230" t="s">
        <v>16</v>
      </c>
      <c r="F61" s="225">
        <f t="shared" si="14"/>
        <v>0</v>
      </c>
      <c r="G61" s="230">
        <v>3.52</v>
      </c>
      <c r="H61" s="225">
        <f t="shared" si="15"/>
        <v>1020800</v>
      </c>
      <c r="I61" s="226">
        <f t="shared" si="16"/>
        <v>1020803.52</v>
      </c>
      <c r="J61" s="1"/>
      <c r="K61" s="1"/>
      <c r="L61" s="1"/>
      <c r="M61" s="1"/>
      <c r="N61" s="1"/>
      <c r="O61" s="1"/>
      <c r="P61" s="1"/>
      <c r="Q61" s="1"/>
      <c r="R61" s="1"/>
      <c r="S61" s="1"/>
      <c r="T61" s="1"/>
      <c r="U61" s="1"/>
      <c r="V61" s="1"/>
      <c r="W61" s="1"/>
      <c r="X61" s="1"/>
      <c r="Y61" s="1"/>
      <c r="Z61" s="1"/>
    </row>
    <row r="62" spans="1:26" ht="21" customHeight="1" x14ac:dyDescent="0.3">
      <c r="A62" s="428" t="s">
        <v>422</v>
      </c>
      <c r="B62" s="423"/>
      <c r="C62" s="423"/>
      <c r="D62" s="423"/>
      <c r="E62" s="424"/>
      <c r="F62" s="225">
        <f t="shared" ref="F62:I62" si="17">SUM(F52:F61)</f>
        <v>290000</v>
      </c>
      <c r="G62" s="225">
        <f t="shared" si="17"/>
        <v>39.46</v>
      </c>
      <c r="H62" s="225">
        <f t="shared" si="17"/>
        <v>11443400</v>
      </c>
      <c r="I62" s="225">
        <f t="shared" si="17"/>
        <v>11443439.460000001</v>
      </c>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77" t="s">
        <v>761</v>
      </c>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77"/>
      <c r="B65" s="77" t="s">
        <v>762</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77"/>
      <c r="B66" s="77" t="s">
        <v>763</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77"/>
      <c r="B67" s="77" t="s">
        <v>764</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77"/>
      <c r="B68" s="77" t="s">
        <v>765</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77"/>
      <c r="B69" s="77" t="s">
        <v>766</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77" t="s">
        <v>767</v>
      </c>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77"/>
      <c r="B71" s="77" t="s">
        <v>768</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77"/>
      <c r="B72" s="77" t="s">
        <v>769</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77"/>
      <c r="B73" s="77" t="s">
        <v>770</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77"/>
      <c r="B74" s="77" t="s">
        <v>771</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77" t="s">
        <v>772</v>
      </c>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231" t="s">
        <v>773</v>
      </c>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77" t="s">
        <v>774</v>
      </c>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row r="79" spans="1:26" ht="15.75" customHeight="1" x14ac:dyDescent="0.3">
      <c r="A79" s="418" t="s">
        <v>775</v>
      </c>
      <c r="B79" s="392"/>
      <c r="C79" s="392"/>
      <c r="D79" s="392"/>
      <c r="E79" s="392"/>
      <c r="F79" s="392"/>
      <c r="G79" s="392"/>
      <c r="H79" s="392"/>
      <c r="I79" s="392"/>
    </row>
    <row r="80" spans="1:26" ht="15.75" customHeight="1" x14ac:dyDescent="0.3">
      <c r="A80" s="450" t="s">
        <v>404</v>
      </c>
      <c r="B80" s="451" t="s">
        <v>776</v>
      </c>
      <c r="C80" s="451" t="s">
        <v>777</v>
      </c>
      <c r="D80" s="451" t="s">
        <v>293</v>
      </c>
      <c r="E80" s="451" t="s">
        <v>559</v>
      </c>
      <c r="F80" s="453" t="s">
        <v>778</v>
      </c>
      <c r="G80" s="421"/>
      <c r="H80" s="453" t="s">
        <v>779</v>
      </c>
      <c r="I80" s="454"/>
    </row>
    <row r="81" spans="1:10" ht="15.75" customHeight="1" x14ac:dyDescent="0.3">
      <c r="A81" s="438"/>
      <c r="B81" s="452"/>
      <c r="C81" s="452"/>
      <c r="D81" s="452"/>
      <c r="E81" s="452"/>
      <c r="F81" s="232" t="s">
        <v>293</v>
      </c>
      <c r="G81" s="232" t="s">
        <v>304</v>
      </c>
      <c r="H81" s="232" t="s">
        <v>293</v>
      </c>
      <c r="I81" s="233" t="s">
        <v>304</v>
      </c>
    </row>
    <row r="82" spans="1:10" ht="15.75" customHeight="1" thickTop="1" x14ac:dyDescent="0.3">
      <c r="A82" s="222">
        <v>1</v>
      </c>
      <c r="B82" s="72" t="s">
        <v>780</v>
      </c>
      <c r="C82" s="223" t="s">
        <v>781</v>
      </c>
      <c r="D82" s="234">
        <v>1500</v>
      </c>
      <c r="E82" s="99">
        <v>4200</v>
      </c>
      <c r="F82" s="114">
        <f>IF(LEFT(B82,1)="D",D82,0)</f>
        <v>1500</v>
      </c>
      <c r="G82" s="89">
        <f>F82*E82</f>
        <v>6300000</v>
      </c>
      <c r="H82" s="89">
        <f>IF(RIGHT(B82,1)="X",D82,0)</f>
        <v>0</v>
      </c>
      <c r="I82" s="90">
        <f>H82*E82</f>
        <v>0</v>
      </c>
    </row>
    <row r="83" spans="1:10" ht="15.75" customHeight="1" x14ac:dyDescent="0.3">
      <c r="A83" s="227">
        <v>2</v>
      </c>
      <c r="B83" s="32" t="s">
        <v>782</v>
      </c>
      <c r="C83" s="37" t="s">
        <v>783</v>
      </c>
      <c r="D83" s="235">
        <v>2000</v>
      </c>
      <c r="E83" s="105">
        <v>5100</v>
      </c>
      <c r="F83" s="114">
        <f t="shared" ref="F83:F87" si="18">IF(LEFT(B83,1)="D",D83,0)</f>
        <v>0</v>
      </c>
      <c r="G83" s="89">
        <f t="shared" ref="G83:G87" si="19">F83*E83</f>
        <v>0</v>
      </c>
      <c r="H83" s="89">
        <f t="shared" ref="H83:H87" si="20">IF(RIGHT(B83,1)="X",D83,0)</f>
        <v>2000</v>
      </c>
      <c r="I83" s="90">
        <f t="shared" ref="I83:I87" si="21">H83*E83</f>
        <v>10200000</v>
      </c>
    </row>
    <row r="84" spans="1:10" ht="15.75" customHeight="1" x14ac:dyDescent="0.3">
      <c r="A84" s="227">
        <v>3</v>
      </c>
      <c r="B84" s="32" t="s">
        <v>784</v>
      </c>
      <c r="C84" s="37" t="s">
        <v>785</v>
      </c>
      <c r="D84" s="235">
        <v>1000</v>
      </c>
      <c r="E84" s="105">
        <v>4300</v>
      </c>
      <c r="F84" s="114">
        <f t="shared" si="18"/>
        <v>1000</v>
      </c>
      <c r="G84" s="89">
        <f t="shared" si="19"/>
        <v>4300000</v>
      </c>
      <c r="H84" s="89">
        <f t="shared" si="20"/>
        <v>0</v>
      </c>
      <c r="I84" s="90">
        <f t="shared" si="21"/>
        <v>0</v>
      </c>
    </row>
    <row r="85" spans="1:10" ht="15.75" customHeight="1" x14ac:dyDescent="0.3">
      <c r="A85" s="227">
        <v>4</v>
      </c>
      <c r="B85" s="32" t="s">
        <v>786</v>
      </c>
      <c r="C85" s="37" t="s">
        <v>787</v>
      </c>
      <c r="D85" s="235">
        <v>2500</v>
      </c>
      <c r="E85" s="105">
        <v>5200</v>
      </c>
      <c r="F85" s="114">
        <f t="shared" si="18"/>
        <v>0</v>
      </c>
      <c r="G85" s="89">
        <f t="shared" si="19"/>
        <v>0</v>
      </c>
      <c r="H85" s="89">
        <f t="shared" si="20"/>
        <v>2500</v>
      </c>
      <c r="I85" s="90">
        <f t="shared" si="21"/>
        <v>13000000</v>
      </c>
    </row>
    <row r="86" spans="1:10" ht="15.75" customHeight="1" x14ac:dyDescent="0.3">
      <c r="A86" s="227">
        <v>5</v>
      </c>
      <c r="B86" s="32" t="s">
        <v>788</v>
      </c>
      <c r="C86" s="37" t="s">
        <v>789</v>
      </c>
      <c r="D86" s="235">
        <v>1000</v>
      </c>
      <c r="E86" s="105">
        <v>5150</v>
      </c>
      <c r="F86" s="114">
        <f t="shared" si="18"/>
        <v>0</v>
      </c>
      <c r="G86" s="89">
        <f t="shared" si="19"/>
        <v>0</v>
      </c>
      <c r="H86" s="89">
        <f t="shared" si="20"/>
        <v>1000</v>
      </c>
      <c r="I86" s="90">
        <f t="shared" si="21"/>
        <v>5150000</v>
      </c>
    </row>
    <row r="87" spans="1:10" ht="15.75" customHeight="1" thickBot="1" x14ac:dyDescent="0.35">
      <c r="A87" s="228">
        <v>6</v>
      </c>
      <c r="B87" s="230" t="s">
        <v>790</v>
      </c>
      <c r="C87" s="229" t="s">
        <v>791</v>
      </c>
      <c r="D87" s="236">
        <v>1300</v>
      </c>
      <c r="E87" s="237">
        <v>4250</v>
      </c>
      <c r="F87" s="114">
        <f t="shared" si="18"/>
        <v>1300</v>
      </c>
      <c r="G87" s="89">
        <f t="shared" si="19"/>
        <v>5525000</v>
      </c>
      <c r="H87" s="89">
        <f t="shared" si="20"/>
        <v>0</v>
      </c>
      <c r="I87" s="90">
        <f t="shared" si="21"/>
        <v>0</v>
      </c>
    </row>
    <row r="88" spans="1:10" ht="15.75" customHeight="1" thickTop="1" thickBot="1" x14ac:dyDescent="0.35">
      <c r="A88" s="429" t="s">
        <v>422</v>
      </c>
      <c r="B88" s="423"/>
      <c r="C88" s="423"/>
      <c r="D88" s="423"/>
      <c r="E88" s="424"/>
      <c r="F88" s="238">
        <f>SUM(F82:F87)</f>
        <v>3800</v>
      </c>
      <c r="G88" s="238">
        <f t="shared" ref="G88:H88" si="22">SUM(G82:G87)</f>
        <v>16125000</v>
      </c>
      <c r="H88" s="238">
        <f t="shared" si="22"/>
        <v>5500</v>
      </c>
      <c r="I88" s="238">
        <f>SUM(I82:I87)</f>
        <v>28350000</v>
      </c>
    </row>
    <row r="89" spans="1:10" ht="15.75" customHeight="1" thickTop="1" x14ac:dyDescent="0.3">
      <c r="A89" s="1"/>
      <c r="B89" s="1"/>
      <c r="C89" s="1"/>
      <c r="D89" s="1"/>
      <c r="E89" s="1"/>
      <c r="F89" s="1"/>
      <c r="G89" s="1"/>
      <c r="H89" s="1"/>
      <c r="I89" s="1"/>
    </row>
    <row r="90" spans="1:10" ht="15.75" customHeight="1" x14ac:dyDescent="0.3">
      <c r="A90" s="77" t="s">
        <v>792</v>
      </c>
      <c r="B90" s="1"/>
      <c r="C90" s="1"/>
      <c r="D90" s="1"/>
      <c r="E90" s="1"/>
      <c r="F90" s="1"/>
      <c r="G90" s="1"/>
      <c r="H90" s="1"/>
      <c r="I90" s="1"/>
    </row>
    <row r="91" spans="1:10" ht="15.75" customHeight="1" x14ac:dyDescent="0.3">
      <c r="A91" s="77" t="s">
        <v>793</v>
      </c>
      <c r="B91" s="1"/>
      <c r="C91" s="1"/>
      <c r="D91" s="1"/>
      <c r="E91" s="1"/>
      <c r="F91" s="1"/>
      <c r="G91" s="1"/>
      <c r="H91" s="1"/>
      <c r="I91" s="1"/>
    </row>
    <row r="92" spans="1:10" ht="15.75" customHeight="1" x14ac:dyDescent="0.3">
      <c r="A92" s="77" t="s">
        <v>794</v>
      </c>
      <c r="B92" s="1"/>
      <c r="C92" s="1"/>
      <c r="D92" s="1"/>
      <c r="E92" s="1"/>
      <c r="F92" s="1"/>
      <c r="G92" s="1"/>
      <c r="H92" s="1"/>
      <c r="I92" s="1"/>
    </row>
    <row r="93" spans="1:10" ht="15.75" customHeight="1" x14ac:dyDescent="0.3"/>
    <row r="94" spans="1:10" ht="15.75" customHeight="1" x14ac:dyDescent="0.3">
      <c r="A94" s="447" t="s">
        <v>795</v>
      </c>
      <c r="B94" s="448"/>
      <c r="C94" s="448"/>
      <c r="D94" s="448"/>
      <c r="E94" s="448"/>
      <c r="F94" s="448"/>
      <c r="G94" s="448"/>
      <c r="H94" s="448"/>
      <c r="I94" s="78"/>
      <c r="J94" s="78"/>
    </row>
    <row r="95" spans="1:10" ht="15.75" customHeight="1" x14ac:dyDescent="0.3">
      <c r="A95" s="83" t="s">
        <v>404</v>
      </c>
      <c r="B95" s="84" t="s">
        <v>267</v>
      </c>
      <c r="C95" s="84" t="s">
        <v>557</v>
      </c>
      <c r="D95" s="84" t="s">
        <v>796</v>
      </c>
      <c r="E95" s="84" t="s">
        <v>559</v>
      </c>
      <c r="F95" s="84" t="s">
        <v>293</v>
      </c>
      <c r="G95" s="97" t="s">
        <v>271</v>
      </c>
      <c r="H95" s="98" t="s">
        <v>304</v>
      </c>
      <c r="I95" s="78"/>
      <c r="J95" s="78"/>
    </row>
    <row r="96" spans="1:10" ht="15.75" customHeight="1" thickTop="1" thickBot="1" x14ac:dyDescent="0.35">
      <c r="A96" s="86">
        <v>1</v>
      </c>
      <c r="B96" s="239" t="s">
        <v>797</v>
      </c>
      <c r="C96" s="138" t="str">
        <f>IF(LEFT(B96)="X","Xăng",IF(LEFT(B96)="D","Dầu","Nhớt"))</f>
        <v>Dầu</v>
      </c>
      <c r="D96" s="240" t="str">
        <f>IF(RIGHT(B96,2)="BP","British Petro",IF(RIGHT(B96,2)="MO","Mobil",IF(RIGHT(B96,2)="ES","Esso",IF(RIGHT(B96,2)="SH","Shell",IF(RIGHT(B96,2)="CA","Castrol","Trong nước")))))</f>
        <v>British Petro</v>
      </c>
      <c r="E96" s="114">
        <f>IF(C96="Xăng",4500,IF(C96="Dầu",1400,2500))</f>
        <v>1400</v>
      </c>
      <c r="F96" s="241">
        <v>2000</v>
      </c>
      <c r="G96" s="89">
        <f>IF(D96="Trong nước",0,IF(C96="Xăng",E96*F96*3%,IF(C96="Dầu",E96*F96*2.5%,E96*F96*2%)))</f>
        <v>70000</v>
      </c>
      <c r="H96" s="90">
        <f>E96*F96+G96</f>
        <v>2870000</v>
      </c>
      <c r="I96" s="78"/>
      <c r="J96" s="78"/>
    </row>
    <row r="97" spans="1:10" ht="15.75" customHeight="1" thickTop="1" thickBot="1" x14ac:dyDescent="0.35">
      <c r="A97" s="139">
        <v>2</v>
      </c>
      <c r="B97" s="49" t="s">
        <v>798</v>
      </c>
      <c r="C97" s="138" t="str">
        <f t="shared" ref="C97:C105" si="23">IF(LEFT(B97)="X","Xăng",IF(LEFT(B97)="D","Dầu","Nhớt"))</f>
        <v>Dầu</v>
      </c>
      <c r="D97" s="240" t="str">
        <f t="shared" ref="D97:D105" si="24">IF(RIGHT(B97,2)="BP","British Petro",IF(RIGHT(B97,2)="MO","Mobil",IF(RIGHT(B97,2)="ES","Esso",IF(RIGHT(B97,2)="SH","Shell",IF(RIGHT(B97,2)="CA","Castrol","Trong nước")))))</f>
        <v>Esso</v>
      </c>
      <c r="E97" s="114">
        <f t="shared" ref="E97:E105" si="25">IF(C97="Xăng",4500,IF(C97="Dầu",1400,2500))</f>
        <v>1400</v>
      </c>
      <c r="F97" s="242">
        <v>3000</v>
      </c>
      <c r="G97" s="89">
        <f t="shared" ref="G97:G105" si="26">IF(D97="Trong nước",0,IF(C97="Xăng",E97*F97*3%,IF(C97="Dầu",E97*F97*2.5%,E97*F97*2%)))</f>
        <v>105000</v>
      </c>
      <c r="H97" s="90">
        <f t="shared" ref="H97:H105" si="27">E97*F97+G97</f>
        <v>4305000</v>
      </c>
      <c r="I97" s="78"/>
      <c r="J97" s="78"/>
    </row>
    <row r="98" spans="1:10" ht="15.75" customHeight="1" thickTop="1" thickBot="1" x14ac:dyDescent="0.35">
      <c r="A98" s="86">
        <v>3</v>
      </c>
      <c r="B98" s="49" t="s">
        <v>799</v>
      </c>
      <c r="C98" s="138" t="str">
        <f t="shared" si="23"/>
        <v>Xăng</v>
      </c>
      <c r="D98" s="240" t="str">
        <f t="shared" si="24"/>
        <v>Shell</v>
      </c>
      <c r="E98" s="114">
        <f t="shared" si="25"/>
        <v>4500</v>
      </c>
      <c r="F98" s="242">
        <v>2500</v>
      </c>
      <c r="G98" s="89">
        <f t="shared" si="26"/>
        <v>337500</v>
      </c>
      <c r="H98" s="90">
        <f t="shared" si="27"/>
        <v>11587500</v>
      </c>
      <c r="I98" s="78"/>
      <c r="J98" s="78"/>
    </row>
    <row r="99" spans="1:10" ht="15.75" customHeight="1" thickTop="1" thickBot="1" x14ac:dyDescent="0.35">
      <c r="A99" s="139">
        <v>4</v>
      </c>
      <c r="B99" s="49" t="s">
        <v>800</v>
      </c>
      <c r="C99" s="138" t="str">
        <f t="shared" si="23"/>
        <v>Nhớt</v>
      </c>
      <c r="D99" s="240" t="str">
        <f t="shared" si="24"/>
        <v>Castrol</v>
      </c>
      <c r="E99" s="114">
        <f t="shared" si="25"/>
        <v>2500</v>
      </c>
      <c r="F99" s="242">
        <v>1500</v>
      </c>
      <c r="G99" s="89">
        <f t="shared" si="26"/>
        <v>75000</v>
      </c>
      <c r="H99" s="90">
        <f t="shared" si="27"/>
        <v>3825000</v>
      </c>
      <c r="I99" s="78"/>
      <c r="J99" s="78"/>
    </row>
    <row r="100" spans="1:10" ht="15.75" customHeight="1" thickTop="1" thickBot="1" x14ac:dyDescent="0.35">
      <c r="A100" s="86">
        <v>5</v>
      </c>
      <c r="B100" s="49" t="s">
        <v>801</v>
      </c>
      <c r="C100" s="138" t="str">
        <f t="shared" si="23"/>
        <v>Dầu</v>
      </c>
      <c r="D100" s="240" t="str">
        <f t="shared" si="24"/>
        <v>Trong nước</v>
      </c>
      <c r="E100" s="114">
        <f t="shared" si="25"/>
        <v>1400</v>
      </c>
      <c r="F100" s="242">
        <v>2000</v>
      </c>
      <c r="G100" s="89">
        <f t="shared" si="26"/>
        <v>0</v>
      </c>
      <c r="H100" s="90">
        <f t="shared" si="27"/>
        <v>2800000</v>
      </c>
      <c r="I100" s="78"/>
      <c r="J100" s="78"/>
    </row>
    <row r="101" spans="1:10" ht="15.75" customHeight="1" thickTop="1" thickBot="1" x14ac:dyDescent="0.35">
      <c r="A101" s="139">
        <v>6</v>
      </c>
      <c r="B101" s="49" t="s">
        <v>802</v>
      </c>
      <c r="C101" s="138" t="str">
        <f t="shared" si="23"/>
        <v>Nhớt</v>
      </c>
      <c r="D101" s="240" t="str">
        <f t="shared" si="24"/>
        <v>Mobil</v>
      </c>
      <c r="E101" s="114">
        <f t="shared" si="25"/>
        <v>2500</v>
      </c>
      <c r="F101" s="242">
        <v>4000</v>
      </c>
      <c r="G101" s="89">
        <f t="shared" si="26"/>
        <v>200000</v>
      </c>
      <c r="H101" s="90">
        <f t="shared" si="27"/>
        <v>10200000</v>
      </c>
      <c r="I101" s="78"/>
      <c r="J101" s="78"/>
    </row>
    <row r="102" spans="1:10" ht="15.75" customHeight="1" thickTop="1" thickBot="1" x14ac:dyDescent="0.35">
      <c r="A102" s="86">
        <v>7</v>
      </c>
      <c r="B102" s="49" t="s">
        <v>803</v>
      </c>
      <c r="C102" s="138" t="str">
        <f t="shared" si="23"/>
        <v>Nhớt</v>
      </c>
      <c r="D102" s="240" t="str">
        <f t="shared" si="24"/>
        <v>British Petro</v>
      </c>
      <c r="E102" s="114">
        <f t="shared" si="25"/>
        <v>2500</v>
      </c>
      <c r="F102" s="242">
        <v>3500</v>
      </c>
      <c r="G102" s="89">
        <f t="shared" si="26"/>
        <v>175000</v>
      </c>
      <c r="H102" s="90">
        <f t="shared" si="27"/>
        <v>8925000</v>
      </c>
      <c r="I102" s="78"/>
      <c r="J102" s="78"/>
    </row>
    <row r="103" spans="1:10" ht="15.75" customHeight="1" thickTop="1" thickBot="1" x14ac:dyDescent="0.35">
      <c r="A103" s="139">
        <v>8</v>
      </c>
      <c r="B103" s="49" t="s">
        <v>804</v>
      </c>
      <c r="C103" s="138" t="str">
        <f t="shared" si="23"/>
        <v>Xăng</v>
      </c>
      <c r="D103" s="240" t="str">
        <f t="shared" si="24"/>
        <v>Trong nước</v>
      </c>
      <c r="E103" s="114">
        <f t="shared" si="25"/>
        <v>4500</v>
      </c>
      <c r="F103" s="242">
        <v>2500</v>
      </c>
      <c r="G103" s="89">
        <f t="shared" si="26"/>
        <v>0</v>
      </c>
      <c r="H103" s="90">
        <f t="shared" si="27"/>
        <v>11250000</v>
      </c>
      <c r="I103" s="79" t="s">
        <v>805</v>
      </c>
      <c r="J103" s="79"/>
    </row>
    <row r="104" spans="1:10" ht="15.75" customHeight="1" thickTop="1" thickBot="1" x14ac:dyDescent="0.35">
      <c r="A104" s="86">
        <v>9</v>
      </c>
      <c r="B104" s="49" t="s">
        <v>806</v>
      </c>
      <c r="C104" s="138" t="str">
        <f t="shared" si="23"/>
        <v>Xăng</v>
      </c>
      <c r="D104" s="240" t="str">
        <f t="shared" si="24"/>
        <v>Esso</v>
      </c>
      <c r="E104" s="114">
        <f t="shared" si="25"/>
        <v>4500</v>
      </c>
      <c r="F104" s="242">
        <v>1500</v>
      </c>
      <c r="G104" s="89">
        <f t="shared" si="26"/>
        <v>202500</v>
      </c>
      <c r="H104" s="90">
        <f t="shared" si="27"/>
        <v>6952500</v>
      </c>
      <c r="I104" s="79" t="s">
        <v>807</v>
      </c>
      <c r="J104" s="79"/>
    </row>
    <row r="105" spans="1:10" ht="15.75" customHeight="1" thickTop="1" thickBot="1" x14ac:dyDescent="0.35">
      <c r="A105" s="139">
        <v>10</v>
      </c>
      <c r="B105" s="243" t="s">
        <v>808</v>
      </c>
      <c r="C105" s="138" t="str">
        <f t="shared" si="23"/>
        <v>Nhớt</v>
      </c>
      <c r="D105" s="240" t="str">
        <f t="shared" si="24"/>
        <v>Castrol</v>
      </c>
      <c r="E105" s="114">
        <f t="shared" si="25"/>
        <v>2500</v>
      </c>
      <c r="F105" s="244">
        <v>2000</v>
      </c>
      <c r="G105" s="89">
        <f t="shared" si="26"/>
        <v>100000</v>
      </c>
      <c r="H105" s="90">
        <f t="shared" si="27"/>
        <v>5100000</v>
      </c>
      <c r="I105" s="79" t="s">
        <v>809</v>
      </c>
      <c r="J105" s="79"/>
    </row>
    <row r="106" spans="1:10" ht="15.75" customHeight="1" thickTop="1" x14ac:dyDescent="0.3">
      <c r="A106" s="245"/>
      <c r="B106" s="246"/>
      <c r="C106" s="247"/>
      <c r="D106" s="247"/>
      <c r="E106" s="248"/>
      <c r="F106" s="249"/>
      <c r="G106" s="250"/>
      <c r="H106" s="250"/>
      <c r="I106" s="78"/>
      <c r="J106" s="78"/>
    </row>
    <row r="107" spans="1:10" ht="15.75" customHeight="1" x14ac:dyDescent="0.3">
      <c r="A107" s="245"/>
      <c r="B107" s="246"/>
      <c r="C107" s="247"/>
      <c r="D107" s="247"/>
      <c r="E107" s="248"/>
      <c r="F107" s="449" t="s">
        <v>810</v>
      </c>
      <c r="G107" s="448"/>
      <c r="H107" s="448"/>
      <c r="I107" s="78"/>
      <c r="J107" s="78"/>
    </row>
    <row r="108" spans="1:10" ht="15.75" customHeight="1" thickTop="1" thickBot="1" x14ac:dyDescent="0.35">
      <c r="A108" s="245"/>
      <c r="B108" s="246"/>
      <c r="C108" s="247"/>
      <c r="D108" s="247"/>
      <c r="E108" s="248"/>
      <c r="F108" s="96" t="s">
        <v>557</v>
      </c>
      <c r="G108" s="97" t="s">
        <v>293</v>
      </c>
      <c r="H108" s="98" t="s">
        <v>304</v>
      </c>
      <c r="I108" s="78"/>
      <c r="J108" s="78"/>
    </row>
    <row r="109" spans="1:10" ht="15.75" customHeight="1" thickTop="1" x14ac:dyDescent="0.3">
      <c r="A109" s="245"/>
      <c r="B109" s="246"/>
      <c r="C109" s="247"/>
      <c r="D109" s="247"/>
      <c r="E109" s="248"/>
      <c r="F109" s="142" t="s">
        <v>779</v>
      </c>
      <c r="G109" s="89">
        <f>SUMIF($C$96:$C$105,"Xăng",$F$96:$F$105)</f>
        <v>6500</v>
      </c>
      <c r="H109" s="89">
        <f>SUMIF($C$96:$C$105,"Xăng",$H$96:$H$105)</f>
        <v>29790000</v>
      </c>
      <c r="I109" s="78"/>
      <c r="J109" s="78"/>
    </row>
    <row r="110" spans="1:10" ht="15.75" customHeight="1" x14ac:dyDescent="0.3">
      <c r="A110" s="245"/>
      <c r="B110" s="246"/>
      <c r="C110" s="247"/>
      <c r="D110" s="247"/>
      <c r="E110" s="248"/>
      <c r="F110" s="143" t="s">
        <v>778</v>
      </c>
      <c r="G110" s="89">
        <f>SUMIF($C$96:$C$105,"Dầu",$F$96:$F$105)</f>
        <v>7000</v>
      </c>
      <c r="H110" s="89">
        <f>SUMIF($C$96:$C$105,"Dầu",$H$96:$H$105)</f>
        <v>9975000</v>
      </c>
      <c r="I110" s="78"/>
      <c r="J110" s="78"/>
    </row>
    <row r="111" spans="1:10" ht="15.75" customHeight="1" thickBot="1" x14ac:dyDescent="0.35">
      <c r="A111" s="78"/>
      <c r="B111" s="78"/>
      <c r="C111" s="78"/>
      <c r="D111" s="78"/>
      <c r="E111" s="78"/>
      <c r="F111" s="144" t="s">
        <v>811</v>
      </c>
      <c r="G111" s="89">
        <f>SUMIF($C$96:$C$105,"Nhớt",$F$96:$F$105)</f>
        <v>11000</v>
      </c>
      <c r="H111" s="89">
        <f>SUMIF($C$96:$C$105,"Nhớt",$H$96:$H$105)</f>
        <v>28050000</v>
      </c>
      <c r="I111" s="78"/>
      <c r="J111" s="78"/>
    </row>
    <row r="112" spans="1:10" ht="15.75" customHeight="1" thickTop="1" x14ac:dyDescent="0.3">
      <c r="A112" s="95" t="s">
        <v>812</v>
      </c>
      <c r="B112" s="251"/>
      <c r="C112" s="78"/>
      <c r="D112" s="78"/>
      <c r="E112" s="78"/>
      <c r="F112" s="78"/>
      <c r="G112" s="78"/>
      <c r="H112" s="78"/>
      <c r="I112" s="78"/>
      <c r="J112" s="78"/>
    </row>
    <row r="113" spans="1:10" ht="15.75" customHeight="1" x14ac:dyDescent="0.3">
      <c r="A113" s="95" t="s">
        <v>813</v>
      </c>
      <c r="B113" s="78"/>
      <c r="C113" s="78"/>
      <c r="D113" s="78"/>
      <c r="E113" s="78"/>
      <c r="F113" s="78"/>
      <c r="G113" s="78"/>
      <c r="H113" s="78"/>
      <c r="I113" s="78"/>
      <c r="J113" s="78"/>
    </row>
    <row r="114" spans="1:10" ht="15.75" customHeight="1" x14ac:dyDescent="0.3">
      <c r="A114" s="95" t="s">
        <v>814</v>
      </c>
      <c r="B114" s="78"/>
      <c r="C114" s="78"/>
      <c r="D114" s="78"/>
      <c r="E114" s="78"/>
      <c r="F114" s="78"/>
      <c r="G114" s="78"/>
      <c r="H114" s="78"/>
      <c r="I114" s="78"/>
      <c r="J114" s="78"/>
    </row>
    <row r="115" spans="1:10" ht="15.75" customHeight="1" x14ac:dyDescent="0.3">
      <c r="A115" s="95" t="s">
        <v>815</v>
      </c>
      <c r="B115" s="78"/>
      <c r="C115" s="78"/>
      <c r="D115" s="78"/>
      <c r="E115" s="78"/>
      <c r="F115" s="78"/>
      <c r="G115" s="78"/>
      <c r="H115" s="78"/>
      <c r="I115" s="78"/>
      <c r="J115" s="78"/>
    </row>
    <row r="116" spans="1:10" ht="15.75" customHeight="1" x14ac:dyDescent="0.3">
      <c r="A116" s="95" t="s">
        <v>816</v>
      </c>
      <c r="B116" s="78"/>
      <c r="C116" s="78"/>
      <c r="D116" s="78"/>
      <c r="E116" s="78"/>
      <c r="F116" s="78"/>
      <c r="G116" s="78"/>
      <c r="H116" s="78"/>
      <c r="I116" s="78"/>
      <c r="J116" s="78"/>
    </row>
    <row r="117" spans="1:10" ht="15.75" customHeight="1" x14ac:dyDescent="0.3">
      <c r="A117" s="95" t="s">
        <v>817</v>
      </c>
      <c r="B117" s="78"/>
      <c r="C117" s="78"/>
      <c r="D117" s="78"/>
      <c r="E117" s="78"/>
      <c r="F117" s="78"/>
      <c r="G117" s="78"/>
      <c r="H117" s="78"/>
      <c r="I117" s="78"/>
      <c r="J117" s="78"/>
    </row>
    <row r="118" spans="1:10" ht="15.75" customHeight="1" x14ac:dyDescent="0.3">
      <c r="A118" s="95" t="s">
        <v>818</v>
      </c>
      <c r="B118" s="78"/>
      <c r="C118" s="78"/>
      <c r="D118" s="78"/>
      <c r="E118" s="78"/>
      <c r="F118" s="78"/>
      <c r="G118" s="78"/>
      <c r="H118" s="78"/>
      <c r="I118" s="78"/>
      <c r="J118" s="78"/>
    </row>
    <row r="119" spans="1:10" ht="15.75" customHeight="1" x14ac:dyDescent="0.3">
      <c r="A119" s="95" t="s">
        <v>819</v>
      </c>
      <c r="B119" s="78"/>
      <c r="C119" s="78"/>
      <c r="D119" s="78"/>
      <c r="E119" s="78"/>
      <c r="F119" s="78"/>
      <c r="G119" s="78"/>
      <c r="H119" s="78"/>
      <c r="I119" s="78"/>
      <c r="J119" s="78"/>
    </row>
    <row r="120" spans="1:10" ht="15.75" customHeight="1" x14ac:dyDescent="0.3">
      <c r="A120" s="95" t="s">
        <v>820</v>
      </c>
      <c r="B120" s="78"/>
      <c r="C120" s="78"/>
      <c r="D120" s="78"/>
      <c r="E120" s="78"/>
      <c r="F120" s="78"/>
      <c r="G120" s="78"/>
      <c r="H120" s="78"/>
      <c r="I120" s="78"/>
      <c r="J120" s="78"/>
    </row>
    <row r="121" spans="1:10" ht="15.75" customHeight="1" x14ac:dyDescent="0.3">
      <c r="A121" s="95" t="s">
        <v>821</v>
      </c>
      <c r="B121" s="78"/>
      <c r="C121" s="78"/>
      <c r="D121" s="95" t="s">
        <v>822</v>
      </c>
      <c r="E121" s="78"/>
      <c r="F121" s="78"/>
      <c r="G121" s="78"/>
      <c r="H121" s="78"/>
      <c r="I121" s="78"/>
      <c r="J121" s="78"/>
    </row>
    <row r="122" spans="1:10" ht="15.75" customHeight="1" x14ac:dyDescent="0.3">
      <c r="A122" s="95" t="s">
        <v>823</v>
      </c>
      <c r="B122" s="78"/>
      <c r="C122" s="78"/>
      <c r="D122" s="78"/>
      <c r="E122" s="78"/>
      <c r="F122" s="78"/>
      <c r="G122" s="78"/>
      <c r="H122" s="78"/>
      <c r="I122" s="78"/>
      <c r="J122" s="78"/>
    </row>
    <row r="123" spans="1:10" ht="15.75" customHeight="1" x14ac:dyDescent="0.3">
      <c r="A123" s="95" t="s">
        <v>824</v>
      </c>
      <c r="B123" s="78"/>
      <c r="C123" s="78"/>
      <c r="D123" s="78"/>
      <c r="E123" s="78"/>
      <c r="F123" s="78"/>
      <c r="G123" s="78"/>
      <c r="H123" s="78"/>
      <c r="I123" s="78"/>
      <c r="J123" s="78"/>
    </row>
    <row r="124" spans="1:10" ht="15.75" customHeight="1" x14ac:dyDescent="0.3">
      <c r="A124" s="95" t="s">
        <v>825</v>
      </c>
      <c r="B124" s="78"/>
      <c r="C124" s="78"/>
      <c r="D124" s="78"/>
      <c r="E124" s="78"/>
      <c r="F124" s="78"/>
      <c r="G124" s="78"/>
      <c r="H124" s="78"/>
      <c r="I124" s="78"/>
      <c r="J124" s="78"/>
    </row>
    <row r="125" spans="1:10" ht="15.75" customHeight="1" x14ac:dyDescent="0.3"/>
    <row r="126" spans="1:10" ht="15.75" customHeight="1" x14ac:dyDescent="0.3"/>
    <row r="127" spans="1:10" ht="15.75" customHeight="1" x14ac:dyDescent="0.3"/>
    <row r="128" spans="1:10"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7">
    <mergeCell ref="A1:I1"/>
    <mergeCell ref="A14:G14"/>
    <mergeCell ref="A34:F34"/>
    <mergeCell ref="A35:F35"/>
    <mergeCell ref="A50:I50"/>
    <mergeCell ref="A62:E62"/>
    <mergeCell ref="A79:I79"/>
    <mergeCell ref="A88:E88"/>
    <mergeCell ref="A94:H94"/>
    <mergeCell ref="F107:H107"/>
    <mergeCell ref="A80:A81"/>
    <mergeCell ref="B80:B81"/>
    <mergeCell ref="C80:C81"/>
    <mergeCell ref="D80:D81"/>
    <mergeCell ref="E80:E81"/>
    <mergeCell ref="F80:G80"/>
    <mergeCell ref="H80:I80"/>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280" zoomScale="97" zoomScaleNormal="97" workbookViewId="0">
      <selection activeCell="D257" sqref="D257:G257"/>
    </sheetView>
  </sheetViews>
  <sheetFormatPr defaultColWidth="11.19921875" defaultRowHeight="15" customHeight="1" x14ac:dyDescent="0.3"/>
  <cols>
    <col min="1" max="1" width="9" customWidth="1"/>
    <col min="2" max="2" width="15.296875" customWidth="1"/>
    <col min="3" max="3" width="19.19921875" customWidth="1"/>
    <col min="4" max="4" width="28" bestFit="1" customWidth="1"/>
    <col min="5" max="5" width="13.19921875" bestFit="1" customWidth="1"/>
    <col min="6" max="6" width="16" customWidth="1"/>
    <col min="7" max="7" width="10.296875" customWidth="1"/>
    <col min="8" max="8" width="14" customWidth="1"/>
    <col min="9" max="9" width="10.19921875" customWidth="1"/>
    <col min="10" max="10" width="12.19921875" bestFit="1" customWidth="1"/>
    <col min="11" max="26" width="9" customWidth="1"/>
  </cols>
  <sheetData>
    <row r="1" spans="1:26" ht="17.399999999999999" x14ac:dyDescent="0.3">
      <c r="A1" s="252"/>
      <c r="B1" s="253" t="s">
        <v>826</v>
      </c>
      <c r="C1" s="252"/>
      <c r="D1" s="252"/>
      <c r="E1" s="252"/>
      <c r="F1" s="252"/>
      <c r="G1" s="252"/>
      <c r="H1" s="252"/>
      <c r="I1" s="252"/>
      <c r="J1" s="1"/>
      <c r="K1" s="1"/>
      <c r="L1" s="1"/>
      <c r="M1" s="1"/>
      <c r="N1" s="1"/>
      <c r="O1" s="1"/>
      <c r="P1" s="1"/>
      <c r="Q1" s="1"/>
      <c r="R1" s="1"/>
      <c r="S1" s="1"/>
      <c r="T1" s="1"/>
      <c r="U1" s="1"/>
      <c r="V1" s="1"/>
      <c r="W1" s="1"/>
      <c r="X1" s="1"/>
      <c r="Y1" s="1"/>
      <c r="Z1" s="1"/>
    </row>
    <row r="2" spans="1:26" ht="24.75" customHeight="1" x14ac:dyDescent="0.3">
      <c r="A2" s="254" t="s">
        <v>827</v>
      </c>
      <c r="B2" s="254" t="s">
        <v>334</v>
      </c>
      <c r="C2" s="254" t="s">
        <v>383</v>
      </c>
      <c r="D2" s="254" t="s">
        <v>828</v>
      </c>
      <c r="E2" s="254" t="s">
        <v>829</v>
      </c>
      <c r="F2" s="254" t="s">
        <v>830</v>
      </c>
      <c r="G2" s="252"/>
      <c r="H2" s="255" t="s">
        <v>831</v>
      </c>
      <c r="I2" s="252"/>
      <c r="J2" s="1"/>
      <c r="K2" s="1"/>
      <c r="L2" s="1"/>
      <c r="M2" s="1"/>
      <c r="N2" s="1"/>
      <c r="O2" s="1"/>
      <c r="P2" s="1"/>
      <c r="Q2" s="1"/>
      <c r="R2" s="1"/>
      <c r="S2" s="1"/>
      <c r="T2" s="1"/>
      <c r="U2" s="1"/>
      <c r="V2" s="1"/>
      <c r="W2" s="1"/>
      <c r="X2" s="1"/>
      <c r="Y2" s="1"/>
      <c r="Z2" s="1"/>
    </row>
    <row r="3" spans="1:26" ht="24" customHeight="1" x14ac:dyDescent="0.3">
      <c r="A3" s="256" t="s">
        <v>615</v>
      </c>
      <c r="B3" s="257" t="s">
        <v>832</v>
      </c>
      <c r="C3" s="256">
        <v>5.9</v>
      </c>
      <c r="D3" s="256" t="str">
        <f>VLOOKUP(A3,$H$14:$I$17,2,0)</f>
        <v xml:space="preserve">Yếu </v>
      </c>
      <c r="E3" s="258" t="str">
        <f>VLOOKUP(C3,$E$14:$F$17,2,1)</f>
        <v>Trung Bình</v>
      </c>
      <c r="F3" s="259">
        <f>RANK(C3,$C$3:$C$9,0)</f>
        <v>6</v>
      </c>
      <c r="G3" s="252"/>
      <c r="H3" s="260" t="s">
        <v>833</v>
      </c>
      <c r="I3" s="260"/>
      <c r="J3" s="175"/>
      <c r="K3" s="175"/>
      <c r="L3" s="175"/>
      <c r="M3" s="175"/>
      <c r="N3" s="1"/>
      <c r="O3" s="1"/>
      <c r="P3" s="1"/>
      <c r="Q3" s="1"/>
      <c r="R3" s="1"/>
      <c r="S3" s="1"/>
      <c r="T3" s="1"/>
      <c r="U3" s="1"/>
      <c r="V3" s="1"/>
      <c r="W3" s="1"/>
      <c r="X3" s="1"/>
      <c r="Y3" s="1"/>
      <c r="Z3" s="1"/>
    </row>
    <row r="4" spans="1:26" ht="24" customHeight="1" x14ac:dyDescent="0.3">
      <c r="A4" s="256" t="s">
        <v>617</v>
      </c>
      <c r="B4" s="257" t="s">
        <v>834</v>
      </c>
      <c r="C4" s="256">
        <v>8.6</v>
      </c>
      <c r="D4" s="256" t="str">
        <f t="shared" ref="D4:D9" si="0">VLOOKUP(A4,$H$14:$I$17,2,0)</f>
        <v>Trung Bình</v>
      </c>
      <c r="E4" s="258" t="str">
        <f t="shared" ref="E4:E9" si="1">VLOOKUP(C4,$E$14:$F$17,2,1)</f>
        <v xml:space="preserve">Khá </v>
      </c>
      <c r="F4" s="259">
        <f t="shared" ref="F4:F9" si="2">RANK(C4,$C$3:$C$9,0)</f>
        <v>3</v>
      </c>
      <c r="G4" s="252"/>
      <c r="H4" s="260" t="s">
        <v>835</v>
      </c>
      <c r="I4" s="260"/>
      <c r="J4" s="175"/>
      <c r="K4" s="175"/>
      <c r="L4" s="175"/>
      <c r="M4" s="175"/>
      <c r="N4" s="1"/>
      <c r="O4" s="1"/>
      <c r="P4" s="1"/>
      <c r="Q4" s="1"/>
      <c r="R4" s="1"/>
      <c r="S4" s="1"/>
      <c r="T4" s="1"/>
      <c r="U4" s="1"/>
      <c r="V4" s="1"/>
      <c r="W4" s="1"/>
      <c r="X4" s="1"/>
      <c r="Y4" s="1"/>
      <c r="Z4" s="1"/>
    </row>
    <row r="5" spans="1:26" ht="23.25" customHeight="1" x14ac:dyDescent="0.3">
      <c r="A5" s="256" t="s">
        <v>619</v>
      </c>
      <c r="B5" s="257" t="s">
        <v>836</v>
      </c>
      <c r="C5" s="256">
        <v>9.1999999999999993</v>
      </c>
      <c r="D5" s="256" t="str">
        <f t="shared" si="0"/>
        <v xml:space="preserve">Khá </v>
      </c>
      <c r="E5" s="258" t="str">
        <f t="shared" si="1"/>
        <v>Giỏi</v>
      </c>
      <c r="F5" s="259">
        <f t="shared" si="2"/>
        <v>2</v>
      </c>
      <c r="G5" s="252"/>
      <c r="H5" s="252"/>
      <c r="I5" s="252"/>
      <c r="J5" s="1"/>
      <c r="K5" s="1"/>
      <c r="L5" s="1"/>
      <c r="M5" s="1"/>
      <c r="N5" s="1"/>
      <c r="O5" s="1"/>
      <c r="P5" s="1"/>
      <c r="Q5" s="1"/>
      <c r="R5" s="1"/>
      <c r="S5" s="1"/>
      <c r="T5" s="1"/>
      <c r="U5" s="1"/>
      <c r="V5" s="1"/>
      <c r="W5" s="1"/>
      <c r="X5" s="1"/>
      <c r="Y5" s="1"/>
      <c r="Z5" s="1"/>
    </row>
    <row r="6" spans="1:26" ht="24.75" customHeight="1" x14ac:dyDescent="0.3">
      <c r="A6" s="256" t="s">
        <v>615</v>
      </c>
      <c r="B6" s="257" t="s">
        <v>837</v>
      </c>
      <c r="C6" s="256">
        <v>9.5</v>
      </c>
      <c r="D6" s="256" t="str">
        <f t="shared" si="0"/>
        <v xml:space="preserve">Yếu </v>
      </c>
      <c r="E6" s="258" t="str">
        <f t="shared" si="1"/>
        <v>Giỏi</v>
      </c>
      <c r="F6" s="259">
        <f t="shared" si="2"/>
        <v>1</v>
      </c>
      <c r="G6" s="252"/>
      <c r="H6" s="252"/>
      <c r="I6" s="252"/>
      <c r="J6" s="1"/>
      <c r="K6" s="1"/>
      <c r="L6" s="1"/>
      <c r="M6" s="1"/>
      <c r="N6" s="1"/>
      <c r="O6" s="1"/>
      <c r="P6" s="1"/>
      <c r="Q6" s="1"/>
      <c r="R6" s="1"/>
      <c r="S6" s="1"/>
      <c r="T6" s="1"/>
      <c r="U6" s="1"/>
      <c r="V6" s="1"/>
      <c r="W6" s="1"/>
      <c r="X6" s="1"/>
      <c r="Y6" s="1"/>
      <c r="Z6" s="1"/>
    </row>
    <row r="7" spans="1:26" ht="23.25" customHeight="1" x14ac:dyDescent="0.3">
      <c r="A7" s="256" t="s">
        <v>615</v>
      </c>
      <c r="B7" s="257" t="s">
        <v>838</v>
      </c>
      <c r="C7" s="256">
        <v>3.5</v>
      </c>
      <c r="D7" s="256" t="str">
        <f t="shared" si="0"/>
        <v xml:space="preserve">Yếu </v>
      </c>
      <c r="E7" s="258" t="str">
        <f t="shared" si="1"/>
        <v xml:space="preserve">Yếu </v>
      </c>
      <c r="F7" s="259">
        <f t="shared" si="2"/>
        <v>7</v>
      </c>
      <c r="G7" s="252"/>
      <c r="H7" s="252"/>
      <c r="I7" s="252"/>
      <c r="J7" s="1"/>
      <c r="K7" s="1"/>
      <c r="L7" s="1"/>
      <c r="M7" s="1"/>
      <c r="N7" s="1"/>
      <c r="O7" s="1"/>
      <c r="P7" s="1"/>
      <c r="Q7" s="1"/>
      <c r="R7" s="1"/>
      <c r="S7" s="1"/>
      <c r="T7" s="1"/>
      <c r="U7" s="1"/>
      <c r="V7" s="1"/>
      <c r="W7" s="1"/>
      <c r="X7" s="1"/>
      <c r="Y7" s="1"/>
      <c r="Z7" s="1"/>
    </row>
    <row r="8" spans="1:26" ht="24" customHeight="1" x14ac:dyDescent="0.3">
      <c r="A8" s="256" t="s">
        <v>617</v>
      </c>
      <c r="B8" s="257" t="s">
        <v>839</v>
      </c>
      <c r="C8" s="256">
        <v>6.4</v>
      </c>
      <c r="D8" s="256" t="str">
        <f t="shared" si="0"/>
        <v>Trung Bình</v>
      </c>
      <c r="E8" s="258" t="str">
        <f t="shared" si="1"/>
        <v>Trung Bình</v>
      </c>
      <c r="F8" s="259">
        <f t="shared" si="2"/>
        <v>5</v>
      </c>
      <c r="G8" s="252"/>
      <c r="H8" s="252"/>
      <c r="I8" s="252"/>
      <c r="J8" s="1"/>
      <c r="K8" s="1"/>
      <c r="L8" s="1"/>
      <c r="M8" s="1"/>
      <c r="N8" s="1"/>
      <c r="O8" s="1"/>
      <c r="P8" s="1"/>
      <c r="Q8" s="1"/>
      <c r="R8" s="1"/>
      <c r="S8" s="1"/>
      <c r="T8" s="1"/>
      <c r="U8" s="1"/>
      <c r="V8" s="1"/>
      <c r="W8" s="1"/>
      <c r="X8" s="1"/>
      <c r="Y8" s="1"/>
      <c r="Z8" s="1"/>
    </row>
    <row r="9" spans="1:26" ht="24.75" customHeight="1" x14ac:dyDescent="0.3">
      <c r="A9" s="256" t="s">
        <v>619</v>
      </c>
      <c r="B9" s="257" t="s">
        <v>840</v>
      </c>
      <c r="C9" s="256">
        <v>8.6</v>
      </c>
      <c r="D9" s="256" t="str">
        <f t="shared" si="0"/>
        <v xml:space="preserve">Khá </v>
      </c>
      <c r="E9" s="258" t="str">
        <f t="shared" si="1"/>
        <v xml:space="preserve">Khá </v>
      </c>
      <c r="F9" s="259">
        <f t="shared" si="2"/>
        <v>3</v>
      </c>
      <c r="G9" s="252"/>
      <c r="H9" s="252"/>
      <c r="I9" s="252"/>
      <c r="J9" s="1"/>
      <c r="K9" s="1"/>
      <c r="L9" s="1"/>
      <c r="M9" s="1"/>
      <c r="N9" s="1"/>
      <c r="O9" s="1"/>
      <c r="P9" s="1"/>
      <c r="Q9" s="1"/>
      <c r="R9" s="1"/>
      <c r="S9" s="1"/>
      <c r="T9" s="1"/>
      <c r="U9" s="1"/>
      <c r="V9" s="1"/>
      <c r="W9" s="1"/>
      <c r="X9" s="1"/>
      <c r="Y9" s="1"/>
      <c r="Z9" s="1"/>
    </row>
    <row r="10" spans="1:26" ht="15.6" x14ac:dyDescent="0.3">
      <c r="A10" s="252"/>
      <c r="B10" s="252"/>
      <c r="C10" s="252"/>
      <c r="D10" s="252"/>
      <c r="E10" s="252"/>
      <c r="F10" s="252"/>
      <c r="G10" s="252"/>
      <c r="H10" s="252"/>
      <c r="I10" s="252"/>
      <c r="J10" s="1"/>
      <c r="K10" s="1"/>
      <c r="L10" s="1"/>
      <c r="M10" s="1"/>
      <c r="N10" s="1"/>
      <c r="O10" s="1"/>
      <c r="P10" s="1"/>
      <c r="Q10" s="1"/>
      <c r="R10" s="1"/>
      <c r="S10" s="1"/>
      <c r="T10" s="1"/>
      <c r="U10" s="1"/>
      <c r="V10" s="1"/>
      <c r="W10" s="1"/>
      <c r="X10" s="1"/>
      <c r="Y10" s="1"/>
      <c r="Z10" s="1"/>
    </row>
    <row r="11" spans="1:26" ht="15.6" x14ac:dyDescent="0.3">
      <c r="A11" s="252"/>
      <c r="B11" s="252"/>
      <c r="C11" s="252"/>
      <c r="D11" s="252"/>
      <c r="E11" s="252"/>
      <c r="F11" s="252"/>
      <c r="G11" s="252"/>
      <c r="H11" s="252"/>
      <c r="I11" s="252"/>
      <c r="J11" s="1"/>
      <c r="K11" s="1"/>
      <c r="L11" s="1"/>
      <c r="M11" s="1"/>
      <c r="N11" s="1"/>
      <c r="O11" s="1"/>
      <c r="P11" s="1"/>
      <c r="Q11" s="1"/>
      <c r="R11" s="1"/>
      <c r="S11" s="1"/>
      <c r="T11" s="1"/>
      <c r="U11" s="1"/>
      <c r="V11" s="1"/>
      <c r="W11" s="1"/>
      <c r="X11" s="1"/>
      <c r="Y11" s="1"/>
      <c r="Z11" s="1"/>
    </row>
    <row r="12" spans="1:26" ht="17.399999999999999" x14ac:dyDescent="0.3">
      <c r="A12" s="252"/>
      <c r="B12" s="252"/>
      <c r="C12" s="252"/>
      <c r="D12" s="252"/>
      <c r="E12" s="482" t="s">
        <v>841</v>
      </c>
      <c r="F12" s="399"/>
      <c r="G12" s="252"/>
      <c r="H12" s="482" t="s">
        <v>842</v>
      </c>
      <c r="I12" s="399"/>
      <c r="J12" s="1"/>
      <c r="K12" s="1"/>
      <c r="L12" s="1"/>
      <c r="M12" s="1"/>
      <c r="N12" s="1"/>
      <c r="O12" s="1"/>
      <c r="P12" s="1"/>
      <c r="Q12" s="1"/>
      <c r="R12" s="1"/>
      <c r="S12" s="1"/>
      <c r="T12" s="1"/>
      <c r="U12" s="1"/>
      <c r="V12" s="1"/>
      <c r="W12" s="1"/>
      <c r="X12" s="1"/>
      <c r="Y12" s="1"/>
      <c r="Z12" s="1"/>
    </row>
    <row r="13" spans="1:26" ht="33.75" customHeight="1" x14ac:dyDescent="0.3">
      <c r="A13" s="252"/>
      <c r="B13" s="252"/>
      <c r="C13" s="252"/>
      <c r="D13" s="252"/>
      <c r="E13" s="261" t="s">
        <v>383</v>
      </c>
      <c r="F13" s="261" t="s">
        <v>843</v>
      </c>
      <c r="G13" s="252"/>
      <c r="H13" s="261" t="s">
        <v>827</v>
      </c>
      <c r="I13" s="261" t="s">
        <v>843</v>
      </c>
      <c r="J13" s="1"/>
      <c r="K13" s="1"/>
      <c r="L13" s="1"/>
      <c r="M13" s="1"/>
      <c r="N13" s="1"/>
      <c r="O13" s="1"/>
      <c r="P13" s="1"/>
      <c r="Q13" s="1"/>
      <c r="R13" s="1"/>
      <c r="S13" s="1"/>
      <c r="T13" s="1"/>
      <c r="U13" s="1"/>
      <c r="V13" s="1"/>
      <c r="W13" s="1"/>
      <c r="X13" s="1"/>
      <c r="Y13" s="1"/>
      <c r="Z13" s="1"/>
    </row>
    <row r="14" spans="1:26" ht="15.6" x14ac:dyDescent="0.3">
      <c r="A14" s="252"/>
      <c r="B14" s="252"/>
      <c r="C14" s="252"/>
      <c r="D14" s="252"/>
      <c r="E14" s="262">
        <v>0</v>
      </c>
      <c r="F14" s="262" t="s">
        <v>844</v>
      </c>
      <c r="G14" s="252"/>
      <c r="H14" s="262" t="s">
        <v>615</v>
      </c>
      <c r="I14" s="262" t="s">
        <v>844</v>
      </c>
      <c r="J14" s="1"/>
      <c r="K14" s="1"/>
      <c r="L14" s="1"/>
      <c r="M14" s="1"/>
      <c r="N14" s="1"/>
      <c r="O14" s="1"/>
      <c r="P14" s="1"/>
      <c r="Q14" s="1"/>
      <c r="R14" s="1"/>
      <c r="S14" s="1"/>
      <c r="T14" s="1"/>
      <c r="U14" s="1"/>
      <c r="V14" s="1"/>
      <c r="W14" s="1"/>
      <c r="X14" s="1"/>
      <c r="Y14" s="1"/>
      <c r="Z14" s="1"/>
    </row>
    <row r="15" spans="1:26" ht="15.6" x14ac:dyDescent="0.3">
      <c r="A15" s="252"/>
      <c r="B15" s="252"/>
      <c r="C15" s="252"/>
      <c r="D15" s="252"/>
      <c r="E15" s="262">
        <v>5</v>
      </c>
      <c r="F15" s="262" t="s">
        <v>845</v>
      </c>
      <c r="G15" s="252"/>
      <c r="H15" s="262" t="s">
        <v>617</v>
      </c>
      <c r="I15" s="262" t="s">
        <v>845</v>
      </c>
      <c r="J15" s="1"/>
      <c r="K15" s="1"/>
      <c r="L15" s="1"/>
      <c r="M15" s="1"/>
      <c r="N15" s="1"/>
      <c r="O15" s="1"/>
      <c r="P15" s="1"/>
      <c r="Q15" s="1"/>
      <c r="R15" s="1"/>
      <c r="S15" s="1"/>
      <c r="T15" s="1"/>
      <c r="U15" s="1"/>
      <c r="V15" s="1"/>
      <c r="W15" s="1"/>
      <c r="X15" s="1"/>
      <c r="Y15" s="1"/>
      <c r="Z15" s="1"/>
    </row>
    <row r="16" spans="1:26" ht="15.6" x14ac:dyDescent="0.3">
      <c r="A16" s="252"/>
      <c r="B16" s="252"/>
      <c r="C16" s="252"/>
      <c r="D16" s="252"/>
      <c r="E16" s="262">
        <v>7</v>
      </c>
      <c r="F16" s="262" t="s">
        <v>846</v>
      </c>
      <c r="G16" s="252"/>
      <c r="H16" s="262" t="s">
        <v>619</v>
      </c>
      <c r="I16" s="262" t="s">
        <v>846</v>
      </c>
      <c r="J16" s="1"/>
      <c r="K16" s="1"/>
      <c r="L16" s="1"/>
      <c r="M16" s="1"/>
      <c r="N16" s="1"/>
      <c r="O16" s="1"/>
      <c r="P16" s="1"/>
      <c r="Q16" s="1"/>
      <c r="R16" s="1"/>
      <c r="S16" s="1"/>
      <c r="T16" s="1"/>
      <c r="U16" s="1"/>
      <c r="V16" s="1"/>
      <c r="W16" s="1"/>
      <c r="X16" s="1"/>
      <c r="Y16" s="1"/>
      <c r="Z16" s="1"/>
    </row>
    <row r="17" spans="1:26" ht="15.6" x14ac:dyDescent="0.3">
      <c r="A17" s="252"/>
      <c r="B17" s="252"/>
      <c r="C17" s="252"/>
      <c r="D17" s="252"/>
      <c r="E17" s="262">
        <v>9</v>
      </c>
      <c r="F17" s="262" t="s">
        <v>847</v>
      </c>
      <c r="G17" s="252"/>
      <c r="H17" s="262" t="s">
        <v>620</v>
      </c>
      <c r="I17" s="262" t="s">
        <v>847</v>
      </c>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0.399999999999999" x14ac:dyDescent="0.35">
      <c r="A20" s="483"/>
      <c r="B20" s="392"/>
      <c r="C20" s="392"/>
      <c r="D20" s="392"/>
      <c r="E20" s="392"/>
      <c r="F20" s="392"/>
      <c r="G20" s="392"/>
      <c r="I20" s="1"/>
      <c r="J20" s="1"/>
      <c r="K20" s="1"/>
      <c r="L20" s="1"/>
      <c r="M20" s="1"/>
      <c r="N20" s="1"/>
      <c r="O20" s="1"/>
      <c r="P20" s="1"/>
      <c r="Q20" s="1"/>
      <c r="R20" s="1"/>
      <c r="S20" s="1"/>
      <c r="T20" s="1"/>
      <c r="U20" s="1"/>
      <c r="V20" s="1"/>
      <c r="W20" s="1"/>
      <c r="X20" s="1"/>
      <c r="Y20" s="1"/>
      <c r="Z20" s="1"/>
    </row>
    <row r="21" spans="1:26" ht="15.75" customHeight="1" x14ac:dyDescent="0.3">
      <c r="A21" s="484"/>
      <c r="B21" s="392"/>
      <c r="C21" s="392"/>
      <c r="D21" s="392"/>
      <c r="E21" s="392"/>
      <c r="F21" s="392"/>
      <c r="G21" s="392"/>
      <c r="I21" s="1"/>
      <c r="J21" s="1"/>
      <c r="K21" s="1"/>
      <c r="L21" s="1"/>
      <c r="M21" s="1"/>
      <c r="N21" s="1"/>
      <c r="O21" s="1"/>
      <c r="P21" s="1"/>
      <c r="Q21" s="1"/>
      <c r="R21" s="1"/>
      <c r="S21" s="1"/>
      <c r="T21" s="1"/>
      <c r="U21" s="1"/>
      <c r="V21" s="1"/>
      <c r="W21" s="1"/>
      <c r="X21" s="1"/>
      <c r="Y21" s="1"/>
      <c r="Z21" s="1"/>
    </row>
    <row r="22" spans="1:26" ht="15.75" customHeight="1" x14ac:dyDescent="0.3">
      <c r="A22" s="263" t="s">
        <v>848</v>
      </c>
      <c r="B22" s="1"/>
      <c r="C22" s="1"/>
      <c r="D22" s="28"/>
      <c r="E22" s="28"/>
      <c r="F22" s="28"/>
      <c r="G22" s="1"/>
      <c r="I22" s="1"/>
      <c r="J22" s="1"/>
      <c r="K22" s="1"/>
      <c r="L22" s="1"/>
      <c r="M22" s="1"/>
      <c r="N22" s="1"/>
      <c r="O22" s="1"/>
      <c r="P22" s="1"/>
      <c r="Q22" s="1"/>
      <c r="R22" s="1"/>
      <c r="S22" s="1"/>
      <c r="T22" s="1"/>
      <c r="U22" s="1"/>
      <c r="V22" s="1"/>
      <c r="W22" s="1"/>
      <c r="X22" s="1"/>
      <c r="Y22" s="1"/>
      <c r="Z22" s="1"/>
    </row>
    <row r="23" spans="1:26" ht="15.75" customHeight="1" x14ac:dyDescent="0.3">
      <c r="A23" s="1" t="s">
        <v>849</v>
      </c>
      <c r="B23" s="1"/>
      <c r="C23" s="1"/>
      <c r="D23" s="28"/>
      <c r="E23" s="28"/>
      <c r="F23" s="28"/>
      <c r="G23" s="1"/>
      <c r="I23" s="1"/>
      <c r="J23" s="1"/>
      <c r="K23" s="1"/>
      <c r="L23" s="1"/>
      <c r="M23" s="1"/>
      <c r="N23" s="1"/>
      <c r="O23" s="1"/>
      <c r="P23" s="1"/>
      <c r="Q23" s="1"/>
      <c r="R23" s="1"/>
      <c r="S23" s="1"/>
      <c r="T23" s="1"/>
      <c r="U23" s="1"/>
      <c r="V23" s="1"/>
      <c r="W23" s="1"/>
      <c r="X23" s="1"/>
      <c r="Y23" s="1"/>
      <c r="Z23" s="1"/>
    </row>
    <row r="24" spans="1:26" ht="15.75" customHeight="1" x14ac:dyDescent="0.3">
      <c r="A24" s="264"/>
      <c r="I24" s="1"/>
      <c r="J24" s="1"/>
      <c r="K24" s="1"/>
      <c r="L24" s="1"/>
      <c r="M24" s="1"/>
      <c r="N24" s="1"/>
      <c r="O24" s="1"/>
      <c r="P24" s="1"/>
      <c r="Q24" s="1"/>
      <c r="R24" s="1"/>
      <c r="S24" s="1"/>
      <c r="T24" s="1"/>
      <c r="U24" s="1"/>
      <c r="V24" s="1"/>
      <c r="W24" s="1"/>
      <c r="X24" s="1"/>
      <c r="Y24" s="1"/>
      <c r="Z24" s="1"/>
    </row>
    <row r="25" spans="1:26" ht="15.75" customHeight="1" x14ac:dyDescent="0.3">
      <c r="I25" s="1"/>
      <c r="J25" s="1"/>
      <c r="K25" s="1"/>
      <c r="L25" s="1"/>
      <c r="M25" s="1"/>
      <c r="N25" s="1"/>
      <c r="O25" s="1"/>
      <c r="P25" s="1"/>
      <c r="Q25" s="1"/>
      <c r="R25" s="1"/>
      <c r="S25" s="1"/>
      <c r="T25" s="1"/>
      <c r="U25" s="1"/>
      <c r="V25" s="1"/>
      <c r="W25" s="1"/>
      <c r="X25" s="1"/>
      <c r="Y25" s="1"/>
      <c r="Z25" s="1"/>
    </row>
    <row r="26" spans="1:26" ht="15.75" customHeight="1" x14ac:dyDescent="0.3">
      <c r="I26" s="1"/>
      <c r="J26" s="1"/>
      <c r="K26" s="1"/>
      <c r="L26" s="1"/>
      <c r="M26" s="1"/>
      <c r="N26" s="1"/>
      <c r="O26" s="1"/>
      <c r="P26" s="1"/>
      <c r="Q26" s="1"/>
      <c r="R26" s="1"/>
      <c r="S26" s="1"/>
      <c r="T26" s="1"/>
      <c r="U26" s="1"/>
      <c r="V26" s="1"/>
      <c r="W26" s="1"/>
      <c r="X26" s="1"/>
      <c r="Y26" s="1"/>
      <c r="Z26" s="1"/>
    </row>
    <row r="27" spans="1:26" ht="15.75" customHeight="1" x14ac:dyDescent="0.3">
      <c r="A27" s="485" t="s">
        <v>850</v>
      </c>
      <c r="B27" s="394"/>
      <c r="C27" s="394"/>
      <c r="D27" s="394"/>
      <c r="E27" s="394"/>
      <c r="F27" s="394"/>
      <c r="G27" s="394"/>
      <c r="H27" s="395"/>
      <c r="I27" s="1"/>
      <c r="J27" s="1"/>
      <c r="K27" s="1"/>
      <c r="L27" s="1"/>
      <c r="M27" s="1"/>
      <c r="N27" s="1"/>
      <c r="O27" s="1"/>
      <c r="P27" s="1"/>
      <c r="Q27" s="1"/>
      <c r="R27" s="1"/>
      <c r="S27" s="1"/>
      <c r="T27" s="1"/>
      <c r="U27" s="1"/>
      <c r="V27" s="1"/>
      <c r="W27" s="1"/>
      <c r="X27" s="1"/>
      <c r="Y27" s="1"/>
      <c r="Z27" s="1"/>
    </row>
    <row r="28" spans="1:26" ht="15.75" customHeight="1" x14ac:dyDescent="0.3">
      <c r="A28" s="52" t="s">
        <v>177</v>
      </c>
      <c r="B28" s="52" t="s">
        <v>178</v>
      </c>
      <c r="C28" s="52" t="s">
        <v>179</v>
      </c>
      <c r="D28" s="52" t="s">
        <v>203</v>
      </c>
      <c r="E28" s="52" t="s">
        <v>851</v>
      </c>
      <c r="F28" s="52" t="s">
        <v>852</v>
      </c>
      <c r="G28" s="52" t="s">
        <v>204</v>
      </c>
      <c r="H28" s="52" t="s">
        <v>205</v>
      </c>
      <c r="I28" s="1"/>
      <c r="J28" s="1"/>
      <c r="K28" s="1"/>
      <c r="L28" s="1"/>
      <c r="M28" s="1"/>
      <c r="N28" s="1"/>
      <c r="O28" s="1"/>
      <c r="P28" s="1"/>
      <c r="Q28" s="1"/>
      <c r="R28" s="1"/>
      <c r="S28" s="1"/>
      <c r="T28" s="1"/>
      <c r="U28" s="1"/>
      <c r="V28" s="1"/>
      <c r="W28" s="1"/>
      <c r="X28" s="1"/>
      <c r="Y28" s="1"/>
      <c r="Z28" s="1"/>
    </row>
    <row r="29" spans="1:26" ht="15.75" customHeight="1" x14ac:dyDescent="0.3">
      <c r="A29" s="53">
        <v>1</v>
      </c>
      <c r="B29" s="53" t="s">
        <v>180</v>
      </c>
      <c r="C29" s="53" t="s">
        <v>853</v>
      </c>
      <c r="D29" s="265" t="str">
        <f>VLOOKUP(LEFT(B29),$B$43:$C$45,2,0)</f>
        <v>Kinh Doanh</v>
      </c>
      <c r="E29" s="53" t="s">
        <v>25</v>
      </c>
      <c r="F29" s="265">
        <f>VLOOKUP(E29,$E$43:$F$47,2,0)</f>
        <v>1000000</v>
      </c>
      <c r="G29" s="55">
        <v>550000</v>
      </c>
      <c r="H29" s="266">
        <f>F29+G29*4</f>
        <v>3200000</v>
      </c>
      <c r="I29" s="1"/>
      <c r="J29" s="1"/>
      <c r="K29" s="1"/>
      <c r="L29" s="1"/>
      <c r="M29" s="1"/>
      <c r="N29" s="1"/>
      <c r="O29" s="1"/>
      <c r="P29" s="1"/>
      <c r="Q29" s="1"/>
      <c r="R29" s="1"/>
      <c r="S29" s="1"/>
      <c r="T29" s="1"/>
      <c r="U29" s="1"/>
      <c r="V29" s="1"/>
      <c r="W29" s="1"/>
      <c r="X29" s="1"/>
      <c r="Y29" s="1"/>
      <c r="Z29" s="1"/>
    </row>
    <row r="30" spans="1:26" ht="15.75" customHeight="1" x14ac:dyDescent="0.3">
      <c r="A30" s="53">
        <v>2</v>
      </c>
      <c r="B30" s="53" t="s">
        <v>181</v>
      </c>
      <c r="C30" s="53" t="s">
        <v>23</v>
      </c>
      <c r="D30" s="265" t="str">
        <f t="shared" ref="D30:D38" si="3">VLOOKUP(LEFT(B30),$B$43:$C$45,2,0)</f>
        <v>Kế toán</v>
      </c>
      <c r="E30" s="53" t="s">
        <v>28</v>
      </c>
      <c r="F30" s="265">
        <f t="shared" ref="F30:F38" si="4">VLOOKUP(E30,$E$43:$F$47,2,0)</f>
        <v>800000</v>
      </c>
      <c r="G30" s="55">
        <v>450000</v>
      </c>
      <c r="H30" s="266">
        <f t="shared" ref="H30:H38" si="5">F30+G30*4</f>
        <v>2600000</v>
      </c>
      <c r="I30" s="1"/>
      <c r="J30" s="1"/>
      <c r="K30" s="1"/>
      <c r="L30" s="1"/>
      <c r="M30" s="1"/>
      <c r="N30" s="1"/>
      <c r="O30" s="1"/>
      <c r="P30" s="1"/>
      <c r="Q30" s="1"/>
      <c r="R30" s="1"/>
      <c r="S30" s="1"/>
      <c r="T30" s="1"/>
      <c r="U30" s="1"/>
      <c r="V30" s="1"/>
      <c r="W30" s="1"/>
      <c r="X30" s="1"/>
      <c r="Y30" s="1"/>
      <c r="Z30" s="1"/>
    </row>
    <row r="31" spans="1:26" ht="15.75" customHeight="1" x14ac:dyDescent="0.3">
      <c r="A31" s="53">
        <v>3</v>
      </c>
      <c r="B31" s="53" t="s">
        <v>182</v>
      </c>
      <c r="C31" s="53" t="s">
        <v>854</v>
      </c>
      <c r="D31" s="265" t="str">
        <f t="shared" si="3"/>
        <v>Kinh Doanh</v>
      </c>
      <c r="E31" s="53" t="s">
        <v>22</v>
      </c>
      <c r="F31" s="265">
        <f t="shared" si="4"/>
        <v>700000</v>
      </c>
      <c r="G31" s="55">
        <v>430000</v>
      </c>
      <c r="H31" s="266">
        <f t="shared" si="5"/>
        <v>2420000</v>
      </c>
      <c r="I31" s="1"/>
      <c r="J31" s="1"/>
      <c r="K31" s="1"/>
      <c r="L31" s="1"/>
      <c r="M31" s="1"/>
      <c r="N31" s="1"/>
      <c r="O31" s="1"/>
      <c r="P31" s="1"/>
      <c r="Q31" s="1"/>
      <c r="R31" s="1"/>
      <c r="S31" s="1"/>
      <c r="T31" s="1"/>
      <c r="U31" s="1"/>
      <c r="V31" s="1"/>
      <c r="W31" s="1"/>
      <c r="X31" s="1"/>
      <c r="Y31" s="1"/>
      <c r="Z31" s="1"/>
    </row>
    <row r="32" spans="1:26" ht="15.75" customHeight="1" x14ac:dyDescent="0.3">
      <c r="A32" s="53">
        <v>4</v>
      </c>
      <c r="B32" s="53" t="s">
        <v>183</v>
      </c>
      <c r="C32" s="53" t="s">
        <v>855</v>
      </c>
      <c r="D32" s="265" t="str">
        <f t="shared" si="3"/>
        <v>Kỹ thuật</v>
      </c>
      <c r="E32" s="53" t="s">
        <v>16</v>
      </c>
      <c r="F32" s="265">
        <f t="shared" si="4"/>
        <v>400000</v>
      </c>
      <c r="G32" s="55">
        <v>300000</v>
      </c>
      <c r="H32" s="266">
        <f t="shared" si="5"/>
        <v>1600000</v>
      </c>
      <c r="I32" s="1"/>
      <c r="J32" s="1"/>
      <c r="K32" s="1"/>
      <c r="L32" s="1"/>
      <c r="M32" s="1"/>
      <c r="N32" s="1"/>
      <c r="O32" s="1"/>
      <c r="P32" s="1"/>
      <c r="Q32" s="1"/>
      <c r="R32" s="1"/>
      <c r="S32" s="1"/>
      <c r="T32" s="1"/>
      <c r="U32" s="1"/>
      <c r="V32" s="1"/>
      <c r="W32" s="1"/>
      <c r="X32" s="1"/>
      <c r="Y32" s="1"/>
      <c r="Z32" s="1"/>
    </row>
    <row r="33" spans="1:26" ht="15.75" customHeight="1" x14ac:dyDescent="0.3">
      <c r="A33" s="53">
        <v>5</v>
      </c>
      <c r="B33" s="53" t="s">
        <v>185</v>
      </c>
      <c r="C33" s="53" t="s">
        <v>24</v>
      </c>
      <c r="D33" s="265" t="str">
        <f t="shared" si="3"/>
        <v>Kinh Doanh</v>
      </c>
      <c r="E33" s="53" t="s">
        <v>22</v>
      </c>
      <c r="F33" s="265">
        <f t="shared" si="4"/>
        <v>700000</v>
      </c>
      <c r="G33" s="55">
        <v>450000</v>
      </c>
      <c r="H33" s="266">
        <f t="shared" si="5"/>
        <v>2500000</v>
      </c>
      <c r="I33" s="1"/>
      <c r="J33" s="1"/>
      <c r="K33" s="1"/>
      <c r="L33" s="1"/>
      <c r="M33" s="1"/>
      <c r="N33" s="1"/>
      <c r="O33" s="1"/>
      <c r="P33" s="1"/>
      <c r="Q33" s="1"/>
      <c r="R33" s="1"/>
      <c r="S33" s="1"/>
      <c r="T33" s="1"/>
      <c r="U33" s="1"/>
      <c r="V33" s="1"/>
      <c r="W33" s="1"/>
      <c r="X33" s="1"/>
      <c r="Y33" s="1"/>
      <c r="Z33" s="1"/>
    </row>
    <row r="34" spans="1:26" ht="15.75" customHeight="1" x14ac:dyDescent="0.3">
      <c r="A34" s="53">
        <v>6</v>
      </c>
      <c r="B34" s="53" t="s">
        <v>187</v>
      </c>
      <c r="C34" s="53" t="s">
        <v>856</v>
      </c>
      <c r="D34" s="265" t="str">
        <f t="shared" si="3"/>
        <v>Kế toán</v>
      </c>
      <c r="E34" s="53" t="s">
        <v>749</v>
      </c>
      <c r="F34" s="265">
        <f t="shared" si="4"/>
        <v>500000</v>
      </c>
      <c r="G34" s="55">
        <v>350000</v>
      </c>
      <c r="H34" s="266">
        <f t="shared" si="5"/>
        <v>1900000</v>
      </c>
      <c r="I34" s="1"/>
      <c r="J34" s="1"/>
      <c r="K34" s="1"/>
      <c r="L34" s="1"/>
      <c r="M34" s="1"/>
      <c r="N34" s="1"/>
      <c r="O34" s="1"/>
      <c r="P34" s="1"/>
      <c r="Q34" s="1"/>
      <c r="R34" s="1"/>
      <c r="S34" s="1"/>
      <c r="T34" s="1"/>
      <c r="U34" s="1"/>
      <c r="V34" s="1"/>
      <c r="W34" s="1"/>
      <c r="X34" s="1"/>
      <c r="Y34" s="1"/>
      <c r="Z34" s="1"/>
    </row>
    <row r="35" spans="1:26" ht="15.75" customHeight="1" x14ac:dyDescent="0.3">
      <c r="A35" s="53">
        <v>7</v>
      </c>
      <c r="B35" s="53" t="s">
        <v>189</v>
      </c>
      <c r="C35" s="53" t="s">
        <v>857</v>
      </c>
      <c r="D35" s="265" t="str">
        <f t="shared" si="3"/>
        <v>Kỹ thuật</v>
      </c>
      <c r="E35" s="53" t="s">
        <v>16</v>
      </c>
      <c r="F35" s="265">
        <f t="shared" si="4"/>
        <v>400000</v>
      </c>
      <c r="G35" s="55">
        <v>300000</v>
      </c>
      <c r="H35" s="266">
        <f t="shared" si="5"/>
        <v>1600000</v>
      </c>
      <c r="I35" s="1"/>
      <c r="J35" s="1"/>
      <c r="K35" s="1"/>
      <c r="L35" s="1"/>
      <c r="M35" s="1"/>
      <c r="N35" s="1"/>
      <c r="O35" s="1"/>
      <c r="P35" s="1"/>
      <c r="Q35" s="1"/>
      <c r="R35" s="1"/>
      <c r="S35" s="1"/>
      <c r="T35" s="1"/>
      <c r="U35" s="1"/>
      <c r="V35" s="1"/>
      <c r="W35" s="1"/>
      <c r="X35" s="1"/>
      <c r="Y35" s="1"/>
      <c r="Z35" s="1"/>
    </row>
    <row r="36" spans="1:26" ht="15.75" customHeight="1" x14ac:dyDescent="0.3">
      <c r="A36" s="53">
        <v>8</v>
      </c>
      <c r="B36" s="53" t="s">
        <v>191</v>
      </c>
      <c r="C36" s="53" t="s">
        <v>858</v>
      </c>
      <c r="D36" s="265" t="str">
        <f t="shared" si="3"/>
        <v>Kế toán</v>
      </c>
      <c r="E36" s="53" t="s">
        <v>16</v>
      </c>
      <c r="F36" s="265">
        <f t="shared" si="4"/>
        <v>400000</v>
      </c>
      <c r="G36" s="55">
        <v>330000</v>
      </c>
      <c r="H36" s="266">
        <f t="shared" si="5"/>
        <v>1720000</v>
      </c>
      <c r="I36" s="1"/>
      <c r="J36" s="1"/>
      <c r="K36" s="1"/>
      <c r="L36" s="1"/>
      <c r="M36" s="1"/>
      <c r="N36" s="1"/>
      <c r="O36" s="1"/>
      <c r="P36" s="1"/>
      <c r="Q36" s="1"/>
      <c r="R36" s="1"/>
      <c r="S36" s="1"/>
      <c r="T36" s="1"/>
      <c r="U36" s="1"/>
      <c r="V36" s="1"/>
      <c r="W36" s="1"/>
      <c r="X36" s="1"/>
      <c r="Y36" s="1"/>
      <c r="Z36" s="1"/>
    </row>
    <row r="37" spans="1:26" ht="15.75" customHeight="1" x14ac:dyDescent="0.3">
      <c r="A37" s="53">
        <v>9</v>
      </c>
      <c r="B37" s="53" t="s">
        <v>193</v>
      </c>
      <c r="C37" s="53" t="s">
        <v>859</v>
      </c>
      <c r="D37" s="265" t="str">
        <f t="shared" si="3"/>
        <v>Kinh Doanh</v>
      </c>
      <c r="E37" s="53" t="s">
        <v>16</v>
      </c>
      <c r="F37" s="265">
        <f t="shared" si="4"/>
        <v>400000</v>
      </c>
      <c r="G37" s="55">
        <v>320000</v>
      </c>
      <c r="H37" s="266">
        <f t="shared" si="5"/>
        <v>1680000</v>
      </c>
      <c r="I37" s="1"/>
      <c r="J37" s="1"/>
      <c r="K37" s="1"/>
      <c r="L37" s="1"/>
      <c r="M37" s="1"/>
      <c r="N37" s="1"/>
      <c r="O37" s="1"/>
      <c r="P37" s="1"/>
      <c r="Q37" s="1"/>
      <c r="R37" s="1"/>
      <c r="S37" s="1"/>
      <c r="T37" s="1"/>
      <c r="U37" s="1"/>
      <c r="V37" s="1"/>
      <c r="W37" s="1"/>
      <c r="X37" s="1"/>
      <c r="Y37" s="1"/>
      <c r="Z37" s="1"/>
    </row>
    <row r="38" spans="1:26" ht="15.75" customHeight="1" x14ac:dyDescent="0.3">
      <c r="A38" s="53">
        <v>10</v>
      </c>
      <c r="B38" s="53" t="s">
        <v>195</v>
      </c>
      <c r="C38" s="53" t="s">
        <v>860</v>
      </c>
      <c r="D38" s="265" t="str">
        <f t="shared" si="3"/>
        <v>Kế toán</v>
      </c>
      <c r="E38" s="53" t="s">
        <v>16</v>
      </c>
      <c r="F38" s="265">
        <f t="shared" si="4"/>
        <v>400000</v>
      </c>
      <c r="G38" s="55">
        <v>310000</v>
      </c>
      <c r="H38" s="266">
        <f t="shared" si="5"/>
        <v>1640000</v>
      </c>
      <c r="I38" s="1"/>
      <c r="J38" s="1"/>
      <c r="K38" s="1"/>
      <c r="L38" s="1"/>
      <c r="M38" s="1"/>
      <c r="N38" s="1"/>
      <c r="O38" s="1"/>
      <c r="P38" s="1"/>
      <c r="Q38" s="1"/>
      <c r="R38" s="1"/>
      <c r="S38" s="1"/>
      <c r="T38" s="1"/>
      <c r="U38" s="1"/>
      <c r="V38" s="1"/>
      <c r="W38" s="1"/>
      <c r="X38" s="1"/>
      <c r="Y38" s="1"/>
      <c r="Z38" s="1"/>
    </row>
    <row r="39" spans="1:26" ht="15.75" customHeight="1" x14ac:dyDescent="0.3">
      <c r="I39" s="1"/>
      <c r="J39" s="1"/>
      <c r="K39" s="1"/>
      <c r="L39" s="1"/>
      <c r="M39" s="1"/>
      <c r="N39" s="1"/>
      <c r="O39" s="1"/>
      <c r="P39" s="1"/>
      <c r="Q39" s="1"/>
      <c r="R39" s="1"/>
      <c r="S39" s="1"/>
      <c r="T39" s="1"/>
      <c r="U39" s="1"/>
      <c r="V39" s="1"/>
      <c r="W39" s="1"/>
      <c r="X39" s="1"/>
      <c r="Y39" s="1"/>
      <c r="Z39" s="1"/>
    </row>
    <row r="40" spans="1:26" ht="15.75" customHeight="1" x14ac:dyDescent="0.3">
      <c r="I40" s="1"/>
      <c r="J40" s="1"/>
      <c r="K40" s="1"/>
      <c r="L40" s="1"/>
      <c r="M40" s="1"/>
      <c r="N40" s="1"/>
      <c r="O40" s="1"/>
      <c r="P40" s="1"/>
      <c r="Q40" s="1"/>
      <c r="R40" s="1"/>
      <c r="S40" s="1"/>
      <c r="T40" s="1"/>
      <c r="U40" s="1"/>
      <c r="V40" s="1"/>
      <c r="W40" s="1"/>
      <c r="X40" s="1"/>
      <c r="Y40" s="1"/>
      <c r="Z40" s="1"/>
    </row>
    <row r="41" spans="1:26" ht="15.75" customHeight="1" x14ac:dyDescent="0.3">
      <c r="I41" s="1"/>
      <c r="J41" s="1"/>
      <c r="K41" s="1"/>
      <c r="L41" s="1"/>
      <c r="M41" s="1"/>
      <c r="N41" s="1"/>
      <c r="O41" s="1"/>
      <c r="P41" s="1"/>
      <c r="Q41" s="1"/>
      <c r="R41" s="1"/>
      <c r="S41" s="1"/>
      <c r="T41" s="1"/>
      <c r="U41" s="1"/>
      <c r="V41" s="1"/>
      <c r="W41" s="1"/>
      <c r="X41" s="1"/>
      <c r="Y41" s="1"/>
      <c r="Z41" s="1"/>
    </row>
    <row r="42" spans="1:26" ht="15.75" customHeight="1" x14ac:dyDescent="0.3">
      <c r="B42" s="479" t="s">
        <v>861</v>
      </c>
      <c r="C42" s="390"/>
      <c r="D42" s="252"/>
      <c r="E42" s="479" t="s">
        <v>862</v>
      </c>
      <c r="F42" s="390"/>
      <c r="I42" s="1"/>
      <c r="J42" s="1"/>
      <c r="K42" s="1"/>
      <c r="L42" s="1"/>
      <c r="M42" s="1"/>
      <c r="N42" s="1"/>
      <c r="O42" s="1"/>
      <c r="P42" s="1"/>
      <c r="Q42" s="1"/>
      <c r="R42" s="1"/>
      <c r="S42" s="1"/>
      <c r="T42" s="1"/>
      <c r="U42" s="1"/>
      <c r="V42" s="1"/>
      <c r="W42" s="1"/>
      <c r="X42" s="1"/>
      <c r="Y42" s="1"/>
      <c r="Z42" s="1"/>
    </row>
    <row r="43" spans="1:26" ht="15.75" customHeight="1" x14ac:dyDescent="0.3">
      <c r="B43" s="267" t="s">
        <v>615</v>
      </c>
      <c r="C43" s="267" t="s">
        <v>863</v>
      </c>
      <c r="D43" s="252"/>
      <c r="E43" s="267" t="s">
        <v>25</v>
      </c>
      <c r="F43" s="267">
        <v>1000000</v>
      </c>
      <c r="I43" s="1"/>
      <c r="J43" s="1"/>
      <c r="K43" s="1"/>
      <c r="L43" s="1"/>
      <c r="M43" s="1"/>
      <c r="N43" s="1"/>
      <c r="O43" s="1"/>
      <c r="P43" s="1"/>
      <c r="Q43" s="1"/>
      <c r="R43" s="1"/>
      <c r="S43" s="1"/>
      <c r="T43" s="1"/>
      <c r="U43" s="1"/>
      <c r="V43" s="1"/>
      <c r="W43" s="1"/>
      <c r="X43" s="1"/>
      <c r="Y43" s="1"/>
      <c r="Z43" s="1"/>
    </row>
    <row r="44" spans="1:26" ht="15.75" customHeight="1" x14ac:dyDescent="0.3">
      <c r="B44" s="267" t="s">
        <v>617</v>
      </c>
      <c r="C44" s="267" t="s">
        <v>211</v>
      </c>
      <c r="D44" s="252"/>
      <c r="E44" s="267" t="s">
        <v>28</v>
      </c>
      <c r="F44" s="267">
        <v>800000</v>
      </c>
      <c r="I44" s="1"/>
      <c r="J44" s="1"/>
      <c r="K44" s="1"/>
      <c r="L44" s="1"/>
      <c r="M44" s="1"/>
      <c r="N44" s="1"/>
      <c r="O44" s="1"/>
      <c r="P44" s="1"/>
      <c r="Q44" s="1"/>
      <c r="R44" s="1"/>
      <c r="S44" s="1"/>
      <c r="T44" s="1"/>
      <c r="U44" s="1"/>
      <c r="V44" s="1"/>
      <c r="W44" s="1"/>
      <c r="X44" s="1"/>
      <c r="Y44" s="1"/>
      <c r="Z44" s="1"/>
    </row>
    <row r="45" spans="1:26" ht="15.75" customHeight="1" x14ac:dyDescent="0.3">
      <c r="B45" s="267" t="s">
        <v>619</v>
      </c>
      <c r="C45" s="267" t="s">
        <v>209</v>
      </c>
      <c r="D45" s="252"/>
      <c r="E45" s="267" t="s">
        <v>22</v>
      </c>
      <c r="F45" s="267">
        <v>700000</v>
      </c>
      <c r="I45" s="1"/>
      <c r="J45" s="1"/>
      <c r="K45" s="1"/>
      <c r="L45" s="1"/>
      <c r="M45" s="1"/>
      <c r="N45" s="1"/>
      <c r="O45" s="1"/>
      <c r="P45" s="1"/>
      <c r="Q45" s="1"/>
      <c r="R45" s="1"/>
      <c r="S45" s="1"/>
      <c r="T45" s="1"/>
      <c r="U45" s="1"/>
      <c r="V45" s="1"/>
      <c r="W45" s="1"/>
      <c r="X45" s="1"/>
      <c r="Y45" s="1"/>
      <c r="Z45" s="1"/>
    </row>
    <row r="46" spans="1:26" ht="15.75" customHeight="1" x14ac:dyDescent="0.3">
      <c r="B46" s="252"/>
      <c r="C46" s="252"/>
      <c r="D46" s="252"/>
      <c r="E46" s="267" t="s">
        <v>749</v>
      </c>
      <c r="F46" s="267">
        <v>500000</v>
      </c>
      <c r="I46" s="1"/>
      <c r="J46" s="1"/>
      <c r="K46" s="1"/>
      <c r="L46" s="1"/>
      <c r="M46" s="1"/>
      <c r="N46" s="1"/>
      <c r="O46" s="1"/>
      <c r="P46" s="1"/>
      <c r="Q46" s="1"/>
      <c r="R46" s="1"/>
      <c r="S46" s="1"/>
      <c r="T46" s="1"/>
      <c r="U46" s="1"/>
      <c r="V46" s="1"/>
      <c r="W46" s="1"/>
      <c r="X46" s="1"/>
      <c r="Y46" s="1"/>
      <c r="Z46" s="1"/>
    </row>
    <row r="47" spans="1:26" ht="15.75" customHeight="1" x14ac:dyDescent="0.3">
      <c r="B47" s="252"/>
      <c r="C47" s="252"/>
      <c r="D47" s="252"/>
      <c r="E47" s="267" t="s">
        <v>16</v>
      </c>
      <c r="F47" s="267">
        <v>400000</v>
      </c>
      <c r="I47" s="1"/>
      <c r="J47" s="1"/>
      <c r="K47" s="1"/>
      <c r="L47" s="1"/>
      <c r="M47" s="1"/>
      <c r="N47" s="1"/>
      <c r="O47" s="1"/>
      <c r="P47" s="1"/>
      <c r="Q47" s="1"/>
      <c r="R47" s="1"/>
      <c r="S47" s="1"/>
      <c r="T47" s="1"/>
      <c r="U47" s="1"/>
      <c r="V47" s="1"/>
      <c r="W47" s="1"/>
      <c r="X47" s="1"/>
      <c r="Y47" s="1"/>
      <c r="Z47" s="1"/>
    </row>
    <row r="48" spans="1:26" ht="15.75" customHeight="1" x14ac:dyDescent="0.3">
      <c r="I48" s="1"/>
      <c r="J48" s="1"/>
      <c r="K48" s="1"/>
      <c r="L48" s="1"/>
      <c r="M48" s="1"/>
      <c r="N48" s="1"/>
      <c r="O48" s="1"/>
      <c r="P48" s="1"/>
      <c r="Q48" s="1"/>
      <c r="R48" s="1"/>
      <c r="S48" s="1"/>
      <c r="T48" s="1"/>
      <c r="U48" s="1"/>
      <c r="V48" s="1"/>
      <c r="W48" s="1"/>
      <c r="X48" s="1"/>
      <c r="Y48" s="1"/>
      <c r="Z48" s="1"/>
    </row>
    <row r="49" spans="1:26" ht="15.75" customHeight="1" x14ac:dyDescent="0.3">
      <c r="A49" s="268" t="s">
        <v>171</v>
      </c>
      <c r="I49" s="1"/>
      <c r="J49" s="1"/>
      <c r="K49" s="1"/>
      <c r="L49" s="1"/>
      <c r="M49" s="1"/>
      <c r="N49" s="1"/>
      <c r="O49" s="1"/>
      <c r="P49" s="1"/>
      <c r="Q49" s="1"/>
      <c r="R49" s="1"/>
      <c r="S49" s="1"/>
      <c r="T49" s="1"/>
      <c r="U49" s="1"/>
      <c r="V49" s="1"/>
      <c r="W49" s="1"/>
      <c r="X49" s="1"/>
      <c r="Y49" s="1"/>
      <c r="Z49" s="1"/>
    </row>
    <row r="50" spans="1:26" ht="15.75" customHeight="1" x14ac:dyDescent="0.3">
      <c r="A50" s="246" t="s">
        <v>864</v>
      </c>
      <c r="I50" s="1"/>
      <c r="J50" s="1"/>
      <c r="K50" s="1"/>
      <c r="L50" s="1"/>
      <c r="M50" s="1"/>
      <c r="N50" s="1"/>
      <c r="O50" s="1"/>
      <c r="P50" s="1"/>
      <c r="Q50" s="1"/>
      <c r="R50" s="1"/>
      <c r="S50" s="1"/>
      <c r="T50" s="1"/>
      <c r="U50" s="1"/>
      <c r="V50" s="1"/>
      <c r="W50" s="1"/>
      <c r="X50" s="1"/>
      <c r="Y50" s="1"/>
      <c r="Z50" s="1"/>
    </row>
    <row r="51" spans="1:26" ht="15.75" customHeight="1" x14ac:dyDescent="0.3">
      <c r="A51" s="78" t="s">
        <v>865</v>
      </c>
      <c r="I51" s="1"/>
      <c r="J51" s="1"/>
      <c r="K51" s="1"/>
      <c r="L51" s="1"/>
      <c r="M51" s="1"/>
      <c r="N51" s="1"/>
      <c r="O51" s="1"/>
      <c r="P51" s="1"/>
      <c r="Q51" s="1"/>
      <c r="R51" s="1"/>
      <c r="S51" s="1"/>
      <c r="T51" s="1"/>
      <c r="U51" s="1"/>
      <c r="V51" s="1"/>
      <c r="W51" s="1"/>
      <c r="X51" s="1"/>
      <c r="Y51" s="1"/>
      <c r="Z51" s="1"/>
    </row>
    <row r="52" spans="1:26" ht="15.75" customHeight="1" x14ac:dyDescent="0.3">
      <c r="A52" s="78" t="s">
        <v>866</v>
      </c>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404" t="s">
        <v>867</v>
      </c>
      <c r="B55" s="389"/>
      <c r="C55" s="389"/>
      <c r="D55" s="389"/>
      <c r="E55" s="389"/>
      <c r="F55" s="389"/>
      <c r="G55" s="389"/>
      <c r="H55" s="389"/>
      <c r="I55" s="390"/>
      <c r="J55" s="1"/>
      <c r="K55" s="1"/>
      <c r="L55" s="1"/>
      <c r="M55" s="1"/>
      <c r="N55" s="1"/>
      <c r="O55" s="1"/>
      <c r="P55" s="1"/>
      <c r="Q55" s="1"/>
      <c r="R55" s="1"/>
      <c r="S55" s="1"/>
      <c r="T55" s="1"/>
      <c r="U55" s="1"/>
      <c r="V55" s="1"/>
      <c r="W55" s="1"/>
      <c r="X55" s="1"/>
      <c r="Y55" s="1"/>
      <c r="Z55" s="1"/>
    </row>
    <row r="56" spans="1:26" ht="15.75" customHeight="1" x14ac:dyDescent="0.3">
      <c r="A56" s="269" t="s">
        <v>868</v>
      </c>
      <c r="B56" s="269" t="s">
        <v>869</v>
      </c>
      <c r="C56" s="269" t="s">
        <v>870</v>
      </c>
      <c r="D56" s="269" t="s">
        <v>871</v>
      </c>
      <c r="E56" s="270" t="s">
        <v>123</v>
      </c>
      <c r="F56" s="270" t="s">
        <v>124</v>
      </c>
      <c r="G56" s="270" t="s">
        <v>125</v>
      </c>
      <c r="H56" s="269" t="s">
        <v>872</v>
      </c>
      <c r="I56" s="269" t="s">
        <v>873</v>
      </c>
      <c r="J56" s="1"/>
      <c r="K56" s="1"/>
      <c r="L56" s="1"/>
      <c r="M56" s="1"/>
      <c r="N56" s="1"/>
      <c r="O56" s="1"/>
      <c r="P56" s="1"/>
      <c r="Q56" s="1"/>
      <c r="R56" s="1"/>
      <c r="S56" s="1"/>
      <c r="T56" s="1"/>
      <c r="U56" s="1"/>
      <c r="V56" s="1"/>
      <c r="W56" s="1"/>
      <c r="X56" s="1"/>
      <c r="Y56" s="1"/>
      <c r="Z56" s="1"/>
    </row>
    <row r="57" spans="1:26" ht="15.75" customHeight="1" x14ac:dyDescent="0.3">
      <c r="A57" s="53" t="s">
        <v>180</v>
      </c>
      <c r="B57" s="53" t="s">
        <v>24</v>
      </c>
      <c r="C57" s="53" t="s">
        <v>615</v>
      </c>
      <c r="D57" s="53" t="s">
        <v>626</v>
      </c>
      <c r="E57" s="271">
        <f>VLOOKUP(A57,$A$68:$D$73,2,0)</f>
        <v>3</v>
      </c>
      <c r="F57" s="271">
        <f>VLOOKUP(A57,$A$68:$D$73,3,0)</f>
        <v>6</v>
      </c>
      <c r="G57" s="271">
        <f>VLOOKUP(A57,$A$68:$D$73,2,0)</f>
        <v>3</v>
      </c>
      <c r="H57" s="271">
        <f>IF(D57="CLS",1.5,IF(D57="CTB",1,IF(D57="MN",0.5,0)))</f>
        <v>0</v>
      </c>
      <c r="I57" s="271">
        <f>SUM(E57:H57)</f>
        <v>12</v>
      </c>
      <c r="J57" s="1"/>
      <c r="K57" s="1"/>
      <c r="L57" s="1"/>
      <c r="M57" s="1"/>
      <c r="N57" s="1"/>
      <c r="O57" s="1"/>
      <c r="P57" s="1"/>
      <c r="Q57" s="1"/>
      <c r="R57" s="1"/>
      <c r="S57" s="1"/>
      <c r="T57" s="1"/>
      <c r="U57" s="1"/>
      <c r="V57" s="1"/>
      <c r="W57" s="1"/>
      <c r="X57" s="1"/>
      <c r="Y57" s="1"/>
      <c r="Z57" s="1"/>
    </row>
    <row r="58" spans="1:26" ht="15.75" customHeight="1" x14ac:dyDescent="0.3">
      <c r="A58" s="53" t="s">
        <v>181</v>
      </c>
      <c r="B58" s="53" t="s">
        <v>874</v>
      </c>
      <c r="C58" s="53" t="s">
        <v>619</v>
      </c>
      <c r="D58" s="53" t="s">
        <v>875</v>
      </c>
      <c r="E58" s="271">
        <f t="shared" ref="E58:E62" si="6">VLOOKUP(A58,$A$68:$D$73,2,0)</f>
        <v>10</v>
      </c>
      <c r="F58" s="271">
        <f t="shared" ref="F58:F62" si="7">VLOOKUP(A58,$A$68:$D$73,3,0)</f>
        <v>8</v>
      </c>
      <c r="G58" s="271">
        <f t="shared" ref="G58:G62" si="8">VLOOKUP(A58,$A$68:$D$73,2,0)</f>
        <v>10</v>
      </c>
      <c r="H58" s="271">
        <f t="shared" ref="H58:H62" si="9">IF(D58="CLS",1.5,IF(D58="CTB",1,IF(D58="MN",0.5,0)))</f>
        <v>1.5</v>
      </c>
      <c r="I58" s="271">
        <f t="shared" ref="I58:I62" si="10">SUM(E58:H58)</f>
        <v>29.5</v>
      </c>
      <c r="J58" s="1"/>
      <c r="K58" s="1"/>
      <c r="L58" s="1"/>
      <c r="M58" s="1"/>
      <c r="N58" s="1"/>
      <c r="O58" s="1"/>
      <c r="P58" s="1"/>
      <c r="Q58" s="1"/>
      <c r="R58" s="1"/>
      <c r="S58" s="1"/>
      <c r="T58" s="1"/>
      <c r="U58" s="1"/>
      <c r="V58" s="1"/>
      <c r="W58" s="1"/>
      <c r="X58" s="1"/>
      <c r="Y58" s="1"/>
      <c r="Z58" s="1"/>
    </row>
    <row r="59" spans="1:26" ht="15.75" customHeight="1" x14ac:dyDescent="0.3">
      <c r="A59" s="53" t="s">
        <v>187</v>
      </c>
      <c r="B59" s="53" t="s">
        <v>876</v>
      </c>
      <c r="C59" s="53" t="s">
        <v>617</v>
      </c>
      <c r="D59" s="53" t="s">
        <v>877</v>
      </c>
      <c r="E59" s="271">
        <f t="shared" si="6"/>
        <v>8</v>
      </c>
      <c r="F59" s="271">
        <f t="shared" si="7"/>
        <v>6</v>
      </c>
      <c r="G59" s="271">
        <f t="shared" si="8"/>
        <v>8</v>
      </c>
      <c r="H59" s="271">
        <f t="shared" si="9"/>
        <v>1</v>
      </c>
      <c r="I59" s="271">
        <f t="shared" si="10"/>
        <v>23</v>
      </c>
      <c r="J59" s="1"/>
      <c r="K59" s="1"/>
      <c r="L59" s="1"/>
      <c r="M59" s="1"/>
      <c r="N59" s="1"/>
      <c r="O59" s="1"/>
      <c r="P59" s="1"/>
      <c r="Q59" s="1"/>
      <c r="R59" s="1"/>
      <c r="S59" s="1"/>
      <c r="T59" s="1"/>
      <c r="U59" s="1"/>
      <c r="V59" s="1"/>
      <c r="W59" s="1"/>
      <c r="X59" s="1"/>
      <c r="Y59" s="1"/>
      <c r="Z59" s="1"/>
    </row>
    <row r="60" spans="1:26" ht="15.75" customHeight="1" x14ac:dyDescent="0.3">
      <c r="A60" s="53" t="s">
        <v>189</v>
      </c>
      <c r="B60" s="53" t="s">
        <v>878</v>
      </c>
      <c r="C60" s="53" t="s">
        <v>619</v>
      </c>
      <c r="D60" s="53" t="s">
        <v>877</v>
      </c>
      <c r="E60" s="271">
        <f t="shared" si="6"/>
        <v>7</v>
      </c>
      <c r="F60" s="271">
        <f t="shared" si="7"/>
        <v>0</v>
      </c>
      <c r="G60" s="271">
        <f t="shared" si="8"/>
        <v>7</v>
      </c>
      <c r="H60" s="271">
        <f t="shared" si="9"/>
        <v>1</v>
      </c>
      <c r="I60" s="271">
        <f t="shared" si="10"/>
        <v>15</v>
      </c>
      <c r="J60" s="1"/>
      <c r="K60" s="1"/>
      <c r="L60" s="1"/>
      <c r="M60" s="1"/>
      <c r="N60" s="1"/>
      <c r="O60" s="1"/>
      <c r="P60" s="1"/>
      <c r="Q60" s="1"/>
      <c r="R60" s="1"/>
      <c r="S60" s="1"/>
      <c r="T60" s="1"/>
      <c r="U60" s="1"/>
      <c r="V60" s="1"/>
      <c r="W60" s="1"/>
      <c r="X60" s="1"/>
      <c r="Y60" s="1"/>
      <c r="Z60" s="1"/>
    </row>
    <row r="61" spans="1:26" ht="15.75" customHeight="1" x14ac:dyDescent="0.3">
      <c r="A61" s="53" t="s">
        <v>879</v>
      </c>
      <c r="B61" s="53" t="s">
        <v>880</v>
      </c>
      <c r="C61" s="53" t="s">
        <v>619</v>
      </c>
      <c r="D61" s="53" t="s">
        <v>626</v>
      </c>
      <c r="E61" s="271">
        <f t="shared" si="6"/>
        <v>10</v>
      </c>
      <c r="F61" s="271">
        <f t="shared" si="7"/>
        <v>9</v>
      </c>
      <c r="G61" s="271">
        <f t="shared" si="8"/>
        <v>10</v>
      </c>
      <c r="H61" s="271">
        <f t="shared" si="9"/>
        <v>0</v>
      </c>
      <c r="I61" s="271">
        <f t="shared" si="10"/>
        <v>29</v>
      </c>
      <c r="J61" s="1"/>
      <c r="K61" s="1"/>
      <c r="L61" s="1"/>
      <c r="M61" s="1"/>
      <c r="N61" s="1"/>
      <c r="O61" s="1"/>
      <c r="P61" s="1"/>
      <c r="Q61" s="1"/>
      <c r="R61" s="1"/>
      <c r="S61" s="1"/>
      <c r="T61" s="1"/>
      <c r="U61" s="1"/>
      <c r="V61" s="1"/>
      <c r="W61" s="1"/>
      <c r="X61" s="1"/>
      <c r="Y61" s="1"/>
      <c r="Z61" s="1"/>
    </row>
    <row r="62" spans="1:26" ht="15.75" customHeight="1" x14ac:dyDescent="0.3">
      <c r="A62" s="53" t="s">
        <v>881</v>
      </c>
      <c r="B62" s="53" t="s">
        <v>882</v>
      </c>
      <c r="C62" s="53" t="s">
        <v>615</v>
      </c>
      <c r="D62" s="53" t="s">
        <v>883</v>
      </c>
      <c r="E62" s="271">
        <f t="shared" si="6"/>
        <v>9</v>
      </c>
      <c r="F62" s="271">
        <f t="shared" si="7"/>
        <v>10</v>
      </c>
      <c r="G62" s="271">
        <f t="shared" si="8"/>
        <v>9</v>
      </c>
      <c r="H62" s="271">
        <f t="shared" si="9"/>
        <v>0.5</v>
      </c>
      <c r="I62" s="271">
        <f t="shared" si="10"/>
        <v>28.5</v>
      </c>
      <c r="J62" s="1"/>
      <c r="K62" s="1"/>
      <c r="L62" s="1"/>
      <c r="M62" s="1"/>
      <c r="N62" s="1"/>
      <c r="O62" s="1"/>
      <c r="P62" s="1"/>
      <c r="Q62" s="1"/>
      <c r="R62" s="1"/>
      <c r="S62" s="1"/>
      <c r="T62" s="1"/>
      <c r="U62" s="1"/>
      <c r="V62" s="1"/>
      <c r="W62" s="1"/>
      <c r="X62" s="1"/>
      <c r="Y62" s="1"/>
      <c r="Z62" s="1"/>
    </row>
    <row r="63" spans="1:26" ht="15.75" customHeight="1" x14ac:dyDescent="0.3">
      <c r="J63" s="1"/>
      <c r="K63" s="1"/>
      <c r="L63" s="1"/>
      <c r="M63" s="1"/>
      <c r="N63" s="1"/>
      <c r="O63" s="1"/>
      <c r="P63" s="1"/>
      <c r="Q63" s="1"/>
      <c r="R63" s="1"/>
      <c r="S63" s="1"/>
      <c r="T63" s="1"/>
      <c r="U63" s="1"/>
      <c r="V63" s="1"/>
      <c r="W63" s="1"/>
      <c r="X63" s="1"/>
      <c r="Y63" s="1"/>
      <c r="Z63" s="1"/>
    </row>
    <row r="64" spans="1:26" ht="15.75" customHeight="1" x14ac:dyDescent="0.3">
      <c r="J64" s="1"/>
      <c r="K64" s="1"/>
      <c r="L64" s="1"/>
      <c r="M64" s="1"/>
      <c r="N64" s="1"/>
      <c r="O64" s="1"/>
      <c r="P64" s="1"/>
      <c r="Q64" s="1"/>
      <c r="R64" s="1"/>
      <c r="S64" s="1"/>
      <c r="T64" s="1"/>
      <c r="U64" s="1"/>
      <c r="V64" s="1"/>
      <c r="W64" s="1"/>
      <c r="X64" s="1"/>
      <c r="Y64" s="1"/>
      <c r="Z64" s="1"/>
    </row>
    <row r="65" spans="1:26" ht="15.75" customHeight="1" x14ac:dyDescent="0.3">
      <c r="J65" s="1"/>
      <c r="K65" s="1"/>
      <c r="L65" s="1"/>
      <c r="M65" s="1"/>
      <c r="N65" s="1"/>
      <c r="O65" s="1"/>
      <c r="P65" s="1"/>
      <c r="Q65" s="1"/>
      <c r="R65" s="1"/>
      <c r="S65" s="1"/>
      <c r="T65" s="1"/>
      <c r="U65" s="1"/>
      <c r="V65" s="1"/>
      <c r="W65" s="1"/>
      <c r="X65" s="1"/>
      <c r="Y65" s="1"/>
      <c r="Z65" s="1"/>
    </row>
    <row r="66" spans="1:26" ht="15.75" customHeight="1" x14ac:dyDescent="0.3">
      <c r="A66" s="481" t="s">
        <v>884</v>
      </c>
      <c r="B66" s="389"/>
      <c r="C66" s="389"/>
      <c r="D66" s="390"/>
      <c r="F66" s="480"/>
      <c r="G66" s="392"/>
      <c r="H66" s="392"/>
      <c r="I66" s="392"/>
      <c r="J66" s="1"/>
      <c r="K66" s="1"/>
      <c r="L66" s="1"/>
      <c r="M66" s="1"/>
      <c r="N66" s="1"/>
      <c r="O66" s="1"/>
      <c r="P66" s="1"/>
      <c r="Q66" s="1"/>
      <c r="R66" s="1"/>
      <c r="S66" s="1"/>
      <c r="T66" s="1"/>
      <c r="U66" s="1"/>
      <c r="V66" s="1"/>
      <c r="W66" s="1"/>
      <c r="X66" s="1"/>
      <c r="Y66" s="1"/>
      <c r="Z66" s="1"/>
    </row>
    <row r="67" spans="1:26" ht="15.75" customHeight="1" x14ac:dyDescent="0.3">
      <c r="A67" s="273" t="s">
        <v>885</v>
      </c>
      <c r="B67" s="274" t="s">
        <v>123</v>
      </c>
      <c r="C67" s="274" t="s">
        <v>124</v>
      </c>
      <c r="D67" s="274" t="s">
        <v>125</v>
      </c>
      <c r="F67" s="153"/>
      <c r="G67" s="275"/>
      <c r="H67" s="275"/>
      <c r="I67" s="275"/>
      <c r="J67" s="1"/>
      <c r="K67" s="1"/>
      <c r="L67" s="1"/>
      <c r="M67" s="1"/>
      <c r="N67" s="1"/>
      <c r="O67" s="1"/>
      <c r="P67" s="1"/>
      <c r="Q67" s="1"/>
      <c r="R67" s="1"/>
      <c r="S67" s="1"/>
      <c r="T67" s="1"/>
      <c r="U67" s="1"/>
      <c r="V67" s="1"/>
      <c r="W67" s="1"/>
      <c r="X67" s="1"/>
      <c r="Y67" s="1"/>
      <c r="Z67" s="1"/>
    </row>
    <row r="68" spans="1:26" ht="15.75" customHeight="1" x14ac:dyDescent="0.3">
      <c r="A68" s="276" t="s">
        <v>879</v>
      </c>
      <c r="B68" s="276">
        <v>10</v>
      </c>
      <c r="C68" s="276">
        <v>9</v>
      </c>
      <c r="D68" s="276">
        <v>7</v>
      </c>
      <c r="F68" s="153"/>
      <c r="G68" s="275"/>
      <c r="H68" s="275"/>
      <c r="I68" s="275"/>
      <c r="J68" s="1"/>
      <c r="K68" s="1"/>
      <c r="L68" s="1"/>
      <c r="M68" s="1"/>
      <c r="N68" s="1"/>
      <c r="O68" s="1"/>
      <c r="P68" s="1"/>
      <c r="Q68" s="1"/>
      <c r="R68" s="1"/>
      <c r="S68" s="1"/>
      <c r="T68" s="1"/>
      <c r="U68" s="1"/>
      <c r="V68" s="1"/>
      <c r="W68" s="1"/>
      <c r="X68" s="1"/>
      <c r="Y68" s="1"/>
      <c r="Z68" s="1"/>
    </row>
    <row r="69" spans="1:26" ht="15.75" customHeight="1" x14ac:dyDescent="0.3">
      <c r="A69" s="276" t="s">
        <v>181</v>
      </c>
      <c r="B69" s="276">
        <v>10</v>
      </c>
      <c r="C69" s="276">
        <v>8</v>
      </c>
      <c r="D69" s="276">
        <v>4</v>
      </c>
      <c r="J69" s="1"/>
      <c r="K69" s="1"/>
      <c r="L69" s="1"/>
      <c r="M69" s="1"/>
      <c r="N69" s="1"/>
      <c r="O69" s="1"/>
      <c r="P69" s="1"/>
      <c r="Q69" s="1"/>
      <c r="R69" s="1"/>
      <c r="S69" s="1"/>
      <c r="T69" s="1"/>
      <c r="U69" s="1"/>
      <c r="V69" s="1"/>
      <c r="W69" s="1"/>
      <c r="X69" s="1"/>
      <c r="Y69" s="1"/>
      <c r="Z69" s="1"/>
    </row>
    <row r="70" spans="1:26" ht="15.75" customHeight="1" x14ac:dyDescent="0.3">
      <c r="A70" s="276" t="s">
        <v>881</v>
      </c>
      <c r="B70" s="276">
        <v>9</v>
      </c>
      <c r="C70" s="276">
        <v>10</v>
      </c>
      <c r="D70" s="276">
        <v>5</v>
      </c>
      <c r="J70" s="1"/>
      <c r="K70" s="1"/>
      <c r="L70" s="1"/>
      <c r="M70" s="1"/>
      <c r="N70" s="1"/>
      <c r="O70" s="1"/>
      <c r="P70" s="1"/>
      <c r="Q70" s="1"/>
      <c r="R70" s="1"/>
      <c r="S70" s="1"/>
      <c r="T70" s="1"/>
      <c r="U70" s="1"/>
      <c r="V70" s="1"/>
      <c r="W70" s="1"/>
      <c r="X70" s="1"/>
      <c r="Y70" s="1"/>
      <c r="Z70" s="1"/>
    </row>
    <row r="71" spans="1:26" ht="15.75" customHeight="1" x14ac:dyDescent="0.3">
      <c r="A71" s="276" t="s">
        <v>189</v>
      </c>
      <c r="B71" s="276">
        <v>7</v>
      </c>
      <c r="C71" s="276">
        <v>0</v>
      </c>
      <c r="D71" s="276">
        <v>1</v>
      </c>
      <c r="J71" s="1"/>
      <c r="K71" s="1"/>
      <c r="L71" s="1"/>
      <c r="M71" s="1"/>
      <c r="N71" s="1"/>
      <c r="O71" s="1"/>
      <c r="P71" s="1"/>
      <c r="Q71" s="1"/>
      <c r="R71" s="1"/>
      <c r="S71" s="1"/>
      <c r="T71" s="1"/>
      <c r="U71" s="1"/>
      <c r="V71" s="1"/>
      <c r="W71" s="1"/>
      <c r="X71" s="1"/>
      <c r="Y71" s="1"/>
      <c r="Z71" s="1"/>
    </row>
    <row r="72" spans="1:26" ht="15.75" customHeight="1" x14ac:dyDescent="0.3">
      <c r="A72" s="276" t="s">
        <v>180</v>
      </c>
      <c r="B72" s="276">
        <v>3</v>
      </c>
      <c r="C72" s="276">
        <v>6</v>
      </c>
      <c r="D72" s="276">
        <v>4</v>
      </c>
      <c r="J72" s="1"/>
      <c r="K72" s="1"/>
      <c r="L72" s="1"/>
      <c r="M72" s="1"/>
      <c r="N72" s="1"/>
      <c r="O72" s="1"/>
      <c r="P72" s="1"/>
      <c r="Q72" s="1"/>
      <c r="R72" s="1"/>
      <c r="S72" s="1"/>
      <c r="T72" s="1"/>
      <c r="U72" s="1"/>
      <c r="V72" s="1"/>
      <c r="W72" s="1"/>
      <c r="X72" s="1"/>
      <c r="Y72" s="1"/>
      <c r="Z72" s="1"/>
    </row>
    <row r="73" spans="1:26" ht="15.75" customHeight="1" x14ac:dyDescent="0.3">
      <c r="A73" s="276" t="s">
        <v>187</v>
      </c>
      <c r="B73" s="276">
        <v>8</v>
      </c>
      <c r="C73" s="276">
        <v>6</v>
      </c>
      <c r="D73" s="276">
        <v>4</v>
      </c>
      <c r="J73" s="1"/>
      <c r="K73" s="1"/>
      <c r="L73" s="1"/>
      <c r="M73" s="1"/>
      <c r="N73" s="1"/>
      <c r="O73" s="1"/>
      <c r="P73" s="1"/>
      <c r="Q73" s="1"/>
      <c r="R73" s="1"/>
      <c r="S73" s="1"/>
      <c r="T73" s="1"/>
      <c r="U73" s="1"/>
      <c r="V73" s="1"/>
      <c r="W73" s="1"/>
      <c r="X73" s="1"/>
      <c r="Y73" s="1"/>
      <c r="Z73" s="1"/>
    </row>
    <row r="74" spans="1:26" ht="15.75" customHeight="1" x14ac:dyDescent="0.3">
      <c r="J74" s="1"/>
      <c r="K74" s="1"/>
      <c r="L74" s="1"/>
      <c r="M74" s="1"/>
      <c r="N74" s="1"/>
      <c r="O74" s="1"/>
      <c r="P74" s="1"/>
      <c r="Q74" s="1"/>
      <c r="R74" s="1"/>
      <c r="S74" s="1"/>
      <c r="T74" s="1"/>
      <c r="U74" s="1"/>
      <c r="V74" s="1"/>
      <c r="W74" s="1"/>
      <c r="X74" s="1"/>
      <c r="Y74" s="1"/>
      <c r="Z74" s="1"/>
    </row>
    <row r="75" spans="1:26" ht="15.75" customHeight="1" x14ac:dyDescent="0.3">
      <c r="A75" s="275"/>
      <c r="B75" s="277"/>
      <c r="J75" s="1"/>
      <c r="K75" s="1"/>
      <c r="L75" s="1"/>
      <c r="M75" s="1"/>
      <c r="N75" s="1"/>
      <c r="O75" s="1"/>
      <c r="P75" s="1"/>
      <c r="Q75" s="1"/>
      <c r="R75" s="1"/>
      <c r="S75" s="1"/>
      <c r="T75" s="1"/>
      <c r="U75" s="1"/>
      <c r="V75" s="1"/>
      <c r="W75" s="1"/>
      <c r="X75" s="1"/>
      <c r="Y75" s="1"/>
      <c r="Z75" s="1"/>
    </row>
    <row r="76" spans="1:26" ht="15.75" customHeight="1" x14ac:dyDescent="0.3">
      <c r="A76" s="272" t="s">
        <v>886</v>
      </c>
      <c r="J76" s="1"/>
      <c r="K76" s="1"/>
      <c r="L76" s="1"/>
      <c r="M76" s="1"/>
      <c r="N76" s="1"/>
      <c r="O76" s="1"/>
      <c r="P76" s="1"/>
      <c r="Q76" s="1"/>
      <c r="R76" s="1"/>
      <c r="S76" s="1"/>
      <c r="T76" s="1"/>
      <c r="U76" s="1"/>
      <c r="V76" s="1"/>
      <c r="W76" s="1"/>
      <c r="X76" s="1"/>
      <c r="Y76" s="1"/>
      <c r="Z76" s="1"/>
    </row>
    <row r="77" spans="1:26" ht="15.75" customHeight="1" x14ac:dyDescent="0.3">
      <c r="A77" s="78" t="s">
        <v>887</v>
      </c>
      <c r="J77" s="1"/>
      <c r="K77" s="1"/>
      <c r="L77" s="1"/>
      <c r="M77" s="1"/>
      <c r="N77" s="1"/>
      <c r="O77" s="1"/>
      <c r="P77" s="1"/>
      <c r="Q77" s="1"/>
      <c r="R77" s="1"/>
      <c r="S77" s="1"/>
      <c r="T77" s="1"/>
      <c r="U77" s="1"/>
      <c r="V77" s="1"/>
      <c r="W77" s="1"/>
      <c r="X77" s="1"/>
      <c r="Y77" s="1"/>
      <c r="Z77" s="1"/>
    </row>
    <row r="78" spans="1:26" ht="15.75" customHeight="1" x14ac:dyDescent="0.3">
      <c r="A78" s="78" t="s">
        <v>888</v>
      </c>
      <c r="J78" s="1"/>
      <c r="K78" s="1"/>
      <c r="L78" s="1"/>
      <c r="M78" s="1"/>
      <c r="N78" s="1"/>
      <c r="O78" s="1"/>
      <c r="P78" s="1"/>
      <c r="Q78" s="1"/>
      <c r="R78" s="1"/>
      <c r="S78" s="1"/>
      <c r="T78" s="1"/>
      <c r="U78" s="1"/>
      <c r="V78" s="1"/>
      <c r="W78" s="1"/>
      <c r="X78" s="1"/>
      <c r="Y78" s="1"/>
      <c r="Z78" s="1"/>
    </row>
    <row r="79" spans="1:26" ht="15.75" customHeight="1" x14ac:dyDescent="0.3">
      <c r="A79" s="278" t="s">
        <v>889</v>
      </c>
      <c r="J79" s="1"/>
      <c r="K79" s="1"/>
      <c r="L79" s="1"/>
      <c r="M79" s="1"/>
      <c r="N79" s="1"/>
      <c r="O79" s="1"/>
      <c r="P79" s="1"/>
      <c r="Q79" s="1"/>
      <c r="R79" s="1"/>
      <c r="S79" s="1"/>
      <c r="T79" s="1"/>
      <c r="U79" s="1"/>
      <c r="V79" s="1"/>
      <c r="W79" s="1"/>
      <c r="X79" s="1"/>
      <c r="Y79" s="1"/>
      <c r="Z79" s="1"/>
    </row>
    <row r="80" spans="1:26" ht="15.75" customHeight="1" x14ac:dyDescent="0.3">
      <c r="A80" s="278" t="s">
        <v>890</v>
      </c>
      <c r="J80" s="1"/>
      <c r="K80" s="1"/>
      <c r="L80" s="1"/>
      <c r="M80" s="1"/>
      <c r="N80" s="1"/>
      <c r="O80" s="1"/>
      <c r="P80" s="1"/>
      <c r="Q80" s="1"/>
      <c r="R80" s="1"/>
      <c r="S80" s="1"/>
      <c r="T80" s="1"/>
      <c r="U80" s="1"/>
      <c r="V80" s="1"/>
      <c r="W80" s="1"/>
      <c r="X80" s="1"/>
      <c r="Y80" s="1"/>
      <c r="Z80" s="1"/>
    </row>
    <row r="81" spans="1:26" ht="15.75" customHeight="1" x14ac:dyDescent="0.3">
      <c r="A81" s="278" t="s">
        <v>891</v>
      </c>
      <c r="J81" s="1"/>
      <c r="K81" s="1"/>
      <c r="L81" s="1"/>
      <c r="M81" s="1"/>
      <c r="N81" s="1"/>
      <c r="O81" s="1"/>
      <c r="P81" s="1"/>
      <c r="Q81" s="1"/>
      <c r="R81" s="1"/>
      <c r="S81" s="1"/>
      <c r="T81" s="1"/>
      <c r="U81" s="1"/>
      <c r="V81" s="1"/>
      <c r="W81" s="1"/>
      <c r="X81" s="1"/>
      <c r="Y81" s="1"/>
      <c r="Z81" s="1"/>
    </row>
    <row r="82" spans="1:26" ht="15.75" customHeight="1" x14ac:dyDescent="0.3">
      <c r="A82" s="278" t="s">
        <v>892</v>
      </c>
      <c r="J82" s="1"/>
      <c r="K82" s="1"/>
      <c r="L82" s="1"/>
      <c r="M82" s="1"/>
      <c r="N82" s="1"/>
      <c r="O82" s="1"/>
      <c r="P82" s="1"/>
      <c r="Q82" s="1"/>
      <c r="R82" s="1"/>
      <c r="S82" s="1"/>
      <c r="T82" s="1"/>
      <c r="U82" s="1"/>
      <c r="V82" s="1"/>
      <c r="W82" s="1"/>
      <c r="X82" s="1"/>
      <c r="Y82" s="1"/>
      <c r="Z82" s="1"/>
    </row>
    <row r="83" spans="1:26" ht="15.75" customHeight="1" x14ac:dyDescent="0.3">
      <c r="A83" s="78" t="s">
        <v>893</v>
      </c>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477" t="s">
        <v>894</v>
      </c>
      <c r="B85" s="394"/>
      <c r="C85" s="394"/>
      <c r="D85" s="394"/>
      <c r="E85" s="394"/>
      <c r="F85" s="395"/>
      <c r="G85" s="1"/>
      <c r="H85" s="51" t="s">
        <v>895</v>
      </c>
      <c r="I85" s="1"/>
      <c r="J85" s="1"/>
      <c r="K85" s="1"/>
      <c r="L85" s="1"/>
      <c r="M85" s="1"/>
      <c r="N85" s="1"/>
      <c r="O85" s="1"/>
      <c r="P85" s="1"/>
      <c r="Q85" s="1"/>
      <c r="R85" s="1"/>
      <c r="S85" s="1"/>
      <c r="T85" s="1"/>
      <c r="U85" s="1"/>
      <c r="V85" s="1"/>
      <c r="W85" s="1"/>
      <c r="X85" s="1"/>
      <c r="Y85" s="1"/>
      <c r="Z85" s="1"/>
    </row>
    <row r="86" spans="1:26" ht="15.75" customHeight="1" x14ac:dyDescent="0.3">
      <c r="A86" s="478" t="s">
        <v>896</v>
      </c>
      <c r="B86" s="402"/>
      <c r="C86" s="402"/>
      <c r="D86" s="402"/>
      <c r="E86" s="402"/>
      <c r="F86" s="403"/>
      <c r="G86" s="1"/>
      <c r="H86" s="32" t="s">
        <v>897</v>
      </c>
      <c r="I86" s="32" t="s">
        <v>557</v>
      </c>
      <c r="J86" s="37" t="s">
        <v>898</v>
      </c>
      <c r="K86" s="1"/>
      <c r="L86" s="1"/>
      <c r="M86" s="1"/>
      <c r="N86" s="1"/>
      <c r="O86" s="1"/>
      <c r="P86" s="1"/>
      <c r="Q86" s="1"/>
      <c r="R86" s="1"/>
      <c r="S86" s="1"/>
      <c r="T86" s="1"/>
      <c r="U86" s="1"/>
      <c r="V86" s="1"/>
      <c r="W86" s="1"/>
      <c r="X86" s="1"/>
      <c r="Y86" s="1"/>
      <c r="Z86" s="1"/>
    </row>
    <row r="87" spans="1:26" ht="15.75" customHeight="1" x14ac:dyDescent="0.3">
      <c r="A87" s="279" t="s">
        <v>899</v>
      </c>
      <c r="B87" s="279" t="s">
        <v>267</v>
      </c>
      <c r="C87" s="279" t="s">
        <v>557</v>
      </c>
      <c r="D87" s="279" t="s">
        <v>900</v>
      </c>
      <c r="E87" s="279" t="s">
        <v>901</v>
      </c>
      <c r="F87" s="280" t="s">
        <v>902</v>
      </c>
      <c r="G87" s="1"/>
      <c r="H87" s="32" t="s">
        <v>903</v>
      </c>
      <c r="I87" s="32" t="s">
        <v>904</v>
      </c>
      <c r="J87" s="37">
        <f>SUMIF($C$88:$C$96,"Cafe",$F$88:$F$97)</f>
        <v>259192.5</v>
      </c>
      <c r="K87" s="1"/>
      <c r="L87" s="1"/>
      <c r="M87" s="1"/>
      <c r="N87" s="1"/>
      <c r="O87" s="1"/>
      <c r="P87" s="1"/>
      <c r="Q87" s="1"/>
      <c r="R87" s="1"/>
      <c r="S87" s="1"/>
      <c r="T87" s="1"/>
      <c r="U87" s="1"/>
      <c r="V87" s="1"/>
      <c r="W87" s="1"/>
      <c r="X87" s="1"/>
      <c r="Y87" s="1"/>
      <c r="Z87" s="1"/>
    </row>
    <row r="88" spans="1:26" ht="15.75" customHeight="1" x14ac:dyDescent="0.3">
      <c r="A88" s="281">
        <v>43147</v>
      </c>
      <c r="B88" s="32" t="s">
        <v>905</v>
      </c>
      <c r="C88" s="38" t="str">
        <f>VLOOKUP(LEFT(B88,2),$H$87:$J$89,2,0)</f>
        <v>Cafe</v>
      </c>
      <c r="D88" s="38">
        <f>HLOOKUP(VALUE(RIGHT(B88,1)),$I$92:$L$93,2,0)</f>
        <v>250</v>
      </c>
      <c r="E88" s="32">
        <v>205</v>
      </c>
      <c r="F88" s="282">
        <f>E88*D88+5%*E88*D88</f>
        <v>53812.5</v>
      </c>
      <c r="G88" s="1"/>
      <c r="H88" s="32" t="s">
        <v>906</v>
      </c>
      <c r="I88" s="32" t="s">
        <v>907</v>
      </c>
      <c r="J88" s="37">
        <f>SUMIF($C$88:$C$96,"Bắp",$F$88:$F$97)</f>
        <v>703920</v>
      </c>
      <c r="K88" s="1"/>
      <c r="L88" s="1"/>
      <c r="M88" s="1"/>
      <c r="N88" s="1"/>
      <c r="O88" s="1"/>
      <c r="P88" s="1"/>
      <c r="Q88" s="1"/>
      <c r="R88" s="1"/>
      <c r="S88" s="1"/>
      <c r="T88" s="1"/>
      <c r="U88" s="1"/>
      <c r="V88" s="1"/>
      <c r="W88" s="1"/>
      <c r="X88" s="1"/>
      <c r="Y88" s="1"/>
      <c r="Z88" s="1"/>
    </row>
    <row r="89" spans="1:26" ht="15.75" customHeight="1" x14ac:dyDescent="0.3">
      <c r="A89" s="281">
        <v>43180</v>
      </c>
      <c r="B89" s="32" t="s">
        <v>908</v>
      </c>
      <c r="C89" s="38" t="str">
        <f t="shared" ref="C89:C97" si="11">VLOOKUP(LEFT(B89,2),$H$87:$J$89,2,0)</f>
        <v>Bắp</v>
      </c>
      <c r="D89" s="38">
        <f t="shared" ref="D89:D97" si="12">HLOOKUP(VALUE(RIGHT(B89,2)),$I$92:$L$93,2,0)</f>
        <v>40</v>
      </c>
      <c r="E89" s="32">
        <v>800</v>
      </c>
      <c r="F89" s="282">
        <f t="shared" ref="F89:F97" si="13">E89*D89+5%*E89*D89</f>
        <v>33600</v>
      </c>
      <c r="G89" s="1"/>
      <c r="H89" s="32" t="s">
        <v>909</v>
      </c>
      <c r="I89" s="32" t="s">
        <v>910</v>
      </c>
      <c r="J89" s="37">
        <f>SUMIF($C$88:$C$96,"Trà",$F$88:$F$97)</f>
        <v>606795</v>
      </c>
      <c r="K89" s="1"/>
      <c r="L89" s="1"/>
      <c r="M89" s="1"/>
      <c r="N89" s="1"/>
      <c r="O89" s="1"/>
      <c r="P89" s="1"/>
      <c r="Q89" s="1"/>
      <c r="R89" s="1"/>
      <c r="S89" s="1"/>
      <c r="T89" s="1"/>
      <c r="U89" s="1"/>
      <c r="V89" s="1"/>
      <c r="W89" s="1"/>
      <c r="X89" s="1"/>
      <c r="Y89" s="1"/>
      <c r="Z89" s="1"/>
    </row>
    <row r="90" spans="1:26" ht="15.75" customHeight="1" x14ac:dyDescent="0.3">
      <c r="A90" s="281">
        <v>43187</v>
      </c>
      <c r="B90" s="32" t="s">
        <v>911</v>
      </c>
      <c r="C90" s="38" t="str">
        <f t="shared" si="11"/>
        <v>Cafe</v>
      </c>
      <c r="D90" s="38">
        <f>HLOOKUP(VALUE(RIGHT(B90,2)),$I$92:$L$93,2,0)</f>
        <v>210</v>
      </c>
      <c r="E90" s="32">
        <v>520</v>
      </c>
      <c r="F90" s="282">
        <f t="shared" si="13"/>
        <v>114660</v>
      </c>
      <c r="G90" s="1"/>
      <c r="H90" s="1"/>
      <c r="I90" s="1"/>
      <c r="J90" s="1"/>
      <c r="K90" s="1"/>
      <c r="L90" s="1"/>
      <c r="M90" s="1"/>
      <c r="N90" s="1"/>
      <c r="O90" s="1"/>
      <c r="P90" s="1"/>
      <c r="Q90" s="1"/>
      <c r="R90" s="1"/>
      <c r="S90" s="1"/>
      <c r="T90" s="1"/>
      <c r="U90" s="1"/>
      <c r="V90" s="1"/>
      <c r="W90" s="1"/>
      <c r="X90" s="1"/>
      <c r="Y90" s="1"/>
      <c r="Z90" s="1"/>
    </row>
    <row r="91" spans="1:26" ht="15.75" customHeight="1" x14ac:dyDescent="0.3">
      <c r="A91" s="281">
        <v>43202</v>
      </c>
      <c r="B91" s="32" t="s">
        <v>912</v>
      </c>
      <c r="C91" s="38" t="str">
        <f t="shared" si="11"/>
        <v>Trà</v>
      </c>
      <c r="D91" s="38">
        <f t="shared" si="12"/>
        <v>210</v>
      </c>
      <c r="E91" s="32">
        <v>1200</v>
      </c>
      <c r="F91" s="282">
        <f t="shared" si="13"/>
        <v>264600</v>
      </c>
      <c r="G91" s="1"/>
      <c r="H91" s="51" t="s">
        <v>913</v>
      </c>
      <c r="I91" s="1"/>
      <c r="J91" s="1"/>
      <c r="K91" s="1"/>
      <c r="L91" s="1"/>
      <c r="M91" s="1"/>
      <c r="N91" s="1"/>
      <c r="O91" s="1"/>
      <c r="P91" s="1"/>
      <c r="Q91" s="1"/>
      <c r="R91" s="1"/>
      <c r="S91" s="1"/>
      <c r="T91" s="1"/>
      <c r="U91" s="1"/>
      <c r="V91" s="1"/>
      <c r="W91" s="1"/>
      <c r="X91" s="1"/>
      <c r="Y91" s="1"/>
      <c r="Z91" s="1"/>
    </row>
    <row r="92" spans="1:26" ht="15.75" customHeight="1" x14ac:dyDescent="0.3">
      <c r="A92" s="281">
        <v>43268</v>
      </c>
      <c r="B92" s="32" t="s">
        <v>914</v>
      </c>
      <c r="C92" s="38" t="str">
        <f t="shared" si="11"/>
        <v>Bắp</v>
      </c>
      <c r="D92" s="38">
        <f t="shared" si="12"/>
        <v>120</v>
      </c>
      <c r="E92" s="32">
        <v>5320</v>
      </c>
      <c r="F92" s="282">
        <f t="shared" si="13"/>
        <v>670320</v>
      </c>
      <c r="G92" s="1"/>
      <c r="H92" s="32" t="s">
        <v>556</v>
      </c>
      <c r="I92" s="32">
        <v>1</v>
      </c>
      <c r="J92" s="32">
        <v>2</v>
      </c>
      <c r="K92" s="32">
        <v>3</v>
      </c>
      <c r="L92" s="32">
        <v>4</v>
      </c>
      <c r="M92" s="1"/>
      <c r="N92" s="1"/>
      <c r="O92" s="1"/>
      <c r="P92" s="1"/>
      <c r="Q92" s="1"/>
      <c r="R92" s="1"/>
      <c r="S92" s="1"/>
      <c r="T92" s="1"/>
      <c r="U92" s="1"/>
      <c r="V92" s="1"/>
      <c r="W92" s="1"/>
      <c r="X92" s="1"/>
      <c r="Y92" s="1"/>
      <c r="Z92" s="1"/>
    </row>
    <row r="93" spans="1:26" ht="15.75" customHeight="1" x14ac:dyDescent="0.3">
      <c r="A93" s="281">
        <v>43358</v>
      </c>
      <c r="B93" s="32" t="s">
        <v>915</v>
      </c>
      <c r="C93" s="38" t="str">
        <f t="shared" si="11"/>
        <v>Trà</v>
      </c>
      <c r="D93" s="38">
        <f t="shared" si="12"/>
        <v>250</v>
      </c>
      <c r="E93" s="32">
        <v>205</v>
      </c>
      <c r="F93" s="282">
        <f t="shared" si="13"/>
        <v>53812.5</v>
      </c>
      <c r="G93" s="1"/>
      <c r="H93" s="32" t="s">
        <v>916</v>
      </c>
      <c r="I93" s="32">
        <v>40</v>
      </c>
      <c r="J93" s="32">
        <v>120</v>
      </c>
      <c r="K93" s="32">
        <v>210</v>
      </c>
      <c r="L93" s="32">
        <v>250</v>
      </c>
      <c r="M93" s="1"/>
      <c r="N93" s="1"/>
      <c r="O93" s="1"/>
      <c r="P93" s="1"/>
      <c r="Q93" s="1"/>
      <c r="R93" s="1"/>
      <c r="S93" s="1"/>
      <c r="T93" s="1"/>
      <c r="U93" s="1"/>
      <c r="V93" s="1"/>
      <c r="W93" s="1"/>
      <c r="X93" s="1"/>
      <c r="Y93" s="1"/>
      <c r="Z93" s="1"/>
    </row>
    <row r="94" spans="1:26" ht="15.75" customHeight="1" x14ac:dyDescent="0.3">
      <c r="A94" s="281">
        <v>43429</v>
      </c>
      <c r="B94" s="32" t="s">
        <v>917</v>
      </c>
      <c r="C94" s="38" t="str">
        <f t="shared" si="11"/>
        <v>Cafe</v>
      </c>
      <c r="D94" s="38">
        <f t="shared" si="12"/>
        <v>120</v>
      </c>
      <c r="E94" s="32">
        <v>720</v>
      </c>
      <c r="F94" s="282">
        <f t="shared" si="13"/>
        <v>90720</v>
      </c>
      <c r="G94" s="1"/>
      <c r="H94" s="1"/>
      <c r="I94" s="1"/>
      <c r="J94" s="1"/>
      <c r="K94" s="1"/>
      <c r="L94" s="1"/>
      <c r="M94" s="1"/>
      <c r="N94" s="1"/>
      <c r="O94" s="1"/>
      <c r="P94" s="1"/>
      <c r="Q94" s="1"/>
      <c r="R94" s="1"/>
      <c r="S94" s="1"/>
      <c r="T94" s="1"/>
      <c r="U94" s="1"/>
      <c r="V94" s="1"/>
      <c r="W94" s="1"/>
      <c r="X94" s="1"/>
      <c r="Y94" s="1"/>
      <c r="Z94" s="1"/>
    </row>
    <row r="95" spans="1:26" ht="15.75" customHeight="1" x14ac:dyDescent="0.3">
      <c r="A95" s="281">
        <v>43434</v>
      </c>
      <c r="B95" s="32" t="s">
        <v>918</v>
      </c>
      <c r="C95" s="38" t="str">
        <f t="shared" si="11"/>
        <v>Trà</v>
      </c>
      <c r="D95" s="38">
        <f t="shared" si="12"/>
        <v>120</v>
      </c>
      <c r="E95" s="32">
        <v>670</v>
      </c>
      <c r="F95" s="282">
        <f t="shared" si="13"/>
        <v>84420</v>
      </c>
      <c r="G95" s="1"/>
      <c r="H95" s="1"/>
      <c r="I95" s="1"/>
      <c r="J95" s="1"/>
      <c r="K95" s="1"/>
      <c r="L95" s="1"/>
      <c r="M95" s="1"/>
      <c r="N95" s="1"/>
      <c r="O95" s="1"/>
      <c r="P95" s="1"/>
      <c r="Q95" s="1"/>
      <c r="R95" s="1"/>
      <c r="S95" s="1"/>
      <c r="T95" s="1"/>
      <c r="U95" s="1"/>
      <c r="V95" s="1"/>
      <c r="W95" s="1"/>
      <c r="X95" s="1"/>
      <c r="Y95" s="1"/>
      <c r="Z95" s="1"/>
    </row>
    <row r="96" spans="1:26" ht="15.75" customHeight="1" x14ac:dyDescent="0.3">
      <c r="A96" s="281">
        <v>43456</v>
      </c>
      <c r="B96" s="32" t="s">
        <v>912</v>
      </c>
      <c r="C96" s="38" t="str">
        <f t="shared" si="11"/>
        <v>Trà</v>
      </c>
      <c r="D96" s="38">
        <f t="shared" si="12"/>
        <v>210</v>
      </c>
      <c r="E96" s="32">
        <v>925</v>
      </c>
      <c r="F96" s="282">
        <f t="shared" si="13"/>
        <v>203962.5</v>
      </c>
      <c r="G96" s="1"/>
      <c r="H96" s="1"/>
      <c r="I96" s="1"/>
      <c r="J96" s="1"/>
      <c r="K96" s="1"/>
      <c r="L96" s="1"/>
      <c r="M96" s="1"/>
      <c r="N96" s="1"/>
      <c r="O96" s="1"/>
      <c r="P96" s="1"/>
      <c r="Q96" s="1"/>
      <c r="R96" s="1"/>
      <c r="S96" s="1"/>
      <c r="T96" s="1"/>
      <c r="U96" s="1"/>
      <c r="V96" s="1"/>
      <c r="W96" s="1"/>
      <c r="X96" s="1"/>
      <c r="Y96" s="1"/>
      <c r="Z96" s="1"/>
    </row>
    <row r="97" spans="1:26" ht="15.75" customHeight="1" x14ac:dyDescent="0.3">
      <c r="A97" s="281">
        <v>43457</v>
      </c>
      <c r="B97" s="32" t="s">
        <v>917</v>
      </c>
      <c r="C97" s="38" t="str">
        <f t="shared" si="11"/>
        <v>Cafe</v>
      </c>
      <c r="D97" s="38">
        <f t="shared" si="12"/>
        <v>120</v>
      </c>
      <c r="E97" s="32">
        <v>135</v>
      </c>
      <c r="F97" s="282">
        <f t="shared" si="13"/>
        <v>17010</v>
      </c>
      <c r="G97" s="1"/>
      <c r="H97" s="1"/>
      <c r="I97" s="1"/>
      <c r="J97" s="1"/>
      <c r="K97" s="1"/>
      <c r="L97" s="1"/>
      <c r="M97" s="1"/>
      <c r="N97" s="1"/>
      <c r="O97" s="1"/>
      <c r="P97" s="1"/>
      <c r="Q97" s="1"/>
      <c r="R97" s="1"/>
      <c r="S97" s="1"/>
      <c r="T97" s="1"/>
      <c r="U97" s="1"/>
      <c r="V97" s="1"/>
      <c r="W97" s="1"/>
      <c r="X97" s="1"/>
      <c r="Y97" s="1"/>
      <c r="Z97" s="1"/>
    </row>
    <row r="98" spans="1:26" ht="15.75" customHeight="1" x14ac:dyDescent="0.3">
      <c r="A98" s="283" t="s">
        <v>370</v>
      </c>
      <c r="B98" s="284"/>
      <c r="C98" s="284"/>
      <c r="D98" s="284"/>
      <c r="E98" s="285"/>
      <c r="F98" s="282">
        <f>SUM(F88:F97)</f>
        <v>1586917.5</v>
      </c>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51" t="s">
        <v>71</v>
      </c>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1" t="s">
        <v>919</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1" t="s">
        <v>920</v>
      </c>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1" t="s">
        <v>921</v>
      </c>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1" t="s">
        <v>922</v>
      </c>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4" customHeight="1" x14ac:dyDescent="0.3">
      <c r="A106" s="418" t="s">
        <v>923</v>
      </c>
      <c r="B106" s="392"/>
      <c r="C106" s="392"/>
      <c r="D106" s="392"/>
      <c r="E106" s="392"/>
      <c r="F106" s="392"/>
      <c r="G106" s="392"/>
      <c r="H106" s="392"/>
      <c r="I106" s="392"/>
      <c r="J106" s="392"/>
      <c r="K106" s="78"/>
      <c r="L106" s="78"/>
      <c r="M106" s="78"/>
      <c r="N106" s="78"/>
      <c r="O106" s="78"/>
      <c r="P106" s="78"/>
      <c r="Q106" s="78"/>
      <c r="R106" s="78"/>
      <c r="S106" s="78"/>
      <c r="T106" s="78"/>
      <c r="U106" s="78"/>
      <c r="V106" s="78"/>
      <c r="W106" s="78"/>
      <c r="X106" s="78"/>
      <c r="Y106" s="78"/>
      <c r="Z106" s="78"/>
    </row>
    <row r="107" spans="1:26" ht="15.75" customHeight="1" x14ac:dyDescent="0.3">
      <c r="A107" s="286" t="s">
        <v>924</v>
      </c>
      <c r="B107" s="287" t="s">
        <v>925</v>
      </c>
      <c r="C107" s="287" t="s">
        <v>926</v>
      </c>
      <c r="D107" s="287" t="s">
        <v>927</v>
      </c>
      <c r="E107" s="287" t="s">
        <v>928</v>
      </c>
      <c r="F107" s="288" t="s">
        <v>929</v>
      </c>
      <c r="G107" s="287" t="s">
        <v>930</v>
      </c>
      <c r="H107" s="287" t="s">
        <v>931</v>
      </c>
      <c r="I107" s="289" t="s">
        <v>932</v>
      </c>
      <c r="J107" s="290" t="s">
        <v>933</v>
      </c>
      <c r="K107" s="78"/>
      <c r="L107" s="78"/>
      <c r="M107" s="78"/>
      <c r="N107" s="78"/>
      <c r="O107" s="78"/>
      <c r="P107" s="78"/>
      <c r="Q107" s="78"/>
      <c r="R107" s="78"/>
      <c r="S107" s="78"/>
      <c r="T107" s="78"/>
      <c r="U107" s="78"/>
      <c r="V107" s="78"/>
      <c r="W107" s="78"/>
      <c r="X107" s="78"/>
      <c r="Y107" s="78"/>
      <c r="Z107" s="78"/>
    </row>
    <row r="108" spans="1:26" ht="15.75" customHeight="1" x14ac:dyDescent="0.3">
      <c r="A108" s="142" t="s">
        <v>934</v>
      </c>
      <c r="B108" s="138" t="str">
        <f>VLOOKUP(RIGHT(A108,2),$A$120:$B$124,2,0)</f>
        <v>Đa Kao</v>
      </c>
      <c r="C108" s="239" t="s">
        <v>935</v>
      </c>
      <c r="D108" s="138" t="str">
        <f>VLOOKUP(C108,$D$120:$F$124,2,0)</f>
        <v>Vải Kate</v>
      </c>
      <c r="E108" s="125">
        <v>10000000</v>
      </c>
      <c r="F108" s="89">
        <f>E108*VLOOKUP(C108,$D$120:$F$124,3,0)</f>
        <v>90000000</v>
      </c>
      <c r="G108" s="291">
        <v>35796</v>
      </c>
      <c r="H108" s="291">
        <v>35796</v>
      </c>
      <c r="I108" s="292">
        <f>IF(H108-G108&gt;3,(H108-G108)*2%,0)</f>
        <v>0</v>
      </c>
      <c r="J108" s="90">
        <f>F108+I108</f>
        <v>90000000</v>
      </c>
      <c r="K108" s="78"/>
      <c r="L108" s="78"/>
      <c r="M108" s="78"/>
      <c r="N108" s="78"/>
      <c r="O108" s="78"/>
      <c r="P108" s="78"/>
      <c r="Q108" s="78"/>
      <c r="R108" s="78"/>
      <c r="S108" s="78"/>
      <c r="T108" s="78"/>
      <c r="U108" s="78"/>
      <c r="V108" s="78"/>
      <c r="W108" s="78"/>
      <c r="X108" s="78"/>
      <c r="Y108" s="78"/>
      <c r="Z108" s="78"/>
    </row>
    <row r="109" spans="1:26" ht="15.75" customHeight="1" x14ac:dyDescent="0.3">
      <c r="A109" s="143" t="s">
        <v>936</v>
      </c>
      <c r="B109" s="138" t="str">
        <f t="shared" ref="B109:B117" si="14">VLOOKUP(RIGHT(A109,2),$A$120:$B$124,2,0)</f>
        <v>Bến Thành</v>
      </c>
      <c r="C109" s="49" t="s">
        <v>937</v>
      </c>
      <c r="D109" s="138" t="str">
        <f t="shared" ref="D109:D117" si="15">VLOOKUP(C109,$D$120:$F$124,2,0)</f>
        <v>Quần áo</v>
      </c>
      <c r="E109" s="55">
        <v>2000000</v>
      </c>
      <c r="F109" s="89">
        <f t="shared" ref="F109:F117" si="16">E109*VLOOKUP(C109,$D$120:$F$124,3,0)</f>
        <v>16000000</v>
      </c>
      <c r="G109" s="293">
        <v>35810</v>
      </c>
      <c r="H109" s="293">
        <v>35814</v>
      </c>
      <c r="I109" s="292">
        <f t="shared" ref="I109:I117" si="17">IF(H109-G109&gt;3,(H109-G109)*2%,0)</f>
        <v>0.08</v>
      </c>
      <c r="J109" s="90">
        <f t="shared" ref="J109:J117" si="18">F109+I109</f>
        <v>16000000.08</v>
      </c>
      <c r="K109" s="78"/>
      <c r="L109" s="78"/>
      <c r="M109" s="78"/>
      <c r="N109" s="78"/>
      <c r="O109" s="78"/>
      <c r="P109" s="78"/>
      <c r="Q109" s="78"/>
      <c r="R109" s="78"/>
      <c r="S109" s="78"/>
      <c r="T109" s="78"/>
      <c r="U109" s="78"/>
      <c r="V109" s="78"/>
      <c r="W109" s="78"/>
      <c r="X109" s="78"/>
      <c r="Y109" s="78"/>
      <c r="Z109" s="78"/>
    </row>
    <row r="110" spans="1:26" ht="15.75" customHeight="1" x14ac:dyDescent="0.3">
      <c r="A110" s="143" t="s">
        <v>938</v>
      </c>
      <c r="B110" s="138" t="str">
        <f t="shared" si="14"/>
        <v>Bà Chiểu</v>
      </c>
      <c r="C110" s="49" t="s">
        <v>22</v>
      </c>
      <c r="D110" s="138" t="str">
        <f t="shared" si="15"/>
        <v>Thực phẩm</v>
      </c>
      <c r="E110" s="55">
        <v>5000000</v>
      </c>
      <c r="F110" s="89">
        <f t="shared" si="16"/>
        <v>25000000</v>
      </c>
      <c r="G110" s="293">
        <v>35808</v>
      </c>
      <c r="H110" s="293">
        <v>35810</v>
      </c>
      <c r="I110" s="292">
        <f t="shared" si="17"/>
        <v>0</v>
      </c>
      <c r="J110" s="90">
        <f t="shared" si="18"/>
        <v>25000000</v>
      </c>
      <c r="K110" s="78"/>
      <c r="L110" s="78"/>
      <c r="M110" s="78"/>
      <c r="N110" s="78"/>
      <c r="O110" s="78"/>
      <c r="P110" s="78"/>
      <c r="Q110" s="78"/>
      <c r="R110" s="78"/>
      <c r="S110" s="78"/>
      <c r="T110" s="78"/>
      <c r="U110" s="78"/>
      <c r="V110" s="78"/>
      <c r="W110" s="78"/>
      <c r="X110" s="78"/>
      <c r="Y110" s="78"/>
      <c r="Z110" s="78"/>
    </row>
    <row r="111" spans="1:26" ht="15.75" customHeight="1" x14ac:dyDescent="0.3">
      <c r="A111" s="143" t="s">
        <v>939</v>
      </c>
      <c r="B111" s="138" t="str">
        <f t="shared" si="14"/>
        <v>Tân Định</v>
      </c>
      <c r="C111" s="49" t="s">
        <v>940</v>
      </c>
      <c r="D111" s="138" t="str">
        <f t="shared" si="15"/>
        <v>Mỹ phẩm</v>
      </c>
      <c r="E111" s="55">
        <v>15000000</v>
      </c>
      <c r="F111" s="89">
        <f t="shared" si="16"/>
        <v>150000000</v>
      </c>
      <c r="G111" s="293">
        <v>35815</v>
      </c>
      <c r="H111" s="293">
        <v>35820</v>
      </c>
      <c r="I111" s="292">
        <f t="shared" si="17"/>
        <v>0.1</v>
      </c>
      <c r="J111" s="90">
        <f t="shared" si="18"/>
        <v>150000000.09999999</v>
      </c>
      <c r="K111" s="78"/>
      <c r="L111" s="78"/>
      <c r="M111" s="78"/>
      <c r="N111" s="78"/>
      <c r="O111" s="78"/>
      <c r="P111" s="78"/>
      <c r="Q111" s="78"/>
      <c r="R111" s="78"/>
      <c r="S111" s="78"/>
      <c r="T111" s="78"/>
      <c r="U111" s="78"/>
      <c r="V111" s="78"/>
      <c r="W111" s="78"/>
      <c r="X111" s="78"/>
      <c r="Y111" s="78"/>
      <c r="Z111" s="78"/>
    </row>
    <row r="112" spans="1:26" ht="15.75" customHeight="1" x14ac:dyDescent="0.3">
      <c r="A112" s="143" t="s">
        <v>941</v>
      </c>
      <c r="B112" s="138" t="str">
        <f t="shared" si="14"/>
        <v>Phú Nhuận</v>
      </c>
      <c r="C112" s="49" t="s">
        <v>942</v>
      </c>
      <c r="D112" s="138" t="str">
        <f t="shared" si="15"/>
        <v>Giầy dép</v>
      </c>
      <c r="E112" s="55">
        <v>2000000</v>
      </c>
      <c r="F112" s="89">
        <f t="shared" si="16"/>
        <v>6000000</v>
      </c>
      <c r="G112" s="293">
        <v>35815</v>
      </c>
      <c r="H112" s="293">
        <v>35824</v>
      </c>
      <c r="I112" s="292">
        <f t="shared" si="17"/>
        <v>0.18</v>
      </c>
      <c r="J112" s="90">
        <f t="shared" si="18"/>
        <v>6000000.1799999997</v>
      </c>
      <c r="K112" s="78"/>
      <c r="L112" s="78"/>
      <c r="M112" s="78"/>
      <c r="N112" s="78"/>
      <c r="O112" s="78"/>
      <c r="P112" s="78"/>
      <c r="Q112" s="78"/>
      <c r="R112" s="78"/>
      <c r="S112" s="78"/>
      <c r="T112" s="78"/>
      <c r="U112" s="78"/>
      <c r="V112" s="78"/>
      <c r="W112" s="78"/>
      <c r="X112" s="78"/>
      <c r="Y112" s="78"/>
      <c r="Z112" s="78"/>
    </row>
    <row r="113" spans="1:26" ht="15.75" customHeight="1" x14ac:dyDescent="0.3">
      <c r="A113" s="143" t="s">
        <v>943</v>
      </c>
      <c r="B113" s="138" t="str">
        <f t="shared" si="14"/>
        <v>Đa Kao</v>
      </c>
      <c r="C113" s="49" t="s">
        <v>937</v>
      </c>
      <c r="D113" s="138" t="str">
        <f t="shared" si="15"/>
        <v>Quần áo</v>
      </c>
      <c r="E113" s="55">
        <v>10000000</v>
      </c>
      <c r="F113" s="89">
        <f t="shared" si="16"/>
        <v>80000000</v>
      </c>
      <c r="G113" s="293">
        <v>35813</v>
      </c>
      <c r="H113" s="293">
        <v>35812</v>
      </c>
      <c r="I113" s="292">
        <f t="shared" si="17"/>
        <v>0</v>
      </c>
      <c r="J113" s="90">
        <f t="shared" si="18"/>
        <v>80000000</v>
      </c>
      <c r="K113" s="78"/>
      <c r="L113" s="78"/>
      <c r="M113" s="78"/>
      <c r="N113" s="78"/>
      <c r="O113" s="78"/>
      <c r="P113" s="78"/>
      <c r="Q113" s="78"/>
      <c r="R113" s="78"/>
      <c r="S113" s="78"/>
      <c r="T113" s="78"/>
      <c r="U113" s="78"/>
      <c r="V113" s="78"/>
      <c r="W113" s="78"/>
      <c r="X113" s="78"/>
      <c r="Y113" s="78"/>
      <c r="Z113" s="78"/>
    </row>
    <row r="114" spans="1:26" ht="15.75" customHeight="1" x14ac:dyDescent="0.3">
      <c r="A114" s="143" t="s">
        <v>944</v>
      </c>
      <c r="B114" s="138" t="str">
        <f t="shared" si="14"/>
        <v>Tân Định</v>
      </c>
      <c r="C114" s="49" t="s">
        <v>942</v>
      </c>
      <c r="D114" s="138" t="str">
        <f t="shared" si="15"/>
        <v>Giầy dép</v>
      </c>
      <c r="E114" s="55">
        <v>1500000</v>
      </c>
      <c r="F114" s="89">
        <f t="shared" si="16"/>
        <v>4500000</v>
      </c>
      <c r="G114" s="293">
        <v>35797</v>
      </c>
      <c r="H114" s="293">
        <v>35804</v>
      </c>
      <c r="I114" s="292">
        <f t="shared" si="17"/>
        <v>0.14000000000000001</v>
      </c>
      <c r="J114" s="90">
        <f t="shared" si="18"/>
        <v>4500000.1399999997</v>
      </c>
      <c r="K114" s="78"/>
      <c r="L114" s="78"/>
      <c r="M114" s="78"/>
      <c r="N114" s="78"/>
      <c r="O114" s="78"/>
      <c r="P114" s="78"/>
      <c r="Q114" s="78"/>
      <c r="R114" s="78"/>
      <c r="S114" s="78"/>
      <c r="T114" s="78"/>
      <c r="U114" s="78"/>
      <c r="V114" s="78"/>
      <c r="W114" s="78"/>
      <c r="X114" s="78"/>
      <c r="Y114" s="78"/>
      <c r="Z114" s="78"/>
    </row>
    <row r="115" spans="1:26" ht="15.75" customHeight="1" x14ac:dyDescent="0.3">
      <c r="A115" s="143" t="s">
        <v>945</v>
      </c>
      <c r="B115" s="138" t="str">
        <f t="shared" si="14"/>
        <v>Bà Chiểu</v>
      </c>
      <c r="C115" s="49" t="s">
        <v>940</v>
      </c>
      <c r="D115" s="138" t="str">
        <f t="shared" si="15"/>
        <v>Mỹ phẩm</v>
      </c>
      <c r="E115" s="55">
        <v>9000000</v>
      </c>
      <c r="F115" s="89">
        <f t="shared" si="16"/>
        <v>90000000</v>
      </c>
      <c r="G115" s="293">
        <v>35805</v>
      </c>
      <c r="H115" s="293">
        <v>35805</v>
      </c>
      <c r="I115" s="292">
        <f t="shared" si="17"/>
        <v>0</v>
      </c>
      <c r="J115" s="90">
        <f t="shared" si="18"/>
        <v>90000000</v>
      </c>
      <c r="K115" s="78"/>
      <c r="L115" s="78"/>
      <c r="M115" s="78"/>
      <c r="N115" s="78"/>
      <c r="O115" s="78"/>
      <c r="P115" s="78"/>
      <c r="Q115" s="78"/>
      <c r="R115" s="78"/>
      <c r="S115" s="78"/>
      <c r="T115" s="78"/>
      <c r="U115" s="78"/>
      <c r="V115" s="78"/>
      <c r="W115" s="78"/>
      <c r="X115" s="78"/>
      <c r="Y115" s="78"/>
      <c r="Z115" s="78"/>
    </row>
    <row r="116" spans="1:26" ht="15.75" customHeight="1" x14ac:dyDescent="0.3">
      <c r="A116" s="143" t="s">
        <v>946</v>
      </c>
      <c r="B116" s="138" t="str">
        <f t="shared" si="14"/>
        <v>Bến Thành</v>
      </c>
      <c r="C116" s="49" t="s">
        <v>935</v>
      </c>
      <c r="D116" s="138" t="str">
        <f t="shared" si="15"/>
        <v>Vải Kate</v>
      </c>
      <c r="E116" s="55">
        <v>8000000</v>
      </c>
      <c r="F116" s="89">
        <f t="shared" si="16"/>
        <v>72000000</v>
      </c>
      <c r="G116" s="293">
        <v>35807</v>
      </c>
      <c r="H116" s="293">
        <v>35810</v>
      </c>
      <c r="I116" s="292">
        <f t="shared" si="17"/>
        <v>0</v>
      </c>
      <c r="J116" s="90">
        <f t="shared" si="18"/>
        <v>72000000</v>
      </c>
      <c r="K116" s="78"/>
      <c r="L116" s="78"/>
      <c r="M116" s="78"/>
      <c r="N116" s="78"/>
      <c r="O116" s="78"/>
      <c r="P116" s="78"/>
      <c r="Q116" s="78"/>
      <c r="R116" s="78"/>
      <c r="S116" s="78"/>
      <c r="T116" s="78"/>
      <c r="U116" s="78"/>
      <c r="V116" s="78"/>
      <c r="W116" s="78"/>
      <c r="X116" s="78"/>
      <c r="Y116" s="78"/>
      <c r="Z116" s="78"/>
    </row>
    <row r="117" spans="1:26" ht="15.75" customHeight="1" x14ac:dyDescent="0.3">
      <c r="A117" s="144" t="s">
        <v>947</v>
      </c>
      <c r="B117" s="138" t="str">
        <f t="shared" si="14"/>
        <v>Tân Định</v>
      </c>
      <c r="C117" s="243" t="s">
        <v>22</v>
      </c>
      <c r="D117" s="138" t="str">
        <f t="shared" si="15"/>
        <v>Thực phẩm</v>
      </c>
      <c r="E117" s="294">
        <v>900000</v>
      </c>
      <c r="F117" s="89">
        <f t="shared" si="16"/>
        <v>4500000</v>
      </c>
      <c r="G117" s="295">
        <v>35820</v>
      </c>
      <c r="H117" s="295">
        <v>35821</v>
      </c>
      <c r="I117" s="292">
        <f t="shared" si="17"/>
        <v>0</v>
      </c>
      <c r="J117" s="90">
        <f t="shared" si="18"/>
        <v>4500000</v>
      </c>
      <c r="K117" s="78"/>
      <c r="L117" s="78"/>
      <c r="M117" s="78"/>
      <c r="N117" s="78"/>
      <c r="O117" s="78"/>
      <c r="P117" s="78"/>
      <c r="Q117" s="78"/>
      <c r="R117" s="78"/>
      <c r="S117" s="78"/>
      <c r="T117" s="78"/>
      <c r="U117" s="78"/>
      <c r="V117" s="78"/>
      <c r="W117" s="78"/>
      <c r="X117" s="78"/>
      <c r="Y117" s="78"/>
      <c r="Z117" s="78"/>
    </row>
    <row r="118" spans="1:26" ht="15.75" customHeight="1" x14ac:dyDescent="0.3">
      <c r="A118" s="474" t="s">
        <v>948</v>
      </c>
      <c r="B118" s="392"/>
      <c r="C118" s="78"/>
      <c r="D118" s="474" t="s">
        <v>949</v>
      </c>
      <c r="E118" s="392"/>
      <c r="F118" s="392"/>
      <c r="G118" s="78"/>
      <c r="H118" s="78"/>
      <c r="I118" s="296"/>
      <c r="J118" s="78"/>
      <c r="K118" s="78"/>
      <c r="L118" s="78"/>
      <c r="M118" s="78"/>
      <c r="N118" s="78"/>
      <c r="O118" s="78"/>
      <c r="P118" s="78"/>
      <c r="Q118" s="78"/>
      <c r="R118" s="78"/>
      <c r="S118" s="78"/>
      <c r="T118" s="78"/>
      <c r="U118" s="78"/>
      <c r="V118" s="78"/>
      <c r="W118" s="78"/>
      <c r="X118" s="78"/>
      <c r="Y118" s="78"/>
      <c r="Z118" s="78"/>
    </row>
    <row r="119" spans="1:26" ht="15.75" customHeight="1" x14ac:dyDescent="0.3">
      <c r="A119" s="96" t="s">
        <v>950</v>
      </c>
      <c r="B119" s="98" t="s">
        <v>925</v>
      </c>
      <c r="C119" s="78"/>
      <c r="D119" s="96" t="s">
        <v>951</v>
      </c>
      <c r="E119" s="97" t="s">
        <v>557</v>
      </c>
      <c r="F119" s="297" t="s">
        <v>952</v>
      </c>
      <c r="G119" s="78"/>
      <c r="H119" s="78"/>
      <c r="I119" s="296"/>
      <c r="J119" s="78"/>
      <c r="K119" s="78"/>
      <c r="L119" s="78"/>
      <c r="M119" s="78"/>
      <c r="N119" s="78"/>
      <c r="O119" s="78"/>
      <c r="P119" s="78"/>
      <c r="Q119" s="78"/>
      <c r="R119" s="78"/>
      <c r="S119" s="78"/>
      <c r="T119" s="78"/>
      <c r="U119" s="78"/>
      <c r="V119" s="78"/>
      <c r="W119" s="78"/>
      <c r="X119" s="78"/>
      <c r="Y119" s="78"/>
      <c r="Z119" s="78"/>
    </row>
    <row r="120" spans="1:26" ht="15.75" customHeight="1" x14ac:dyDescent="0.3">
      <c r="A120" s="142" t="s">
        <v>953</v>
      </c>
      <c r="B120" s="298" t="s">
        <v>954</v>
      </c>
      <c r="C120" s="78"/>
      <c r="D120" s="299" t="s">
        <v>22</v>
      </c>
      <c r="E120" s="239" t="s">
        <v>955</v>
      </c>
      <c r="F120" s="300">
        <v>5</v>
      </c>
      <c r="G120" s="78"/>
      <c r="H120" s="78"/>
      <c r="I120" s="296"/>
      <c r="J120" s="78"/>
      <c r="K120" s="78"/>
      <c r="L120" s="78"/>
      <c r="M120" s="78"/>
      <c r="N120" s="78"/>
      <c r="O120" s="78"/>
      <c r="P120" s="78"/>
      <c r="Q120" s="78"/>
      <c r="R120" s="78"/>
      <c r="S120" s="78"/>
      <c r="T120" s="78"/>
      <c r="U120" s="78"/>
      <c r="V120" s="78"/>
      <c r="W120" s="78"/>
      <c r="X120" s="78"/>
      <c r="Y120" s="78"/>
      <c r="Z120" s="78"/>
    </row>
    <row r="121" spans="1:26" ht="15.75" customHeight="1" x14ac:dyDescent="0.3">
      <c r="A121" s="143" t="s">
        <v>956</v>
      </c>
      <c r="B121" s="301" t="s">
        <v>957</v>
      </c>
      <c r="C121" s="78"/>
      <c r="D121" s="302" t="s">
        <v>942</v>
      </c>
      <c r="E121" s="49" t="s">
        <v>958</v>
      </c>
      <c r="F121" s="303">
        <v>3</v>
      </c>
      <c r="G121" s="78"/>
      <c r="H121" s="78"/>
      <c r="I121" s="296"/>
      <c r="J121" s="78"/>
      <c r="K121" s="78"/>
      <c r="L121" s="78"/>
      <c r="M121" s="78"/>
      <c r="N121" s="78"/>
      <c r="O121" s="78"/>
      <c r="P121" s="78"/>
      <c r="Q121" s="78"/>
      <c r="R121" s="78"/>
      <c r="S121" s="78"/>
      <c r="T121" s="78"/>
      <c r="U121" s="78"/>
      <c r="V121" s="78"/>
      <c r="W121" s="78"/>
      <c r="X121" s="78"/>
      <c r="Y121" s="78"/>
      <c r="Z121" s="78"/>
    </row>
    <row r="122" spans="1:26" ht="15.75" customHeight="1" x14ac:dyDescent="0.3">
      <c r="A122" s="143" t="s">
        <v>959</v>
      </c>
      <c r="B122" s="301" t="s">
        <v>960</v>
      </c>
      <c r="C122" s="78"/>
      <c r="D122" s="302" t="s">
        <v>940</v>
      </c>
      <c r="E122" s="49" t="s">
        <v>961</v>
      </c>
      <c r="F122" s="303">
        <v>10</v>
      </c>
      <c r="G122" s="78"/>
      <c r="H122" s="78"/>
      <c r="I122" s="296"/>
      <c r="J122" s="78"/>
      <c r="K122" s="78"/>
      <c r="L122" s="78"/>
      <c r="M122" s="78"/>
      <c r="N122" s="78"/>
      <c r="O122" s="78"/>
      <c r="P122" s="78"/>
      <c r="Q122" s="78"/>
      <c r="R122" s="78"/>
      <c r="S122" s="78"/>
      <c r="T122" s="78"/>
      <c r="U122" s="78"/>
      <c r="V122" s="78"/>
      <c r="W122" s="78"/>
      <c r="X122" s="78"/>
      <c r="Y122" s="78"/>
      <c r="Z122" s="78"/>
    </row>
    <row r="123" spans="1:26" ht="15.75" customHeight="1" x14ac:dyDescent="0.3">
      <c r="A123" s="143" t="s">
        <v>962</v>
      </c>
      <c r="B123" s="301" t="s">
        <v>963</v>
      </c>
      <c r="C123" s="78"/>
      <c r="D123" s="302" t="s">
        <v>935</v>
      </c>
      <c r="E123" s="49" t="s">
        <v>964</v>
      </c>
      <c r="F123" s="303">
        <v>9</v>
      </c>
      <c r="G123" s="78"/>
      <c r="H123" s="78"/>
      <c r="I123" s="296"/>
      <c r="J123" s="78"/>
      <c r="K123" s="78"/>
      <c r="L123" s="78"/>
      <c r="M123" s="78"/>
      <c r="N123" s="78"/>
      <c r="O123" s="78"/>
      <c r="P123" s="78"/>
      <c r="Q123" s="78"/>
      <c r="R123" s="78"/>
      <c r="S123" s="78"/>
      <c r="T123" s="78"/>
      <c r="U123" s="78"/>
      <c r="V123" s="78"/>
      <c r="W123" s="78"/>
      <c r="X123" s="78"/>
      <c r="Y123" s="78"/>
      <c r="Z123" s="78"/>
    </row>
    <row r="124" spans="1:26" ht="15.75" customHeight="1" x14ac:dyDescent="0.3">
      <c r="A124" s="144" t="s">
        <v>965</v>
      </c>
      <c r="B124" s="304" t="s">
        <v>966</v>
      </c>
      <c r="C124" s="78"/>
      <c r="D124" s="305" t="s">
        <v>937</v>
      </c>
      <c r="E124" s="243" t="s">
        <v>967</v>
      </c>
      <c r="F124" s="306">
        <v>8</v>
      </c>
      <c r="G124" s="78"/>
      <c r="H124" s="78"/>
      <c r="I124" s="296"/>
      <c r="J124" s="78"/>
      <c r="K124" s="78"/>
      <c r="L124" s="78"/>
      <c r="M124" s="78"/>
      <c r="N124" s="78"/>
      <c r="O124" s="78"/>
      <c r="P124" s="78"/>
      <c r="Q124" s="78"/>
      <c r="R124" s="78"/>
      <c r="S124" s="78"/>
      <c r="T124" s="78"/>
      <c r="U124" s="78"/>
      <c r="V124" s="78"/>
      <c r="W124" s="78"/>
      <c r="X124" s="78"/>
      <c r="Y124" s="78"/>
      <c r="Z124" s="78"/>
    </row>
    <row r="125" spans="1:26" ht="15.75" customHeight="1" x14ac:dyDescent="0.3">
      <c r="A125" s="474" t="s">
        <v>810</v>
      </c>
      <c r="B125" s="392"/>
      <c r="C125" s="78"/>
      <c r="D125" s="78"/>
      <c r="E125" s="78"/>
      <c r="F125" s="307"/>
      <c r="G125" s="78"/>
      <c r="H125" s="78"/>
      <c r="I125" s="296"/>
      <c r="J125" s="78"/>
      <c r="K125" s="78"/>
      <c r="L125" s="78"/>
      <c r="M125" s="78"/>
      <c r="N125" s="78"/>
      <c r="O125" s="78"/>
      <c r="P125" s="78"/>
      <c r="Q125" s="78"/>
      <c r="R125" s="78"/>
      <c r="S125" s="78"/>
      <c r="T125" s="78"/>
      <c r="U125" s="78"/>
      <c r="V125" s="78"/>
      <c r="W125" s="78"/>
      <c r="X125" s="78"/>
      <c r="Y125" s="78"/>
      <c r="Z125" s="78"/>
    </row>
    <row r="126" spans="1:26" ht="15.75" customHeight="1" x14ac:dyDescent="0.3">
      <c r="A126" s="96" t="s">
        <v>968</v>
      </c>
      <c r="B126" s="98" t="s">
        <v>969</v>
      </c>
      <c r="C126" s="78"/>
      <c r="D126" s="164"/>
      <c r="E126" s="164"/>
      <c r="F126" s="308"/>
      <c r="G126" s="164"/>
      <c r="H126" s="164"/>
      <c r="I126" s="296"/>
      <c r="J126" s="78"/>
      <c r="K126" s="78"/>
      <c r="L126" s="78"/>
      <c r="M126" s="78"/>
      <c r="N126" s="78"/>
      <c r="O126" s="78"/>
      <c r="P126" s="78"/>
      <c r="Q126" s="78"/>
      <c r="R126" s="78"/>
      <c r="S126" s="78"/>
      <c r="T126" s="78"/>
      <c r="U126" s="78"/>
      <c r="V126" s="78"/>
      <c r="W126" s="78"/>
      <c r="X126" s="78"/>
      <c r="Y126" s="78"/>
      <c r="Z126" s="78"/>
    </row>
    <row r="127" spans="1:26" ht="15.75" customHeight="1" x14ac:dyDescent="0.3">
      <c r="A127" s="299" t="s">
        <v>953</v>
      </c>
      <c r="B127" s="309">
        <f>SUMIF($A$108:$A$117,"*TD",$J$108:$J$117)</f>
        <v>159000000.23999998</v>
      </c>
      <c r="C127" s="78"/>
      <c r="D127" s="164"/>
      <c r="E127" s="164"/>
      <c r="F127" s="308"/>
      <c r="G127" s="164"/>
      <c r="H127" s="164"/>
      <c r="I127" s="296"/>
      <c r="J127" s="78"/>
      <c r="K127" s="78"/>
      <c r="L127" s="78"/>
      <c r="M127" s="78"/>
      <c r="N127" s="78"/>
      <c r="O127" s="78"/>
      <c r="P127" s="78"/>
      <c r="Q127" s="78"/>
      <c r="R127" s="78"/>
      <c r="S127" s="78"/>
      <c r="T127" s="78"/>
      <c r="U127" s="78"/>
      <c r="V127" s="78"/>
      <c r="W127" s="78"/>
      <c r="X127" s="78"/>
      <c r="Y127" s="78"/>
      <c r="Z127" s="78"/>
    </row>
    <row r="128" spans="1:26" ht="15.75" customHeight="1" x14ac:dyDescent="0.3">
      <c r="A128" s="302" t="s">
        <v>956</v>
      </c>
      <c r="B128" s="309">
        <f>SUMIF($A$108:$A$117,"*BT",$J$108:$J$117)</f>
        <v>88000000.079999998</v>
      </c>
      <c r="C128" s="78"/>
      <c r="D128" s="78"/>
      <c r="E128" s="78"/>
      <c r="F128" s="307"/>
      <c r="G128" s="78"/>
      <c r="H128" s="78"/>
      <c r="I128" s="296"/>
      <c r="J128" s="78"/>
      <c r="K128" s="78"/>
      <c r="L128" s="78"/>
      <c r="M128" s="78"/>
      <c r="N128" s="78"/>
      <c r="O128" s="78"/>
      <c r="P128" s="78"/>
      <c r="Q128" s="78"/>
      <c r="R128" s="78"/>
      <c r="S128" s="78"/>
      <c r="T128" s="78"/>
      <c r="U128" s="78"/>
      <c r="V128" s="78"/>
      <c r="W128" s="78"/>
      <c r="X128" s="78"/>
      <c r="Y128" s="78"/>
      <c r="Z128" s="78"/>
    </row>
    <row r="129" spans="1:26" ht="15.75" customHeight="1" x14ac:dyDescent="0.3">
      <c r="A129" s="302" t="s">
        <v>959</v>
      </c>
      <c r="B129" s="309">
        <f>SUMIF($A$108:$A$117,"*BC",$J$108:$J$117)</f>
        <v>115000000</v>
      </c>
      <c r="C129" s="78"/>
      <c r="D129" s="78"/>
      <c r="E129" s="78"/>
      <c r="F129" s="307"/>
      <c r="G129" s="78"/>
      <c r="H129" s="78"/>
      <c r="I129" s="296"/>
      <c r="J129" s="78"/>
      <c r="K129" s="78"/>
      <c r="L129" s="78"/>
      <c r="M129" s="78"/>
      <c r="N129" s="78"/>
      <c r="O129" s="78"/>
      <c r="P129" s="78"/>
      <c r="Q129" s="78"/>
      <c r="R129" s="78"/>
      <c r="S129" s="78"/>
      <c r="T129" s="78"/>
      <c r="U129" s="78"/>
      <c r="V129" s="78"/>
      <c r="W129" s="78"/>
      <c r="X129" s="78"/>
      <c r="Y129" s="78"/>
      <c r="Z129" s="78"/>
    </row>
    <row r="130" spans="1:26" ht="15.75" customHeight="1" x14ac:dyDescent="0.3">
      <c r="A130" s="302" t="s">
        <v>962</v>
      </c>
      <c r="B130" s="309">
        <f>SUMIF($A$108:$A$117,"*DK",$J$108:$J$117)</f>
        <v>170000000</v>
      </c>
      <c r="C130" s="78"/>
      <c r="D130" s="78"/>
      <c r="E130" s="78"/>
      <c r="F130" s="307"/>
      <c r="G130" s="78"/>
      <c r="H130" s="78"/>
      <c r="I130" s="296"/>
      <c r="J130" s="78"/>
      <c r="K130" s="78"/>
      <c r="L130" s="78"/>
      <c r="M130" s="78"/>
      <c r="N130" s="78"/>
      <c r="O130" s="78"/>
      <c r="P130" s="78"/>
      <c r="Q130" s="78"/>
      <c r="R130" s="78"/>
      <c r="S130" s="78"/>
      <c r="T130" s="78"/>
      <c r="U130" s="78"/>
      <c r="V130" s="78"/>
      <c r="W130" s="78"/>
      <c r="X130" s="78"/>
      <c r="Y130" s="78"/>
      <c r="Z130" s="78"/>
    </row>
    <row r="131" spans="1:26" ht="15.75" customHeight="1" x14ac:dyDescent="0.3">
      <c r="A131" s="305" t="s">
        <v>965</v>
      </c>
      <c r="B131" s="309">
        <f>SUMIF($A$108:$A$117,"*PN",$J$108:$J$117)</f>
        <v>6000000.1799999997</v>
      </c>
      <c r="C131" s="78"/>
      <c r="D131" s="78"/>
      <c r="E131" s="78"/>
      <c r="F131" s="307"/>
      <c r="G131" s="78"/>
      <c r="H131" s="78"/>
      <c r="I131" s="296"/>
      <c r="J131" s="78"/>
      <c r="K131" s="78"/>
      <c r="L131" s="78"/>
      <c r="M131" s="78"/>
      <c r="N131" s="78"/>
      <c r="O131" s="78"/>
      <c r="P131" s="78"/>
      <c r="Q131" s="78"/>
      <c r="R131" s="78"/>
      <c r="S131" s="78"/>
      <c r="T131" s="78"/>
      <c r="U131" s="78"/>
      <c r="V131" s="78"/>
      <c r="W131" s="78"/>
      <c r="X131" s="78"/>
      <c r="Y131" s="78"/>
      <c r="Z131" s="78"/>
    </row>
    <row r="132" spans="1:26" ht="15.75" customHeight="1" x14ac:dyDescent="0.3">
      <c r="A132" s="78"/>
      <c r="B132" s="78"/>
      <c r="C132" s="78"/>
      <c r="D132" s="78"/>
      <c r="E132" s="78"/>
      <c r="F132" s="307"/>
      <c r="G132" s="78"/>
      <c r="H132" s="78"/>
      <c r="I132" s="296"/>
      <c r="J132" s="78"/>
      <c r="K132" s="78"/>
      <c r="L132" s="78"/>
      <c r="M132" s="78"/>
      <c r="N132" s="78"/>
      <c r="O132" s="78"/>
      <c r="P132" s="78"/>
      <c r="Q132" s="78"/>
      <c r="R132" s="78"/>
      <c r="S132" s="78"/>
      <c r="T132" s="78"/>
      <c r="U132" s="78"/>
      <c r="V132" s="78"/>
      <c r="W132" s="78"/>
      <c r="X132" s="78"/>
      <c r="Y132" s="78"/>
      <c r="Z132" s="78"/>
    </row>
    <row r="133" spans="1:26" ht="15.75" customHeight="1" x14ac:dyDescent="0.3">
      <c r="A133" s="95" t="s">
        <v>970</v>
      </c>
      <c r="B133" s="78"/>
      <c r="C133" s="78"/>
      <c r="D133" s="78"/>
      <c r="E133" s="78"/>
      <c r="F133" s="307"/>
      <c r="G133" s="78"/>
      <c r="H133" s="78"/>
      <c r="I133" s="296"/>
      <c r="J133" s="78"/>
      <c r="K133" s="78"/>
      <c r="L133" s="78"/>
      <c r="M133" s="78"/>
      <c r="N133" s="78"/>
      <c r="O133" s="78"/>
      <c r="P133" s="78"/>
      <c r="Q133" s="78"/>
      <c r="R133" s="78"/>
      <c r="S133" s="78"/>
      <c r="T133" s="78"/>
      <c r="U133" s="78"/>
      <c r="V133" s="78"/>
      <c r="W133" s="78"/>
      <c r="X133" s="78"/>
      <c r="Y133" s="78"/>
      <c r="Z133" s="78"/>
    </row>
    <row r="134" spans="1:26" ht="15.75" customHeight="1" x14ac:dyDescent="0.3">
      <c r="A134" s="95" t="s">
        <v>971</v>
      </c>
      <c r="B134" s="78"/>
      <c r="C134" s="78"/>
      <c r="D134" s="78"/>
      <c r="E134" s="78"/>
      <c r="F134" s="307"/>
      <c r="G134" s="78"/>
      <c r="H134" s="78"/>
      <c r="I134" s="296"/>
      <c r="J134" s="78"/>
      <c r="K134" s="78"/>
      <c r="L134" s="78"/>
      <c r="M134" s="78"/>
      <c r="N134" s="78"/>
      <c r="O134" s="78"/>
      <c r="P134" s="78"/>
      <c r="Q134" s="78"/>
      <c r="R134" s="78"/>
      <c r="S134" s="78"/>
      <c r="T134" s="78"/>
      <c r="U134" s="78"/>
      <c r="V134" s="78"/>
      <c r="W134" s="78"/>
      <c r="X134" s="78"/>
      <c r="Y134" s="78"/>
      <c r="Z134" s="78"/>
    </row>
    <row r="135" spans="1:26" ht="15.75" customHeight="1" x14ac:dyDescent="0.3">
      <c r="A135" s="95" t="s">
        <v>972</v>
      </c>
      <c r="B135" s="78"/>
      <c r="C135" s="78"/>
      <c r="D135" s="78"/>
      <c r="E135" s="78"/>
      <c r="F135" s="307"/>
      <c r="G135" s="78"/>
      <c r="H135" s="78"/>
      <c r="I135" s="296"/>
      <c r="J135" s="78"/>
      <c r="K135" s="78"/>
      <c r="L135" s="78"/>
      <c r="M135" s="78"/>
      <c r="N135" s="78"/>
      <c r="O135" s="78"/>
      <c r="P135" s="78"/>
      <c r="Q135" s="78"/>
      <c r="R135" s="78"/>
      <c r="S135" s="78"/>
      <c r="T135" s="78"/>
      <c r="U135" s="78"/>
      <c r="V135" s="78"/>
      <c r="W135" s="78"/>
      <c r="X135" s="78"/>
      <c r="Y135" s="78"/>
      <c r="Z135" s="78"/>
    </row>
    <row r="136" spans="1:26" ht="15.75" customHeight="1" x14ac:dyDescent="0.3">
      <c r="A136" s="95" t="s">
        <v>973</v>
      </c>
      <c r="B136" s="78"/>
      <c r="C136" s="78"/>
      <c r="D136" s="78"/>
      <c r="E136" s="78"/>
      <c r="F136" s="307"/>
      <c r="G136" s="78"/>
      <c r="H136" s="78"/>
      <c r="I136" s="296"/>
      <c r="J136" s="78"/>
      <c r="K136" s="78"/>
      <c r="L136" s="78"/>
      <c r="M136" s="78"/>
      <c r="N136" s="78"/>
      <c r="O136" s="78"/>
      <c r="P136" s="78"/>
      <c r="Q136" s="78"/>
      <c r="R136" s="78"/>
      <c r="S136" s="78"/>
      <c r="T136" s="78"/>
      <c r="U136" s="78"/>
      <c r="V136" s="78"/>
      <c r="W136" s="78"/>
      <c r="X136" s="78"/>
      <c r="Y136" s="78"/>
      <c r="Z136" s="78"/>
    </row>
    <row r="137" spans="1:26" ht="15.75" customHeight="1" x14ac:dyDescent="0.3">
      <c r="A137" s="95" t="s">
        <v>974</v>
      </c>
      <c r="B137" s="78"/>
      <c r="C137" s="78"/>
      <c r="D137" s="78"/>
      <c r="E137" s="78"/>
      <c r="F137" s="307"/>
      <c r="G137" s="78"/>
      <c r="H137" s="78"/>
      <c r="I137" s="296"/>
      <c r="J137" s="78"/>
      <c r="K137" s="78"/>
      <c r="L137" s="78"/>
      <c r="M137" s="78"/>
      <c r="N137" s="78"/>
      <c r="O137" s="78"/>
      <c r="P137" s="78"/>
      <c r="Q137" s="78"/>
      <c r="R137" s="78"/>
      <c r="S137" s="78"/>
      <c r="T137" s="78"/>
      <c r="U137" s="78"/>
      <c r="V137" s="78"/>
      <c r="W137" s="78"/>
      <c r="X137" s="78"/>
      <c r="Y137" s="78"/>
      <c r="Z137" s="78"/>
    </row>
    <row r="138" spans="1:26" ht="15.75" customHeight="1" x14ac:dyDescent="0.3">
      <c r="A138" s="95" t="s">
        <v>975</v>
      </c>
      <c r="B138" s="78"/>
      <c r="C138" s="78"/>
      <c r="D138" s="78"/>
      <c r="E138" s="78"/>
      <c r="F138" s="307"/>
      <c r="G138" s="78"/>
      <c r="H138" s="78"/>
      <c r="I138" s="296"/>
      <c r="J138" s="78"/>
      <c r="K138" s="78"/>
      <c r="L138" s="78"/>
      <c r="M138" s="78"/>
      <c r="N138" s="78"/>
      <c r="O138" s="78"/>
      <c r="P138" s="78"/>
      <c r="Q138" s="78"/>
      <c r="R138" s="78"/>
      <c r="S138" s="78"/>
      <c r="T138" s="78"/>
      <c r="U138" s="78"/>
      <c r="V138" s="78"/>
      <c r="W138" s="78"/>
      <c r="X138" s="78"/>
      <c r="Y138" s="78"/>
      <c r="Z138" s="78"/>
    </row>
    <row r="139" spans="1:26" ht="15.75" customHeight="1" x14ac:dyDescent="0.3">
      <c r="A139" s="95"/>
      <c r="B139" s="78"/>
      <c r="C139" s="78"/>
      <c r="D139" s="78"/>
      <c r="E139" s="78"/>
      <c r="F139" s="307"/>
      <c r="G139" s="78"/>
      <c r="H139" s="78"/>
      <c r="I139" s="296"/>
      <c r="J139" s="78"/>
      <c r="K139" s="78"/>
      <c r="L139" s="78"/>
      <c r="M139" s="78"/>
      <c r="N139" s="78"/>
      <c r="O139" s="78"/>
      <c r="P139" s="78"/>
      <c r="Q139" s="78"/>
      <c r="R139" s="78"/>
      <c r="S139" s="78"/>
      <c r="T139" s="78"/>
      <c r="U139" s="78"/>
      <c r="V139" s="78"/>
      <c r="W139" s="78"/>
      <c r="X139" s="78"/>
      <c r="Y139" s="78"/>
      <c r="Z139" s="78"/>
    </row>
    <row r="140" spans="1:26" ht="36" customHeight="1" x14ac:dyDescent="0.3">
      <c r="A140" s="418" t="s">
        <v>976</v>
      </c>
      <c r="B140" s="392"/>
      <c r="C140" s="392"/>
      <c r="D140" s="392"/>
      <c r="E140" s="392"/>
      <c r="F140" s="392"/>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310" t="s">
        <v>77</v>
      </c>
      <c r="B141" s="311" t="s">
        <v>737</v>
      </c>
      <c r="C141" s="311" t="s">
        <v>977</v>
      </c>
      <c r="D141" s="311" t="s">
        <v>978</v>
      </c>
      <c r="E141" s="311" t="s">
        <v>979</v>
      </c>
      <c r="F141" s="312" t="s">
        <v>980</v>
      </c>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222">
        <v>1</v>
      </c>
      <c r="B142" s="223" t="s">
        <v>981</v>
      </c>
      <c r="C142" s="313" t="str">
        <f>VLOOKUP(MID(B142,2,2),$A$156:$B$159,2,0)</f>
        <v>Nghĩa</v>
      </c>
      <c r="D142" s="72">
        <v>35</v>
      </c>
      <c r="E142" s="72">
        <v>1</v>
      </c>
      <c r="F142" s="226">
        <f>VLOOKUP(E142,$D$156:$G$158,IF(D142&gt;60,4,IF(D142&gt;30,3,2)),0)</f>
        <v>3000</v>
      </c>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227">
        <v>2</v>
      </c>
      <c r="B143" s="37" t="s">
        <v>982</v>
      </c>
      <c r="C143" s="313" t="str">
        <f t="shared" ref="C143:C151" si="19">VLOOKUP(MID(B143,2,2),$A$156:$B$159,2,0)</f>
        <v>Bình</v>
      </c>
      <c r="D143" s="32">
        <v>25</v>
      </c>
      <c r="E143" s="32">
        <v>2</v>
      </c>
      <c r="F143" s="226">
        <f t="shared" ref="F143:F151" si="20">VLOOKUP(E143,$D$156:$G$158,IF(D143&gt;60,4,IF(D143&gt;30,3,2)),0)</f>
        <v>3000</v>
      </c>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227">
        <v>3</v>
      </c>
      <c r="B144" s="37" t="s">
        <v>981</v>
      </c>
      <c r="C144" s="313" t="str">
        <f t="shared" si="19"/>
        <v>Nghĩa</v>
      </c>
      <c r="D144" s="32">
        <v>15</v>
      </c>
      <c r="E144" s="32">
        <v>3</v>
      </c>
      <c r="F144" s="226">
        <f t="shared" si="20"/>
        <v>4000</v>
      </c>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227">
        <v>4</v>
      </c>
      <c r="B145" s="37" t="s">
        <v>982</v>
      </c>
      <c r="C145" s="313" t="str">
        <f t="shared" si="19"/>
        <v>Bình</v>
      </c>
      <c r="D145" s="32">
        <v>40</v>
      </c>
      <c r="E145" s="32">
        <v>2</v>
      </c>
      <c r="F145" s="226">
        <f t="shared" si="20"/>
        <v>4000</v>
      </c>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227">
        <v>5</v>
      </c>
      <c r="B146" s="37" t="s">
        <v>983</v>
      </c>
      <c r="C146" s="313" t="str">
        <f t="shared" si="19"/>
        <v>Tùng</v>
      </c>
      <c r="D146" s="32">
        <v>70</v>
      </c>
      <c r="E146" s="32">
        <v>1</v>
      </c>
      <c r="F146" s="226">
        <f t="shared" si="20"/>
        <v>5000</v>
      </c>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227">
        <v>6</v>
      </c>
      <c r="B147" s="37" t="s">
        <v>984</v>
      </c>
      <c r="C147" s="313" t="str">
        <f t="shared" si="19"/>
        <v>Bảo</v>
      </c>
      <c r="D147" s="32">
        <v>55</v>
      </c>
      <c r="E147" s="32">
        <v>1</v>
      </c>
      <c r="F147" s="226">
        <f t="shared" si="20"/>
        <v>3000</v>
      </c>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227">
        <v>7</v>
      </c>
      <c r="B148" s="37" t="s">
        <v>981</v>
      </c>
      <c r="C148" s="313" t="str">
        <f t="shared" si="19"/>
        <v>Nghĩa</v>
      </c>
      <c r="D148" s="32">
        <v>80</v>
      </c>
      <c r="E148" s="32">
        <v>2</v>
      </c>
      <c r="F148" s="226">
        <f t="shared" si="20"/>
        <v>7000</v>
      </c>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227">
        <v>8</v>
      </c>
      <c r="B149" s="37" t="s">
        <v>984</v>
      </c>
      <c r="C149" s="313" t="str">
        <f t="shared" si="19"/>
        <v>Bảo</v>
      </c>
      <c r="D149" s="32">
        <v>47</v>
      </c>
      <c r="E149" s="32">
        <v>3</v>
      </c>
      <c r="F149" s="226">
        <f t="shared" si="20"/>
        <v>5000</v>
      </c>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227">
        <v>9</v>
      </c>
      <c r="B150" s="37" t="s">
        <v>981</v>
      </c>
      <c r="C150" s="313" t="str">
        <f t="shared" si="19"/>
        <v>Nghĩa</v>
      </c>
      <c r="D150" s="32">
        <v>60</v>
      </c>
      <c r="E150" s="32">
        <v>2</v>
      </c>
      <c r="F150" s="226">
        <f t="shared" si="20"/>
        <v>4000</v>
      </c>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228">
        <v>10</v>
      </c>
      <c r="B151" s="229" t="s">
        <v>982</v>
      </c>
      <c r="C151" s="313" t="str">
        <f t="shared" si="19"/>
        <v>Bình</v>
      </c>
      <c r="D151" s="230">
        <v>68</v>
      </c>
      <c r="E151" s="230">
        <v>2</v>
      </c>
      <c r="F151" s="226">
        <f t="shared" si="20"/>
        <v>7000</v>
      </c>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475" t="s">
        <v>985</v>
      </c>
      <c r="B152" s="423"/>
      <c r="C152" s="423"/>
      <c r="D152" s="423"/>
      <c r="E152" s="424"/>
      <c r="F152" s="314"/>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476" t="s">
        <v>948</v>
      </c>
      <c r="B154" s="392"/>
      <c r="C154" s="1"/>
      <c r="D154" s="476" t="s">
        <v>986</v>
      </c>
      <c r="E154" s="392"/>
      <c r="F154" s="392"/>
      <c r="G154" s="392"/>
      <c r="H154" s="1"/>
      <c r="I154" s="1"/>
      <c r="J154" s="1"/>
      <c r="K154" s="1"/>
      <c r="L154" s="1"/>
      <c r="M154" s="1"/>
      <c r="N154" s="1"/>
      <c r="O154" s="1"/>
      <c r="P154" s="1"/>
      <c r="Q154" s="1"/>
      <c r="R154" s="1"/>
      <c r="S154" s="1"/>
      <c r="T154" s="1"/>
      <c r="U154" s="1"/>
      <c r="V154" s="1"/>
      <c r="W154" s="1"/>
      <c r="X154" s="1"/>
      <c r="Y154" s="1"/>
      <c r="Z154" s="1"/>
    </row>
    <row r="155" spans="1:26" ht="15.75" customHeight="1" x14ac:dyDescent="0.3">
      <c r="A155" s="310" t="s">
        <v>737</v>
      </c>
      <c r="B155" s="312" t="s">
        <v>987</v>
      </c>
      <c r="C155" s="1"/>
      <c r="D155" s="315" t="s">
        <v>979</v>
      </c>
      <c r="E155" s="316" t="s">
        <v>988</v>
      </c>
      <c r="F155" s="316" t="s">
        <v>989</v>
      </c>
      <c r="G155" s="317" t="s">
        <v>990</v>
      </c>
      <c r="H155" s="1"/>
      <c r="I155" s="1"/>
      <c r="J155" s="1"/>
      <c r="K155" s="1"/>
      <c r="L155" s="1"/>
      <c r="M155" s="1"/>
      <c r="N155" s="1"/>
      <c r="O155" s="1"/>
      <c r="P155" s="1"/>
      <c r="Q155" s="1"/>
      <c r="R155" s="1"/>
      <c r="S155" s="1"/>
      <c r="T155" s="1"/>
      <c r="U155" s="1"/>
      <c r="V155" s="1"/>
      <c r="W155" s="1"/>
      <c r="X155" s="1"/>
      <c r="Y155" s="1"/>
      <c r="Z155" s="1"/>
    </row>
    <row r="156" spans="1:26" ht="15.75" customHeight="1" x14ac:dyDescent="0.3">
      <c r="A156" s="318" t="s">
        <v>991</v>
      </c>
      <c r="B156" s="319" t="s">
        <v>992</v>
      </c>
      <c r="C156" s="1"/>
      <c r="D156" s="222">
        <v>1</v>
      </c>
      <c r="E156" s="72">
        <v>2000</v>
      </c>
      <c r="F156" s="72">
        <v>3000</v>
      </c>
      <c r="G156" s="320">
        <v>5000</v>
      </c>
      <c r="H156" s="1"/>
      <c r="I156" s="1"/>
      <c r="J156" s="1"/>
      <c r="K156" s="1"/>
      <c r="L156" s="1"/>
      <c r="M156" s="1"/>
      <c r="N156" s="1"/>
      <c r="O156" s="1"/>
      <c r="P156" s="1"/>
      <c r="Q156" s="1"/>
      <c r="R156" s="1"/>
      <c r="S156" s="1"/>
      <c r="T156" s="1"/>
      <c r="U156" s="1"/>
      <c r="V156" s="1"/>
      <c r="W156" s="1"/>
      <c r="X156" s="1"/>
      <c r="Y156" s="1"/>
      <c r="Z156" s="1"/>
    </row>
    <row r="157" spans="1:26" ht="15.75" customHeight="1" x14ac:dyDescent="0.3">
      <c r="A157" s="321" t="s">
        <v>993</v>
      </c>
      <c r="B157" s="322" t="s">
        <v>506</v>
      </c>
      <c r="C157" s="1"/>
      <c r="D157" s="227">
        <v>2</v>
      </c>
      <c r="E157" s="32">
        <v>3000</v>
      </c>
      <c r="F157" s="32">
        <v>4000</v>
      </c>
      <c r="G157" s="323">
        <v>7000</v>
      </c>
      <c r="H157" s="1"/>
      <c r="I157" s="1"/>
      <c r="J157" s="1"/>
      <c r="K157" s="1"/>
      <c r="L157" s="1"/>
      <c r="M157" s="1"/>
      <c r="N157" s="1"/>
      <c r="O157" s="1"/>
      <c r="P157" s="1"/>
      <c r="Q157" s="1"/>
      <c r="R157" s="1"/>
      <c r="S157" s="1"/>
      <c r="T157" s="1"/>
      <c r="U157" s="1"/>
      <c r="V157" s="1"/>
      <c r="W157" s="1"/>
      <c r="X157" s="1"/>
      <c r="Y157" s="1"/>
      <c r="Z157" s="1"/>
    </row>
    <row r="158" spans="1:26" ht="15.75" customHeight="1" x14ac:dyDescent="0.3">
      <c r="A158" s="321" t="s">
        <v>994</v>
      </c>
      <c r="B158" s="322" t="s">
        <v>860</v>
      </c>
      <c r="C158" s="1"/>
      <c r="D158" s="324">
        <v>3</v>
      </c>
      <c r="E158" s="76">
        <v>4000</v>
      </c>
      <c r="F158" s="76">
        <v>5000</v>
      </c>
      <c r="G158" s="325">
        <v>9000</v>
      </c>
      <c r="H158" s="1"/>
      <c r="I158" s="1"/>
      <c r="J158" s="1"/>
      <c r="K158" s="1"/>
      <c r="L158" s="1"/>
      <c r="M158" s="1"/>
      <c r="N158" s="1"/>
      <c r="O158" s="1"/>
      <c r="P158" s="1"/>
      <c r="Q158" s="1"/>
      <c r="R158" s="1"/>
      <c r="S158" s="1"/>
      <c r="T158" s="1"/>
      <c r="U158" s="1"/>
      <c r="V158" s="1"/>
      <c r="W158" s="1"/>
      <c r="X158" s="1"/>
      <c r="Y158" s="1"/>
      <c r="Z158" s="1"/>
    </row>
    <row r="159" spans="1:26" ht="15.75" customHeight="1" x14ac:dyDescent="0.3">
      <c r="A159" s="326" t="s">
        <v>995</v>
      </c>
      <c r="B159" s="327" t="s">
        <v>996</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77" t="s">
        <v>997</v>
      </c>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77" t="s">
        <v>998</v>
      </c>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77"/>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470" t="s">
        <v>999</v>
      </c>
      <c r="C164" s="389"/>
      <c r="D164" s="389"/>
      <c r="E164" s="389"/>
      <c r="F164" s="389"/>
      <c r="G164" s="389"/>
      <c r="H164" s="390"/>
      <c r="I164" s="1"/>
      <c r="J164" s="1"/>
      <c r="K164" s="1"/>
      <c r="L164" s="1"/>
      <c r="M164" s="1"/>
      <c r="N164" s="1"/>
      <c r="O164" s="1"/>
      <c r="P164" s="1"/>
      <c r="Q164" s="1"/>
      <c r="R164" s="1"/>
      <c r="S164" s="1"/>
      <c r="T164" s="1"/>
      <c r="U164" s="1"/>
      <c r="V164" s="1"/>
      <c r="W164" s="1"/>
      <c r="X164" s="1"/>
      <c r="Y164" s="1"/>
      <c r="Z164" s="1"/>
    </row>
    <row r="165" spans="1:26" ht="15.75" customHeight="1" x14ac:dyDescent="0.3">
      <c r="A165" s="1"/>
      <c r="B165" s="328" t="s">
        <v>1000</v>
      </c>
      <c r="C165" s="328" t="s">
        <v>1001</v>
      </c>
      <c r="D165" s="328" t="s">
        <v>1002</v>
      </c>
      <c r="E165" s="328" t="s">
        <v>1003</v>
      </c>
      <c r="F165" s="328" t="s">
        <v>1004</v>
      </c>
      <c r="G165" s="328" t="s">
        <v>385</v>
      </c>
      <c r="H165" s="328" t="s">
        <v>1005</v>
      </c>
      <c r="I165" s="1"/>
      <c r="J165" s="1"/>
      <c r="K165" s="1"/>
      <c r="L165" s="1"/>
      <c r="M165" s="1"/>
      <c r="N165" s="1"/>
      <c r="O165" s="1"/>
      <c r="P165" s="1"/>
      <c r="Q165" s="1"/>
      <c r="R165" s="1"/>
      <c r="S165" s="1"/>
      <c r="T165" s="1"/>
      <c r="U165" s="1"/>
      <c r="V165" s="1"/>
      <c r="W165" s="1"/>
      <c r="X165" s="1"/>
      <c r="Y165" s="1"/>
      <c r="Z165" s="1"/>
    </row>
    <row r="166" spans="1:26" ht="15.75" customHeight="1" x14ac:dyDescent="0.3">
      <c r="A166" s="1"/>
      <c r="B166" s="53" t="s">
        <v>23</v>
      </c>
      <c r="C166" s="53" t="s">
        <v>1006</v>
      </c>
      <c r="D166" s="265" t="str">
        <f>IFERROR(VLOOKUP(C166,$B$176:$D$179,2,0),"Bóng đèn đặc biệt")</f>
        <v>Bóng đèn Tròn</v>
      </c>
      <c r="E166" s="79">
        <v>836</v>
      </c>
      <c r="F166" s="329">
        <f>E166*IFERROR(VLOOKUP(C166,$B$176:$D$179,3,0),$D$179)</f>
        <v>12540</v>
      </c>
      <c r="G166" s="329">
        <f>RANK(F166,$F$166:$F$171,0)</f>
        <v>4</v>
      </c>
      <c r="H166" s="330">
        <f>IF(G166=1,100000,IF(G166=2,50000,0))</f>
        <v>0</v>
      </c>
      <c r="I166" s="1"/>
      <c r="J166" s="1"/>
      <c r="K166" s="1"/>
      <c r="L166" s="1"/>
      <c r="M166" s="1"/>
      <c r="N166" s="1"/>
      <c r="O166" s="1"/>
      <c r="P166" s="1"/>
      <c r="Q166" s="1"/>
      <c r="R166" s="1"/>
      <c r="S166" s="1"/>
      <c r="T166" s="1"/>
      <c r="U166" s="1"/>
      <c r="V166" s="1"/>
      <c r="W166" s="1"/>
      <c r="X166" s="1"/>
      <c r="Y166" s="1"/>
      <c r="Z166" s="1"/>
    </row>
    <row r="167" spans="1:26" ht="15.75" customHeight="1" x14ac:dyDescent="0.3">
      <c r="A167" s="1"/>
      <c r="B167" s="53" t="s">
        <v>387</v>
      </c>
      <c r="C167" s="53" t="s">
        <v>1007</v>
      </c>
      <c r="D167" s="265" t="str">
        <f>IFERROR(VLOOKUP(C167,$B$176:$D$179,2,0),"Bóng đèn đặc biệt")</f>
        <v>Bóng đèn đặc biệt</v>
      </c>
      <c r="E167" s="79">
        <v>400</v>
      </c>
      <c r="F167" s="329">
        <f t="shared" ref="F167:F171" si="21">E167*IFERROR(VLOOKUP(C167,$B$176:$D$179,3,0),$D$179)</f>
        <v>40000</v>
      </c>
      <c r="G167" s="329">
        <f t="shared" ref="G167:G171" si="22">RANK(F167,$F$166:$F$171,0)</f>
        <v>1</v>
      </c>
      <c r="H167" s="330">
        <f t="shared" ref="H167:H171" si="23">IF(G167=1,100000,IF(G167=2,50000,0))</f>
        <v>100000</v>
      </c>
      <c r="I167" s="1"/>
      <c r="J167" s="1"/>
      <c r="K167" s="1"/>
      <c r="L167" s="1"/>
      <c r="M167" s="1"/>
      <c r="N167" s="1"/>
      <c r="O167" s="1"/>
      <c r="P167" s="1"/>
      <c r="Q167" s="1"/>
      <c r="R167" s="1"/>
      <c r="S167" s="1"/>
      <c r="T167" s="1"/>
      <c r="U167" s="1"/>
      <c r="V167" s="1"/>
      <c r="W167" s="1"/>
      <c r="X167" s="1"/>
      <c r="Y167" s="1"/>
      <c r="Z167" s="1"/>
    </row>
    <row r="168" spans="1:26" ht="15.75" customHeight="1" x14ac:dyDescent="0.3">
      <c r="A168" s="1"/>
      <c r="B168" s="53" t="s">
        <v>1008</v>
      </c>
      <c r="C168" s="53" t="s">
        <v>1009</v>
      </c>
      <c r="D168" s="265" t="str">
        <f t="shared" ref="D168:D171" si="24">IFERROR(VLOOKUP(C168,$B$176:$D$179,2,0),"Bóng đèn đặc biệt")</f>
        <v>Bóng đèn Compact</v>
      </c>
      <c r="E168" s="79">
        <v>174</v>
      </c>
      <c r="F168" s="329">
        <f t="shared" si="21"/>
        <v>5220</v>
      </c>
      <c r="G168" s="329">
        <f t="shared" si="22"/>
        <v>5</v>
      </c>
      <c r="H168" s="330">
        <f t="shared" si="23"/>
        <v>0</v>
      </c>
      <c r="I168" s="1"/>
      <c r="J168" s="1"/>
      <c r="K168" s="1"/>
      <c r="L168" s="1"/>
      <c r="M168" s="1"/>
      <c r="N168" s="1"/>
      <c r="O168" s="1"/>
      <c r="P168" s="1"/>
      <c r="Q168" s="1"/>
      <c r="R168" s="1"/>
      <c r="S168" s="1"/>
      <c r="T168" s="1"/>
      <c r="U168" s="1"/>
      <c r="V168" s="1"/>
      <c r="W168" s="1"/>
      <c r="X168" s="1"/>
      <c r="Y168" s="1"/>
      <c r="Z168" s="1"/>
    </row>
    <row r="169" spans="1:26" ht="15.75" customHeight="1" x14ac:dyDescent="0.3">
      <c r="A169" s="1"/>
      <c r="B169" s="53" t="s">
        <v>394</v>
      </c>
      <c r="C169" s="53" t="s">
        <v>1010</v>
      </c>
      <c r="D169" s="265" t="str">
        <f t="shared" si="24"/>
        <v>Bóng đèn Huỳnh Quang</v>
      </c>
      <c r="E169" s="79">
        <v>800</v>
      </c>
      <c r="F169" s="329">
        <f t="shared" si="21"/>
        <v>40000</v>
      </c>
      <c r="G169" s="329">
        <f t="shared" si="22"/>
        <v>1</v>
      </c>
      <c r="H169" s="330">
        <f t="shared" si="23"/>
        <v>100000</v>
      </c>
      <c r="I169" s="1"/>
      <c r="J169" s="1"/>
      <c r="K169" s="1"/>
      <c r="L169" s="1"/>
      <c r="M169" s="1"/>
      <c r="N169" s="1"/>
      <c r="O169" s="1"/>
      <c r="P169" s="1"/>
      <c r="Q169" s="1"/>
      <c r="R169" s="1"/>
      <c r="S169" s="1"/>
      <c r="T169" s="1"/>
      <c r="U169" s="1"/>
      <c r="V169" s="1"/>
      <c r="W169" s="1"/>
      <c r="X169" s="1"/>
      <c r="Y169" s="1"/>
      <c r="Z169" s="1"/>
    </row>
    <row r="170" spans="1:26" ht="15.75" customHeight="1" x14ac:dyDescent="0.3">
      <c r="A170" s="1"/>
      <c r="B170" s="53" t="s">
        <v>94</v>
      </c>
      <c r="C170" s="53" t="s">
        <v>1011</v>
      </c>
      <c r="D170" s="265" t="str">
        <f t="shared" si="24"/>
        <v>Bóng đèn đặc biệt</v>
      </c>
      <c r="E170" s="79">
        <v>273</v>
      </c>
      <c r="F170" s="329">
        <f t="shared" si="21"/>
        <v>27300</v>
      </c>
      <c r="G170" s="329">
        <f t="shared" si="22"/>
        <v>3</v>
      </c>
      <c r="H170" s="330">
        <f t="shared" si="23"/>
        <v>0</v>
      </c>
      <c r="I170" s="1"/>
      <c r="J170" s="1"/>
      <c r="K170" s="1"/>
      <c r="L170" s="1"/>
      <c r="M170" s="1"/>
      <c r="N170" s="1"/>
      <c r="O170" s="1"/>
      <c r="P170" s="1"/>
      <c r="Q170" s="1"/>
      <c r="R170" s="1"/>
      <c r="S170" s="1"/>
      <c r="T170" s="1"/>
      <c r="U170" s="1"/>
      <c r="V170" s="1"/>
      <c r="W170" s="1"/>
      <c r="X170" s="1"/>
      <c r="Y170" s="1"/>
      <c r="Z170" s="1"/>
    </row>
    <row r="171" spans="1:26" ht="15.75" customHeight="1" x14ac:dyDescent="0.3">
      <c r="A171" s="1"/>
      <c r="B171" s="53" t="s">
        <v>1012</v>
      </c>
      <c r="C171" s="53" t="s">
        <v>1009</v>
      </c>
      <c r="D171" s="265" t="str">
        <f t="shared" si="24"/>
        <v>Bóng đèn Compact</v>
      </c>
      <c r="E171" s="79">
        <v>113</v>
      </c>
      <c r="F171" s="329">
        <f t="shared" si="21"/>
        <v>3390</v>
      </c>
      <c r="G171" s="329">
        <f t="shared" si="22"/>
        <v>6</v>
      </c>
      <c r="H171" s="330">
        <f t="shared" si="23"/>
        <v>0</v>
      </c>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471" t="s">
        <v>1013</v>
      </c>
      <c r="C174" s="389"/>
      <c r="D174" s="390"/>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331" t="s">
        <v>1014</v>
      </c>
      <c r="C175" s="331" t="s">
        <v>1015</v>
      </c>
      <c r="D175" s="331" t="s">
        <v>1016</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387" t="s">
        <v>1009</v>
      </c>
      <c r="C176" s="53" t="s">
        <v>1017</v>
      </c>
      <c r="D176" s="53">
        <v>30</v>
      </c>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53" t="s">
        <v>1010</v>
      </c>
      <c r="C177" s="53" t="s">
        <v>1018</v>
      </c>
      <c r="D177" s="53">
        <v>50</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53" t="s">
        <v>1006</v>
      </c>
      <c r="C178" s="53" t="s">
        <v>1019</v>
      </c>
      <c r="D178" s="53">
        <v>15</v>
      </c>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53" t="s">
        <v>1020</v>
      </c>
      <c r="C179" s="53" t="s">
        <v>1021</v>
      </c>
      <c r="D179" s="53">
        <v>100</v>
      </c>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53" t="s">
        <v>537</v>
      </c>
      <c r="B181" s="78" t="s">
        <v>1022</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64"/>
      <c r="B182" s="332" t="s">
        <v>1023</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64"/>
      <c r="B183" s="333" t="s">
        <v>1024</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64"/>
      <c r="B184" s="333" t="s">
        <v>1025</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53" t="s">
        <v>539</v>
      </c>
      <c r="B185" s="78" t="s">
        <v>1026</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334"/>
      <c r="B186" s="78" t="s">
        <v>1027</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53" t="s">
        <v>1028</v>
      </c>
      <c r="B187" s="78" t="s">
        <v>1029</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53" t="s">
        <v>1030</v>
      </c>
      <c r="B188" s="78" t="s">
        <v>1031</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64"/>
      <c r="B189" s="78" t="s">
        <v>1032</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64"/>
      <c r="B190" s="78" t="s">
        <v>1033</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64"/>
      <c r="B191" s="278" t="s">
        <v>1034</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466" t="s">
        <v>1035</v>
      </c>
      <c r="C194" s="389"/>
      <c r="D194" s="389"/>
      <c r="E194" s="389"/>
      <c r="F194" s="389"/>
      <c r="G194" s="39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335" t="s">
        <v>1036</v>
      </c>
      <c r="C195" s="335" t="s">
        <v>1037</v>
      </c>
      <c r="D195" s="335" t="s">
        <v>1038</v>
      </c>
      <c r="E195" s="335" t="s">
        <v>1039</v>
      </c>
      <c r="F195" s="335" t="s">
        <v>1040</v>
      </c>
      <c r="G195" s="335" t="s">
        <v>1041</v>
      </c>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336" t="s">
        <v>1042</v>
      </c>
      <c r="C196" s="336" t="s">
        <v>567</v>
      </c>
      <c r="D196" s="271" t="str">
        <f>VLOOKUP(LEFT(B196,3),$B$209:$C$211,2,0)&amp;" - "&amp;HLOOKUP(RIGHT(B196,2),$D$207:$F$208,2,0)</f>
        <v>CDRom - SamSung</v>
      </c>
      <c r="E196" s="271">
        <f>VLOOKUP(LEFT(B196,3),$B$209:$F$211,IF(RIGHT(B196,2)="SS",3,IF(RIGHT(B196,2)="IM",4,5)),0)</f>
        <v>30</v>
      </c>
      <c r="F196" s="337">
        <v>96</v>
      </c>
      <c r="G196" s="329">
        <f>F196*E196</f>
        <v>2880</v>
      </c>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336" t="s">
        <v>1043</v>
      </c>
      <c r="C197" s="336" t="s">
        <v>1044</v>
      </c>
      <c r="D197" s="271" t="str">
        <f t="shared" ref="D197:D201" si="25">VLOOKUP(LEFT(B197,3),$B$209:$C$211,2,0)&amp;" - "&amp;HLOOKUP(RIGHT(B197,2),$D$207:$F$208,2,0)</f>
        <v>Keyboard - Dell</v>
      </c>
      <c r="E197" s="271">
        <f t="shared" ref="E197:E201" si="26">VLOOKUP(LEFT(B197,3),$B$209:$F$211,IF(RIGHT(B197,2)="SS",3,IF(RIGHT(B197,2)="IM",4,5)),0)</f>
        <v>15</v>
      </c>
      <c r="F197" s="337">
        <v>35</v>
      </c>
      <c r="G197" s="329">
        <f t="shared" ref="G197:G201" si="27">F197*E197</f>
        <v>525</v>
      </c>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336" t="s">
        <v>1045</v>
      </c>
      <c r="C198" s="336" t="s">
        <v>1046</v>
      </c>
      <c r="D198" s="271" t="str">
        <f t="shared" si="25"/>
        <v>Mouse - IBM</v>
      </c>
      <c r="E198" s="271">
        <f t="shared" si="26"/>
        <v>9</v>
      </c>
      <c r="F198" s="337">
        <v>19</v>
      </c>
      <c r="G198" s="329">
        <f t="shared" si="27"/>
        <v>171</v>
      </c>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336" t="s">
        <v>1047</v>
      </c>
      <c r="C199" s="336" t="s">
        <v>1044</v>
      </c>
      <c r="D199" s="271" t="str">
        <f t="shared" si="25"/>
        <v>Keyboard - SamSung</v>
      </c>
      <c r="E199" s="271">
        <f t="shared" si="26"/>
        <v>10</v>
      </c>
      <c r="F199" s="337">
        <v>39</v>
      </c>
      <c r="G199" s="329">
        <f t="shared" si="27"/>
        <v>390</v>
      </c>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336" t="s">
        <v>1048</v>
      </c>
      <c r="C200" s="336" t="s">
        <v>1046</v>
      </c>
      <c r="D200" s="271" t="str">
        <f t="shared" si="25"/>
        <v>CDRom - Dell</v>
      </c>
      <c r="E200" s="271">
        <f t="shared" si="26"/>
        <v>20</v>
      </c>
      <c r="F200" s="337">
        <v>53</v>
      </c>
      <c r="G200" s="329">
        <f t="shared" si="27"/>
        <v>1060</v>
      </c>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336" t="s">
        <v>1045</v>
      </c>
      <c r="C201" s="336" t="s">
        <v>567</v>
      </c>
      <c r="D201" s="271" t="str">
        <f t="shared" si="25"/>
        <v>Mouse - IBM</v>
      </c>
      <c r="E201" s="271">
        <f t="shared" si="26"/>
        <v>9</v>
      </c>
      <c r="F201" s="337">
        <v>88</v>
      </c>
      <c r="G201" s="329">
        <f t="shared" si="27"/>
        <v>792</v>
      </c>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467" t="s">
        <v>534</v>
      </c>
      <c r="C202" s="389"/>
      <c r="D202" s="389"/>
      <c r="E202" s="390"/>
      <c r="F202" s="338">
        <f>SUM(F196:F201)</f>
        <v>330</v>
      </c>
      <c r="G202" s="338">
        <f>SUM(G196:G201)</f>
        <v>5818</v>
      </c>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468" t="s">
        <v>1049</v>
      </c>
      <c r="C204" s="394"/>
      <c r="D204" s="394"/>
      <c r="E204" s="394"/>
      <c r="F204" s="395"/>
      <c r="G204" s="1"/>
      <c r="H204" s="1"/>
      <c r="I204" s="1"/>
      <c r="J204" s="1"/>
      <c r="K204" s="1"/>
      <c r="L204" s="1"/>
      <c r="M204" s="1"/>
      <c r="N204" s="1"/>
      <c r="O204" s="1"/>
      <c r="P204" s="1"/>
      <c r="Q204" s="1"/>
      <c r="R204" s="1"/>
      <c r="S204" s="1"/>
      <c r="T204" s="1"/>
      <c r="U204" s="1"/>
      <c r="V204" s="1"/>
      <c r="W204" s="1"/>
      <c r="X204" s="1"/>
      <c r="Y204" s="1"/>
      <c r="Z204" s="1"/>
    </row>
    <row r="205" spans="1:26" ht="18.75" customHeight="1" x14ac:dyDescent="0.3">
      <c r="A205" s="1"/>
      <c r="B205" s="78"/>
      <c r="C205" s="78"/>
      <c r="D205" s="78"/>
      <c r="E205" s="78"/>
      <c r="F205" s="78"/>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78"/>
      <c r="C206" s="78"/>
      <c r="D206" s="469" t="s">
        <v>1050</v>
      </c>
      <c r="E206" s="389"/>
      <c r="F206" s="390"/>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78"/>
      <c r="C207" s="78"/>
      <c r="D207" s="340" t="s">
        <v>1051</v>
      </c>
      <c r="E207" s="340" t="s">
        <v>1052</v>
      </c>
      <c r="F207" s="340" t="s">
        <v>1053</v>
      </c>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335" t="s">
        <v>1054</v>
      </c>
      <c r="C208" s="335" t="s">
        <v>1055</v>
      </c>
      <c r="D208" s="53" t="s">
        <v>1056</v>
      </c>
      <c r="E208" s="53" t="s">
        <v>1057</v>
      </c>
      <c r="F208" s="53" t="s">
        <v>1058</v>
      </c>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340" t="s">
        <v>1059</v>
      </c>
      <c r="C209" s="53" t="s">
        <v>1060</v>
      </c>
      <c r="D209" s="341">
        <v>30</v>
      </c>
      <c r="E209" s="341">
        <v>25</v>
      </c>
      <c r="F209" s="341">
        <v>20</v>
      </c>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340" t="s">
        <v>1061</v>
      </c>
      <c r="C210" s="53" t="s">
        <v>1062</v>
      </c>
      <c r="D210" s="341">
        <v>10</v>
      </c>
      <c r="E210" s="341">
        <v>17</v>
      </c>
      <c r="F210" s="341">
        <v>15</v>
      </c>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342" t="s">
        <v>1063</v>
      </c>
      <c r="C211" s="343" t="s">
        <v>1064</v>
      </c>
      <c r="D211" s="341">
        <v>5</v>
      </c>
      <c r="E211" s="341">
        <v>9</v>
      </c>
      <c r="F211" s="341">
        <v>13</v>
      </c>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344" t="s">
        <v>171</v>
      </c>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53" t="s">
        <v>537</v>
      </c>
      <c r="C214" s="78" t="s">
        <v>1065</v>
      </c>
      <c r="D214" s="78"/>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334"/>
      <c r="C215" s="78" t="s">
        <v>1066</v>
      </c>
      <c r="D215" s="78"/>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334"/>
      <c r="C216" s="332" t="s">
        <v>1067</v>
      </c>
      <c r="D216" s="78"/>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334"/>
      <c r="C217" s="333"/>
      <c r="D217" s="78"/>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53" t="s">
        <v>539</v>
      </c>
      <c r="C218" s="78" t="s">
        <v>1068</v>
      </c>
      <c r="D218" s="78"/>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53"/>
      <c r="C219" s="78"/>
      <c r="D219" s="78"/>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53" t="s">
        <v>1028</v>
      </c>
      <c r="C220" s="78" t="s">
        <v>1069</v>
      </c>
      <c r="D220" s="78"/>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466" t="s">
        <v>1070</v>
      </c>
      <c r="C222" s="389"/>
      <c r="D222" s="389"/>
      <c r="E222" s="389"/>
      <c r="F222" s="389"/>
      <c r="G222" s="390"/>
      <c r="H222" s="1"/>
      <c r="I222" s="1"/>
      <c r="J222" s="1"/>
      <c r="K222" s="1"/>
      <c r="L222" s="1"/>
      <c r="M222" s="1"/>
      <c r="N222" s="1"/>
      <c r="O222" s="1"/>
      <c r="P222" s="1"/>
      <c r="Q222" s="1"/>
      <c r="R222" s="1"/>
      <c r="S222" s="1"/>
      <c r="T222" s="1"/>
      <c r="U222" s="1"/>
      <c r="V222" s="1"/>
      <c r="W222" s="1"/>
      <c r="X222" s="1"/>
      <c r="Y222" s="1"/>
      <c r="Z222" s="1"/>
    </row>
    <row r="223" spans="1:26" ht="19.5" customHeight="1" x14ac:dyDescent="0.3">
      <c r="A223" s="1"/>
      <c r="B223" s="335" t="s">
        <v>1036</v>
      </c>
      <c r="C223" s="335" t="s">
        <v>1037</v>
      </c>
      <c r="D223" s="335" t="s">
        <v>1038</v>
      </c>
      <c r="E223" s="335" t="s">
        <v>1039</v>
      </c>
      <c r="F223" s="335" t="s">
        <v>1040</v>
      </c>
      <c r="G223" s="335" t="s">
        <v>1041</v>
      </c>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336" t="s">
        <v>1071</v>
      </c>
      <c r="C224" s="336" t="s">
        <v>567</v>
      </c>
      <c r="D224" s="271" t="str">
        <f>VLOOKUP(LEFT(B224,2),$B$236:$C$238,2,0)&amp;" - "&amp;HLOOKUP(RIGHT(B224,2),$D$234:$F$235,2,0)</f>
        <v>Khang Dân - Nam Định</v>
      </c>
      <c r="E224" s="271">
        <f>VLOOKUP(LEFT(B224,2),$B$236:$F$238,IF(RIGHT(B224,2)="NĐ",3,IF(RIGHT(B224,2)="TH",4,5)),0)</f>
        <v>30</v>
      </c>
      <c r="F224" s="337">
        <v>96</v>
      </c>
      <c r="G224" s="329">
        <f>F224*E224</f>
        <v>2880</v>
      </c>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336" t="s">
        <v>1072</v>
      </c>
      <c r="C225" s="336" t="s">
        <v>1044</v>
      </c>
      <c r="D225" s="271" t="str">
        <f t="shared" ref="D225:D229" si="28">VLOOKUP(LEFT(B225,2),$B$236:$C$238,2,0)&amp;" - "&amp;HLOOKUP(RIGHT(B225,2),$D$234:$F$235,2,0)</f>
        <v>Q5 - Thanh Hóa</v>
      </c>
      <c r="E225" s="271">
        <f t="shared" ref="E225:E229" si="29">VLOOKUP(LEFT(B225,2),$B$236:$F$238,IF(RIGHT(B225,2)="NĐ",3,IF(RIGHT(B225,2)="TH",4,5)),0)</f>
        <v>17</v>
      </c>
      <c r="F225" s="337">
        <v>35</v>
      </c>
      <c r="G225" s="329">
        <f t="shared" ref="G225:G229" si="30">F225*E225</f>
        <v>595</v>
      </c>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336" t="s">
        <v>1073</v>
      </c>
      <c r="C226" s="336" t="s">
        <v>1046</v>
      </c>
      <c r="D226" s="271" t="str">
        <f t="shared" si="28"/>
        <v>Bắc Hương - Thái Bình</v>
      </c>
      <c r="E226" s="271">
        <f t="shared" si="29"/>
        <v>13</v>
      </c>
      <c r="F226" s="337">
        <v>19</v>
      </c>
      <c r="G226" s="329">
        <f t="shared" si="30"/>
        <v>247</v>
      </c>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336" t="s">
        <v>1074</v>
      </c>
      <c r="C227" s="336" t="s">
        <v>1044</v>
      </c>
      <c r="D227" s="271" t="str">
        <f t="shared" si="28"/>
        <v>Khang Dân - Thanh Hóa</v>
      </c>
      <c r="E227" s="271">
        <f t="shared" si="29"/>
        <v>25</v>
      </c>
      <c r="F227" s="337">
        <v>39</v>
      </c>
      <c r="G227" s="329">
        <f t="shared" si="30"/>
        <v>975</v>
      </c>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336" t="s">
        <v>1075</v>
      </c>
      <c r="C228" s="336" t="s">
        <v>1046</v>
      </c>
      <c r="D228" s="271" t="str">
        <f t="shared" si="28"/>
        <v>Bắc Hương - Nam Định</v>
      </c>
      <c r="E228" s="271">
        <f t="shared" si="29"/>
        <v>5</v>
      </c>
      <c r="F228" s="337">
        <v>53</v>
      </c>
      <c r="G228" s="329">
        <f t="shared" si="30"/>
        <v>265</v>
      </c>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336" t="s">
        <v>1076</v>
      </c>
      <c r="C229" s="336" t="s">
        <v>567</v>
      </c>
      <c r="D229" s="271" t="str">
        <f t="shared" si="28"/>
        <v>Bắc Hương - Thanh Hóa</v>
      </c>
      <c r="E229" s="271">
        <f t="shared" si="29"/>
        <v>9</v>
      </c>
      <c r="F229" s="337">
        <v>88</v>
      </c>
      <c r="G229" s="329">
        <f t="shared" si="30"/>
        <v>792</v>
      </c>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467" t="s">
        <v>534</v>
      </c>
      <c r="C230" s="389"/>
      <c r="D230" s="389"/>
      <c r="E230" s="390"/>
      <c r="F230" s="338">
        <f>SUM(F224:F229)</f>
        <v>330</v>
      </c>
      <c r="G230" s="339">
        <f>SUM(G224:G229)</f>
        <v>5754</v>
      </c>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468" t="s">
        <v>1049</v>
      </c>
      <c r="C231" s="394"/>
      <c r="D231" s="394"/>
      <c r="E231" s="394"/>
      <c r="F231" s="395"/>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78"/>
      <c r="C232" s="78"/>
      <c r="D232" s="78"/>
      <c r="E232" s="78"/>
      <c r="F232" s="78"/>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78"/>
      <c r="C233" s="78"/>
      <c r="D233" s="469" t="s">
        <v>1077</v>
      </c>
      <c r="E233" s="389"/>
      <c r="F233" s="390"/>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78"/>
      <c r="C234" s="78"/>
      <c r="D234" s="340" t="s">
        <v>1078</v>
      </c>
      <c r="E234" s="340" t="s">
        <v>82</v>
      </c>
      <c r="F234" s="340" t="s">
        <v>616</v>
      </c>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335" t="s">
        <v>1054</v>
      </c>
      <c r="C235" s="335" t="s">
        <v>1055</v>
      </c>
      <c r="D235" s="53" t="s">
        <v>1079</v>
      </c>
      <c r="E235" s="53" t="s">
        <v>1080</v>
      </c>
      <c r="F235" s="53" t="s">
        <v>1081</v>
      </c>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340" t="s">
        <v>1082</v>
      </c>
      <c r="C236" s="53" t="s">
        <v>1083</v>
      </c>
      <c r="D236" s="341">
        <v>30</v>
      </c>
      <c r="E236" s="341">
        <v>25</v>
      </c>
      <c r="F236" s="341">
        <v>20</v>
      </c>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340" t="s">
        <v>1084</v>
      </c>
      <c r="C237" s="53" t="s">
        <v>1085</v>
      </c>
      <c r="D237" s="341">
        <v>10</v>
      </c>
      <c r="E237" s="341">
        <v>17</v>
      </c>
      <c r="F237" s="341">
        <v>15</v>
      </c>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342" t="s">
        <v>1086</v>
      </c>
      <c r="C238" s="343" t="s">
        <v>1087</v>
      </c>
      <c r="D238" s="341">
        <v>5</v>
      </c>
      <c r="E238" s="341">
        <v>9</v>
      </c>
      <c r="F238" s="341">
        <v>13</v>
      </c>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344" t="s">
        <v>171</v>
      </c>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53" t="s">
        <v>537</v>
      </c>
      <c r="C241" s="78" t="s">
        <v>1088</v>
      </c>
      <c r="D241" s="78"/>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334"/>
      <c r="C242" s="78" t="s">
        <v>1089</v>
      </c>
      <c r="D242" s="78"/>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334"/>
      <c r="C243" s="345" t="s">
        <v>1090</v>
      </c>
      <c r="D243" s="78"/>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334"/>
      <c r="C244" s="346"/>
      <c r="D244" s="78"/>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53" t="s">
        <v>539</v>
      </c>
      <c r="C245" s="78" t="s">
        <v>1091</v>
      </c>
      <c r="D245" s="78"/>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53"/>
      <c r="C246" s="78"/>
      <c r="D246" s="78"/>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53" t="s">
        <v>1028</v>
      </c>
      <c r="C247" s="78" t="s">
        <v>1092</v>
      </c>
      <c r="D247" s="78"/>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472" t="s">
        <v>1093</v>
      </c>
      <c r="C249" s="389"/>
      <c r="D249" s="389"/>
      <c r="E249" s="389"/>
      <c r="F249" s="389"/>
      <c r="G249" s="39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335" t="s">
        <v>1054</v>
      </c>
      <c r="C250" s="335" t="s">
        <v>1055</v>
      </c>
      <c r="D250" s="335" t="s">
        <v>1040</v>
      </c>
      <c r="E250" s="335" t="s">
        <v>1041</v>
      </c>
      <c r="F250" s="335" t="s">
        <v>1094</v>
      </c>
      <c r="G250" s="335" t="s">
        <v>531</v>
      </c>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53" t="s">
        <v>1095</v>
      </c>
      <c r="C251" s="271" t="str">
        <f>VLOOKUP(LEFT(B251),$B$262:$E$264,2,0)</f>
        <v>Xăng</v>
      </c>
      <c r="D251" s="79">
        <v>30</v>
      </c>
      <c r="E251" s="271">
        <f>D251*VLOOKUP(LEFT(B251),IF(MID(B251,2,1)="L",$C$267:$D$269,$C$272:$D$274),2,0)</f>
        <v>90000</v>
      </c>
      <c r="F251" s="271">
        <f>E251*VLOOKUP(LEFT(B251),$B$262:$E$264,4,0)</f>
        <v>1800</v>
      </c>
      <c r="G251" s="271">
        <f>E251+F251</f>
        <v>91800</v>
      </c>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53" t="s">
        <v>1096</v>
      </c>
      <c r="C252" s="271" t="str">
        <f t="shared" ref="C252:C256" si="31">VLOOKUP(LEFT(B252),$B$262:$E$264,2,0)</f>
        <v>Dầu</v>
      </c>
      <c r="D252" s="79">
        <v>10</v>
      </c>
      <c r="E252" s="271">
        <f t="shared" ref="E252:E256" si="32">D252*VLOOKUP(LEFT(B252),IF(MID(B252,2,1)="L",$C$267:$D$269,$C$272:$D$274),2,0)</f>
        <v>22000</v>
      </c>
      <c r="F252" s="271">
        <f t="shared" ref="F252:F256" si="33">E252*VLOOKUP(LEFT(B252),$B$262:$E$264,4,0)</f>
        <v>1100</v>
      </c>
      <c r="G252" s="271">
        <f t="shared" ref="G252:G256" si="34">E252+F252</f>
        <v>23100</v>
      </c>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53" t="s">
        <v>1097</v>
      </c>
      <c r="C253" s="271" t="str">
        <f t="shared" si="31"/>
        <v>Nhớt</v>
      </c>
      <c r="D253" s="79">
        <v>50</v>
      </c>
      <c r="E253" s="271">
        <f t="shared" si="32"/>
        <v>55000</v>
      </c>
      <c r="F253" s="271">
        <f t="shared" si="33"/>
        <v>3850.0000000000005</v>
      </c>
      <c r="G253" s="271">
        <f t="shared" si="34"/>
        <v>58850</v>
      </c>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53" t="s">
        <v>1098</v>
      </c>
      <c r="C254" s="271" t="str">
        <f t="shared" si="31"/>
        <v>Dầu</v>
      </c>
      <c r="D254" s="79">
        <v>60</v>
      </c>
      <c r="E254" s="271">
        <f t="shared" si="32"/>
        <v>120000</v>
      </c>
      <c r="F254" s="271">
        <f t="shared" si="33"/>
        <v>6000</v>
      </c>
      <c r="G254" s="271">
        <f t="shared" si="34"/>
        <v>126000</v>
      </c>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53" t="s">
        <v>1099</v>
      </c>
      <c r="C255" s="271" t="str">
        <f t="shared" si="31"/>
        <v>Xăng</v>
      </c>
      <c r="D255" s="79">
        <v>25</v>
      </c>
      <c r="E255" s="271">
        <f t="shared" si="32"/>
        <v>82500</v>
      </c>
      <c r="F255" s="271">
        <f t="shared" si="33"/>
        <v>1650</v>
      </c>
      <c r="G255" s="271">
        <f t="shared" si="34"/>
        <v>84150</v>
      </c>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53" t="s">
        <v>1100</v>
      </c>
      <c r="C256" s="271" t="str">
        <f t="shared" si="31"/>
        <v>Xăng</v>
      </c>
      <c r="D256" s="79">
        <v>35</v>
      </c>
      <c r="E256" s="271">
        <f t="shared" si="32"/>
        <v>115500</v>
      </c>
      <c r="F256" s="271">
        <f t="shared" si="33"/>
        <v>2310</v>
      </c>
      <c r="G256" s="271">
        <f t="shared" si="34"/>
        <v>117810</v>
      </c>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347" t="s">
        <v>534</v>
      </c>
      <c r="C257" s="348"/>
      <c r="D257" s="349">
        <f>SUM(D251:D256)</f>
        <v>210</v>
      </c>
      <c r="E257" s="349">
        <f t="shared" ref="E257:F257" si="35">SUM(E251:E256)</f>
        <v>485000</v>
      </c>
      <c r="F257" s="349">
        <f t="shared" si="35"/>
        <v>16710</v>
      </c>
      <c r="G257" s="349">
        <f>SUM(G251:G256)</f>
        <v>501710</v>
      </c>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473"/>
      <c r="C258" s="392"/>
      <c r="D258" s="392"/>
      <c r="E258" s="152"/>
      <c r="F258" s="350"/>
      <c r="G258" s="350"/>
      <c r="H258" s="350"/>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52"/>
      <c r="C259" s="152"/>
      <c r="D259" s="152"/>
      <c r="E259" s="152"/>
      <c r="F259" s="351"/>
      <c r="G259" s="351"/>
      <c r="H259" s="351"/>
      <c r="I259" s="1"/>
      <c r="J259" s="1"/>
      <c r="K259" s="1"/>
      <c r="L259" s="1"/>
      <c r="M259" s="1"/>
      <c r="N259" s="1"/>
      <c r="O259" s="1"/>
      <c r="P259" s="1"/>
      <c r="Q259" s="1"/>
      <c r="R259" s="1"/>
      <c r="S259" s="1"/>
      <c r="T259" s="1"/>
      <c r="U259" s="1"/>
      <c r="V259" s="1"/>
      <c r="W259" s="1"/>
      <c r="X259" s="1"/>
      <c r="Y259" s="1"/>
      <c r="Z259" s="1"/>
    </row>
    <row r="260" spans="1:26" ht="16.5" customHeight="1" x14ac:dyDescent="0.3">
      <c r="A260" s="1"/>
      <c r="B260" s="463" t="s">
        <v>1101</v>
      </c>
      <c r="C260" s="464"/>
      <c r="D260" s="464"/>
      <c r="E260" s="465"/>
      <c r="F260" s="351"/>
      <c r="G260" s="35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352" t="s">
        <v>1102</v>
      </c>
      <c r="C261" s="353" t="s">
        <v>1103</v>
      </c>
      <c r="D261" s="353" t="s">
        <v>1104</v>
      </c>
      <c r="E261" s="354" t="s">
        <v>1105</v>
      </c>
      <c r="F261" s="1"/>
      <c r="G261" s="1"/>
      <c r="H261" s="1"/>
      <c r="I261" s="1"/>
      <c r="J261" s="1"/>
      <c r="K261" s="1"/>
      <c r="L261" s="1"/>
      <c r="M261" s="1"/>
      <c r="N261" s="1"/>
      <c r="O261" s="1"/>
      <c r="P261" s="1"/>
      <c r="Q261" s="1"/>
      <c r="R261" s="1"/>
      <c r="S261" s="1"/>
      <c r="T261" s="1"/>
      <c r="U261" s="1"/>
      <c r="V261" s="1"/>
      <c r="W261" s="1"/>
      <c r="X261" s="1"/>
      <c r="Y261" s="1"/>
      <c r="Z261" s="1"/>
    </row>
    <row r="262" spans="1:26" ht="15" customHeight="1" x14ac:dyDescent="0.3">
      <c r="A262" s="1"/>
      <c r="B262" s="355" t="s">
        <v>1106</v>
      </c>
      <c r="C262" s="356" t="s">
        <v>779</v>
      </c>
      <c r="D262" s="356">
        <v>1</v>
      </c>
      <c r="E262" s="357">
        <v>0.02</v>
      </c>
      <c r="F262" s="1"/>
      <c r="G262" s="1"/>
      <c r="H262" s="1"/>
      <c r="I262" s="1"/>
      <c r="J262" s="1"/>
      <c r="K262" s="1"/>
      <c r="L262" s="1"/>
      <c r="M262" s="1"/>
      <c r="N262" s="1"/>
      <c r="O262" s="1"/>
      <c r="P262" s="1"/>
      <c r="Q262" s="1"/>
      <c r="R262" s="1"/>
      <c r="S262" s="1"/>
      <c r="T262" s="1"/>
      <c r="U262" s="1"/>
      <c r="V262" s="1"/>
      <c r="W262" s="1"/>
      <c r="X262" s="1"/>
      <c r="Y262" s="1"/>
      <c r="Z262" s="1"/>
    </row>
    <row r="263" spans="1:26" ht="15" customHeight="1" x14ac:dyDescent="0.3">
      <c r="A263" s="1"/>
      <c r="B263" s="358" t="s">
        <v>620</v>
      </c>
      <c r="C263" s="359" t="s">
        <v>778</v>
      </c>
      <c r="D263" s="359">
        <v>2</v>
      </c>
      <c r="E263" s="360">
        <v>0.05</v>
      </c>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361" t="s">
        <v>1107</v>
      </c>
      <c r="C264" s="362" t="s">
        <v>811</v>
      </c>
      <c r="D264" s="362">
        <v>3</v>
      </c>
      <c r="E264" s="363">
        <v>7.0000000000000007E-2</v>
      </c>
      <c r="F264" s="78"/>
      <c r="G264" s="7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78"/>
      <c r="C265" s="78"/>
      <c r="D265" s="78"/>
      <c r="E265" s="78"/>
      <c r="F265" s="78"/>
      <c r="G265" s="78"/>
      <c r="H265" s="78"/>
      <c r="I265" s="1"/>
      <c r="J265" s="1"/>
      <c r="K265" s="1"/>
      <c r="L265" s="1"/>
      <c r="M265" s="1"/>
      <c r="N265" s="1"/>
      <c r="O265" s="1"/>
      <c r="P265" s="1"/>
      <c r="Q265" s="1"/>
      <c r="R265" s="1"/>
      <c r="S265" s="1"/>
      <c r="T265" s="1"/>
      <c r="U265" s="1"/>
      <c r="V265" s="1"/>
      <c r="W265" s="1"/>
      <c r="X265" s="1"/>
      <c r="Y265" s="1"/>
      <c r="Z265" s="1"/>
    </row>
    <row r="266" spans="1:26" ht="15.75" customHeight="1" x14ac:dyDescent="0.3">
      <c r="A266" s="1"/>
      <c r="B266" s="78"/>
      <c r="C266" s="352" t="s">
        <v>1102</v>
      </c>
      <c r="D266" s="364" t="s">
        <v>1108</v>
      </c>
      <c r="E266" s="78"/>
      <c r="F266" s="1"/>
      <c r="G266" s="1"/>
      <c r="H266" s="78"/>
      <c r="I266" s="1"/>
      <c r="J266" s="1"/>
      <c r="K266" s="1"/>
      <c r="L266" s="1"/>
      <c r="M266" s="1"/>
      <c r="N266" s="1"/>
      <c r="O266" s="1"/>
      <c r="P266" s="1"/>
      <c r="Q266" s="1"/>
      <c r="R266" s="1"/>
      <c r="S266" s="1"/>
      <c r="T266" s="1"/>
      <c r="U266" s="1"/>
      <c r="V266" s="1"/>
      <c r="W266" s="1"/>
      <c r="X266" s="1"/>
      <c r="Y266" s="1"/>
      <c r="Z266" s="1"/>
    </row>
    <row r="267" spans="1:26" ht="15.75" customHeight="1" x14ac:dyDescent="0.3">
      <c r="A267" s="1"/>
      <c r="B267" s="78"/>
      <c r="C267" s="355" t="s">
        <v>1106</v>
      </c>
      <c r="D267" s="356">
        <v>3000</v>
      </c>
      <c r="E267" s="78"/>
      <c r="F267" s="1"/>
      <c r="G267" s="1"/>
      <c r="H267" s="78"/>
      <c r="I267" s="1"/>
      <c r="J267" s="1"/>
      <c r="K267" s="1"/>
      <c r="L267" s="1"/>
      <c r="M267" s="1"/>
      <c r="N267" s="1"/>
      <c r="O267" s="1"/>
      <c r="P267" s="1"/>
      <c r="Q267" s="1"/>
      <c r="R267" s="1"/>
      <c r="S267" s="1"/>
      <c r="T267" s="1"/>
      <c r="U267" s="1"/>
      <c r="V267" s="1"/>
      <c r="W267" s="1"/>
      <c r="X267" s="1"/>
      <c r="Y267" s="1"/>
      <c r="Z267" s="1"/>
    </row>
    <row r="268" spans="1:26" ht="15.75" customHeight="1" x14ac:dyDescent="0.3">
      <c r="A268" s="1"/>
      <c r="B268" s="78"/>
      <c r="C268" s="358" t="s">
        <v>620</v>
      </c>
      <c r="D268" s="359">
        <v>2000</v>
      </c>
      <c r="E268" s="78"/>
      <c r="F268" s="1"/>
      <c r="G268" s="1"/>
      <c r="H268" s="78"/>
      <c r="I268" s="1"/>
      <c r="J268" s="1"/>
      <c r="K268" s="1"/>
      <c r="L268" s="1"/>
      <c r="M268" s="1"/>
      <c r="N268" s="1"/>
      <c r="O268" s="1"/>
      <c r="P268" s="1"/>
      <c r="Q268" s="1"/>
      <c r="R268" s="1"/>
      <c r="S268" s="1"/>
      <c r="T268" s="1"/>
      <c r="U268" s="1"/>
      <c r="V268" s="1"/>
      <c r="W268" s="1"/>
      <c r="X268" s="1"/>
      <c r="Y268" s="1"/>
      <c r="Z268" s="1"/>
    </row>
    <row r="269" spans="1:26" ht="15.75" customHeight="1" x14ac:dyDescent="0.3">
      <c r="A269" s="1"/>
      <c r="B269" s="78"/>
      <c r="C269" s="361" t="s">
        <v>1107</v>
      </c>
      <c r="D269" s="362">
        <v>1000</v>
      </c>
      <c r="E269" s="78"/>
      <c r="F269" s="1"/>
      <c r="G269" s="1"/>
      <c r="H269" s="78"/>
      <c r="I269" s="1"/>
      <c r="J269" s="1"/>
      <c r="K269" s="1"/>
      <c r="L269" s="1"/>
      <c r="M269" s="1"/>
      <c r="N269" s="1"/>
      <c r="O269" s="1"/>
      <c r="P269" s="1"/>
      <c r="Q269" s="1"/>
      <c r="R269" s="1"/>
      <c r="S269" s="1"/>
      <c r="T269" s="1"/>
      <c r="U269" s="1"/>
      <c r="V269" s="1"/>
      <c r="W269" s="1"/>
      <c r="X269" s="1"/>
      <c r="Y269" s="1"/>
      <c r="Z269" s="1"/>
    </row>
    <row r="270" spans="1:26" ht="15.75" customHeight="1" x14ac:dyDescent="0.3">
      <c r="A270" s="1"/>
      <c r="B270" s="78"/>
      <c r="C270" s="78"/>
      <c r="D270" s="78"/>
      <c r="E270" s="78"/>
      <c r="F270" s="78"/>
      <c r="G270" s="78"/>
      <c r="H270" s="78"/>
      <c r="I270" s="1"/>
      <c r="J270" s="1"/>
      <c r="K270" s="1"/>
      <c r="L270" s="1"/>
      <c r="M270" s="1"/>
      <c r="N270" s="1"/>
      <c r="O270" s="1"/>
      <c r="P270" s="1"/>
      <c r="Q270" s="1"/>
      <c r="R270" s="1"/>
      <c r="S270" s="1"/>
      <c r="T270" s="1"/>
      <c r="U270" s="1"/>
      <c r="V270" s="1"/>
      <c r="W270" s="1"/>
      <c r="X270" s="1"/>
      <c r="Y270" s="1"/>
      <c r="Z270" s="1"/>
    </row>
    <row r="271" spans="1:26" ht="15.75" customHeight="1" x14ac:dyDescent="0.3">
      <c r="A271" s="1"/>
      <c r="B271" s="78"/>
      <c r="C271" s="352" t="s">
        <v>1102</v>
      </c>
      <c r="D271" s="364" t="s">
        <v>1109</v>
      </c>
      <c r="E271" s="78"/>
      <c r="F271" s="78"/>
      <c r="G271" s="78"/>
      <c r="H271" s="78"/>
      <c r="I271" s="1"/>
      <c r="J271" s="1"/>
      <c r="K271" s="1"/>
      <c r="L271" s="1"/>
      <c r="M271" s="1"/>
      <c r="N271" s="1"/>
      <c r="O271" s="1"/>
      <c r="P271" s="1"/>
      <c r="Q271" s="1"/>
      <c r="R271" s="1"/>
      <c r="S271" s="1"/>
      <c r="T271" s="1"/>
      <c r="U271" s="1"/>
      <c r="V271" s="1"/>
      <c r="W271" s="1"/>
      <c r="X271" s="1"/>
      <c r="Y271" s="1"/>
      <c r="Z271" s="1"/>
    </row>
    <row r="272" spans="1:26" ht="15.75" customHeight="1" x14ac:dyDescent="0.3">
      <c r="A272" s="1"/>
      <c r="B272" s="78"/>
      <c r="C272" s="355" t="s">
        <v>1106</v>
      </c>
      <c r="D272" s="356">
        <v>3300</v>
      </c>
      <c r="E272" s="78"/>
      <c r="F272" s="78"/>
      <c r="G272" s="78"/>
      <c r="H272" s="78"/>
      <c r="I272" s="1"/>
      <c r="J272" s="1"/>
      <c r="K272" s="1"/>
      <c r="L272" s="1"/>
      <c r="M272" s="1"/>
      <c r="N272" s="1"/>
      <c r="O272" s="1"/>
      <c r="P272" s="1"/>
      <c r="Q272" s="1"/>
      <c r="R272" s="1"/>
      <c r="S272" s="1"/>
      <c r="T272" s="1"/>
      <c r="U272" s="1"/>
      <c r="V272" s="1"/>
      <c r="W272" s="1"/>
      <c r="X272" s="1"/>
      <c r="Y272" s="1"/>
      <c r="Z272" s="1"/>
    </row>
    <row r="273" spans="1:26" ht="15.75" customHeight="1" x14ac:dyDescent="0.3">
      <c r="A273" s="1"/>
      <c r="B273" s="78"/>
      <c r="C273" s="358" t="s">
        <v>620</v>
      </c>
      <c r="D273" s="359">
        <v>2200</v>
      </c>
      <c r="E273" s="78"/>
      <c r="F273" s="78"/>
      <c r="G273" s="78"/>
      <c r="H273" s="78"/>
      <c r="I273" s="1"/>
      <c r="J273" s="1"/>
      <c r="K273" s="1"/>
      <c r="L273" s="1"/>
      <c r="M273" s="1"/>
      <c r="N273" s="1"/>
      <c r="O273" s="1"/>
      <c r="P273" s="1"/>
      <c r="Q273" s="1"/>
      <c r="R273" s="1"/>
      <c r="S273" s="1"/>
      <c r="T273" s="1"/>
      <c r="U273" s="1"/>
      <c r="V273" s="1"/>
      <c r="W273" s="1"/>
      <c r="X273" s="1"/>
      <c r="Y273" s="1"/>
      <c r="Z273" s="1"/>
    </row>
    <row r="274" spans="1:26" ht="15.75" customHeight="1" x14ac:dyDescent="0.3">
      <c r="A274" s="1"/>
      <c r="B274" s="78"/>
      <c r="C274" s="361" t="s">
        <v>1107</v>
      </c>
      <c r="D274" s="362">
        <v>1100</v>
      </c>
      <c r="E274" s="78"/>
      <c r="F274" s="78"/>
      <c r="G274" s="78"/>
      <c r="H274" s="78"/>
      <c r="I274" s="1"/>
      <c r="J274" s="1"/>
      <c r="K274" s="1"/>
      <c r="L274" s="1"/>
      <c r="M274" s="1"/>
      <c r="N274" s="1"/>
      <c r="O274" s="1"/>
      <c r="P274" s="1"/>
      <c r="Q274" s="1"/>
      <c r="R274" s="1"/>
      <c r="S274" s="1"/>
      <c r="T274" s="1"/>
      <c r="U274" s="1"/>
      <c r="V274" s="1"/>
      <c r="W274" s="1"/>
      <c r="X274" s="1"/>
      <c r="Y274" s="1"/>
      <c r="Z274" s="1"/>
    </row>
    <row r="275" spans="1:26" ht="15.75" customHeight="1" x14ac:dyDescent="0.3">
      <c r="A275" s="1"/>
      <c r="B275" s="78"/>
      <c r="C275" s="78"/>
      <c r="D275" s="78"/>
      <c r="E275" s="78"/>
      <c r="F275" s="78"/>
      <c r="G275" s="78"/>
      <c r="H275" s="78"/>
      <c r="I275" s="1"/>
      <c r="J275" s="1"/>
      <c r="K275" s="1"/>
      <c r="L275" s="1"/>
      <c r="M275" s="1"/>
      <c r="N275" s="1"/>
      <c r="O275" s="1"/>
      <c r="P275" s="1"/>
      <c r="Q275" s="1"/>
      <c r="R275" s="1"/>
      <c r="S275" s="1"/>
      <c r="T275" s="1"/>
      <c r="U275" s="1"/>
      <c r="V275" s="1"/>
      <c r="W275" s="1"/>
      <c r="X275" s="1"/>
      <c r="Y275" s="1"/>
      <c r="Z275" s="1"/>
    </row>
    <row r="276" spans="1:26" ht="15.75" customHeight="1" x14ac:dyDescent="0.3">
      <c r="A276" s="1"/>
      <c r="B276" s="272" t="s">
        <v>171</v>
      </c>
      <c r="C276" s="78"/>
      <c r="D276" s="78"/>
      <c r="E276" s="78"/>
      <c r="F276" s="78"/>
      <c r="G276" s="78"/>
      <c r="H276" s="78"/>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53" t="s">
        <v>537</v>
      </c>
      <c r="C277" s="78" t="s">
        <v>1110</v>
      </c>
      <c r="D277" s="78"/>
      <c r="E277" s="78"/>
      <c r="F277" s="78"/>
      <c r="G277" s="78"/>
      <c r="H277" s="78"/>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53" t="s">
        <v>539</v>
      </c>
      <c r="C278" s="78" t="s">
        <v>1111</v>
      </c>
      <c r="D278" s="78"/>
      <c r="E278" s="78"/>
      <c r="F278" s="78"/>
      <c r="G278" s="78"/>
      <c r="H278" s="78"/>
      <c r="I278" s="1"/>
      <c r="J278" s="1"/>
      <c r="K278" s="1"/>
      <c r="L278" s="1"/>
      <c r="M278" s="1"/>
      <c r="N278" s="1"/>
      <c r="O278" s="1"/>
      <c r="P278" s="1"/>
      <c r="Q278" s="1"/>
      <c r="R278" s="1"/>
      <c r="S278" s="1"/>
      <c r="T278" s="1"/>
      <c r="U278" s="1"/>
      <c r="V278" s="1"/>
      <c r="W278" s="1"/>
      <c r="X278" s="1"/>
      <c r="Y278" s="1"/>
      <c r="Z278" s="1"/>
    </row>
    <row r="279" spans="1:26" ht="15.75" customHeight="1" x14ac:dyDescent="0.3">
      <c r="A279" s="1"/>
      <c r="B279" s="334"/>
      <c r="C279" s="78" t="s">
        <v>1112</v>
      </c>
      <c r="D279" s="78"/>
      <c r="E279" s="78"/>
      <c r="F279" s="78"/>
      <c r="G279" s="78"/>
      <c r="H279" s="78"/>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53" t="s">
        <v>1028</v>
      </c>
      <c r="C280" s="78" t="s">
        <v>1113</v>
      </c>
      <c r="D280" s="78"/>
      <c r="E280" s="78"/>
      <c r="F280" s="78"/>
      <c r="G280" s="78"/>
      <c r="H280" s="78"/>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64"/>
      <c r="C281" s="78" t="s">
        <v>1114</v>
      </c>
      <c r="D281" s="78"/>
      <c r="E281" s="78"/>
      <c r="F281" s="78"/>
      <c r="G281" s="78"/>
      <c r="H281" s="78"/>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53" t="s">
        <v>1030</v>
      </c>
      <c r="C282" s="78" t="s">
        <v>1115</v>
      </c>
      <c r="D282" s="78"/>
      <c r="E282" s="78"/>
      <c r="F282" s="78"/>
      <c r="G282" s="78"/>
      <c r="H282" s="78"/>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64"/>
      <c r="C283" s="332" t="s">
        <v>1116</v>
      </c>
      <c r="D283" s="78"/>
      <c r="E283" s="78"/>
      <c r="F283" s="78"/>
      <c r="G283" s="78"/>
      <c r="H283" s="78"/>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3">
    <mergeCell ref="E12:F12"/>
    <mergeCell ref="H12:I12"/>
    <mergeCell ref="A20:G20"/>
    <mergeCell ref="A21:G21"/>
    <mergeCell ref="A27:H27"/>
    <mergeCell ref="E42:F42"/>
    <mergeCell ref="A55:I55"/>
    <mergeCell ref="F66:I66"/>
    <mergeCell ref="B42:C42"/>
    <mergeCell ref="A66:D66"/>
    <mergeCell ref="A85:F85"/>
    <mergeCell ref="A86:F86"/>
    <mergeCell ref="A106:J106"/>
    <mergeCell ref="A118:B118"/>
    <mergeCell ref="D118:F118"/>
    <mergeCell ref="A125:B125"/>
    <mergeCell ref="A140:F140"/>
    <mergeCell ref="A152:E152"/>
    <mergeCell ref="A154:B154"/>
    <mergeCell ref="D154:G154"/>
    <mergeCell ref="B164:H164"/>
    <mergeCell ref="B174:D174"/>
    <mergeCell ref="D233:F233"/>
    <mergeCell ref="B249:G249"/>
    <mergeCell ref="B258:D258"/>
    <mergeCell ref="B260:E260"/>
    <mergeCell ref="B194:G194"/>
    <mergeCell ref="B202:E202"/>
    <mergeCell ref="B204:F204"/>
    <mergeCell ref="D206:F206"/>
    <mergeCell ref="B222:G222"/>
    <mergeCell ref="B230:E230"/>
    <mergeCell ref="B231:F231"/>
  </mergeCells>
  <pageMargins left="0.75" right="0.75" top="1"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7AF1E-140E-4F50-87B8-6E775F805B14}">
  <dimension ref="A1:W35"/>
  <sheetViews>
    <sheetView topLeftCell="D1" zoomScale="70" zoomScaleNormal="70" workbookViewId="0">
      <selection activeCell="E29" sqref="E29:F31"/>
    </sheetView>
  </sheetViews>
  <sheetFormatPr defaultColWidth="9" defaultRowHeight="15.6" x14ac:dyDescent="0.3"/>
  <cols>
    <col min="1" max="1" width="4.8984375" style="503" customWidth="1"/>
    <col min="2" max="2" width="12" style="503" customWidth="1"/>
    <col min="3" max="3" width="9.296875" style="503" customWidth="1"/>
    <col min="4" max="4" width="12.3984375" style="503" bestFit="1" customWidth="1"/>
    <col min="5" max="5" width="10.796875" style="503" customWidth="1"/>
    <col min="6" max="6" width="10.8984375" style="503" customWidth="1"/>
    <col min="7" max="7" width="9.8984375" style="503" bestFit="1" customWidth="1"/>
    <col min="8" max="9" width="9" style="503"/>
    <col min="10" max="10" width="9.796875" style="503" bestFit="1" customWidth="1"/>
    <col min="11" max="12" width="9.796875" style="503" customWidth="1"/>
    <col min="13" max="13" width="14" style="503" bestFit="1" customWidth="1"/>
    <col min="14" max="15" width="9.796875" style="503" customWidth="1"/>
    <col min="16" max="16" width="9" style="503"/>
    <col min="17" max="17" width="9" style="503" customWidth="1"/>
    <col min="18" max="16384" width="9" style="503"/>
  </cols>
  <sheetData>
    <row r="1" spans="1:23" ht="18.75" customHeight="1" thickBot="1" x14ac:dyDescent="0.35">
      <c r="A1" s="500" t="s">
        <v>1117</v>
      </c>
      <c r="B1" s="500"/>
      <c r="C1" s="500"/>
      <c r="D1" s="500"/>
      <c r="E1" s="500"/>
      <c r="F1" s="500"/>
      <c r="G1" s="500"/>
      <c r="H1" s="500"/>
      <c r="I1" s="500"/>
      <c r="J1" s="500"/>
      <c r="K1" s="501"/>
      <c r="L1" s="501"/>
      <c r="M1" s="501"/>
      <c r="N1" s="501"/>
      <c r="O1" s="501"/>
      <c r="P1" s="502"/>
    </row>
    <row r="2" spans="1:23" ht="16.2" thickBot="1" x14ac:dyDescent="0.35">
      <c r="A2" s="504" t="s">
        <v>77</v>
      </c>
      <c r="B2" s="504" t="s">
        <v>1118</v>
      </c>
      <c r="C2" s="504" t="s">
        <v>1119</v>
      </c>
      <c r="D2" s="505" t="s">
        <v>334</v>
      </c>
      <c r="E2" s="504" t="s">
        <v>227</v>
      </c>
      <c r="F2" s="504" t="s">
        <v>1120</v>
      </c>
      <c r="G2" s="504" t="s">
        <v>64</v>
      </c>
      <c r="H2" s="505" t="s">
        <v>1121</v>
      </c>
      <c r="I2" s="505" t="s">
        <v>1309</v>
      </c>
      <c r="J2" s="506" t="s">
        <v>1122</v>
      </c>
      <c r="K2" s="506" t="s">
        <v>1310</v>
      </c>
      <c r="L2" s="506" t="s">
        <v>1123</v>
      </c>
      <c r="M2" s="506" t="s">
        <v>1311</v>
      </c>
      <c r="N2" s="507" t="s">
        <v>1312</v>
      </c>
      <c r="O2" s="508" t="s">
        <v>370</v>
      </c>
      <c r="P2" s="502" t="s">
        <v>631</v>
      </c>
    </row>
    <row r="3" spans="1:23" ht="16.2" thickBot="1" x14ac:dyDescent="0.35">
      <c r="A3" s="509">
        <v>3</v>
      </c>
      <c r="B3" s="509" t="s">
        <v>17</v>
      </c>
      <c r="C3" s="509" t="s">
        <v>21</v>
      </c>
      <c r="D3" s="510" t="str">
        <f t="shared" ref="D3:D12" si="0">UPPER(B3&amp;" "&amp;C3)</f>
        <v>NGUYỄN AN</v>
      </c>
      <c r="E3" s="511" t="s">
        <v>1128</v>
      </c>
      <c r="F3" s="512">
        <v>36960</v>
      </c>
      <c r="G3" s="512">
        <v>36980</v>
      </c>
      <c r="H3" s="510">
        <f t="shared" ref="H3:H12" si="1">(G3-F3)*(HLOOKUP(RIGHT(E3,2),$C$24:$E$25,2,0))</f>
        <v>600000</v>
      </c>
      <c r="I3" s="510">
        <f t="shared" ref="I3:I12" si="2">INT((G3-F3)/7)</f>
        <v>2</v>
      </c>
      <c r="J3" s="513">
        <f t="shared" ref="J3:J12" si="3">VLOOKUP(LEFT(E3,3),$B$17:$D$20,2,0)</f>
        <v>260000</v>
      </c>
      <c r="K3" s="510">
        <f t="shared" ref="K3:K12" si="4">MOD((G3-F3),7)</f>
        <v>6</v>
      </c>
      <c r="L3" s="513">
        <f t="shared" ref="L3:L12" si="5">VLOOKUP(LEFT(E3,3),$B$17:$D$20,3,0)</f>
        <v>45000</v>
      </c>
      <c r="M3" s="514">
        <f t="shared" ref="M3:M12" si="6">J3*I3+L3*K3</f>
        <v>790000</v>
      </c>
      <c r="N3" s="515">
        <f>IF((G3-F3)&gt;=15,(10/100)*M3,IF(MONTH(F3)=4,(5/100)*M3,0))</f>
        <v>79000</v>
      </c>
      <c r="O3" s="516">
        <f t="shared" ref="O3:O12" si="7">ROUND(H3+M3-N3,-3)</f>
        <v>1311000</v>
      </c>
      <c r="P3" s="503" t="s">
        <v>1125</v>
      </c>
    </row>
    <row r="4" spans="1:23" ht="16.2" thickBot="1" x14ac:dyDescent="0.35">
      <c r="A4" s="509">
        <v>1</v>
      </c>
      <c r="B4" s="509" t="s">
        <v>29</v>
      </c>
      <c r="C4" s="509" t="s">
        <v>34</v>
      </c>
      <c r="D4" s="510" t="str">
        <f t="shared" si="0"/>
        <v>TRẦN NAM</v>
      </c>
      <c r="E4" s="511" t="s">
        <v>1124</v>
      </c>
      <c r="F4" s="512">
        <v>36955</v>
      </c>
      <c r="G4" s="512">
        <v>36966</v>
      </c>
      <c r="H4" s="510">
        <f t="shared" si="1"/>
        <v>550000</v>
      </c>
      <c r="I4" s="510">
        <f t="shared" si="2"/>
        <v>1</v>
      </c>
      <c r="J4" s="513">
        <f t="shared" si="3"/>
        <v>260000</v>
      </c>
      <c r="K4" s="510">
        <f t="shared" si="4"/>
        <v>4</v>
      </c>
      <c r="L4" s="513">
        <f t="shared" si="5"/>
        <v>45000</v>
      </c>
      <c r="M4" s="514">
        <f t="shared" si="6"/>
        <v>440000</v>
      </c>
      <c r="N4" s="515">
        <f t="shared" ref="N4:N12" si="8">IF((G4-F4)&gt;=15,(10/100)*M4,IF(MONTH(F4)=4,(5/100)*M4,0))</f>
        <v>0</v>
      </c>
      <c r="O4" s="516">
        <f t="shared" si="7"/>
        <v>990000</v>
      </c>
      <c r="P4" s="517" t="s">
        <v>1127</v>
      </c>
      <c r="Q4" s="517"/>
      <c r="R4" s="517"/>
      <c r="S4" s="517"/>
      <c r="T4" s="517"/>
      <c r="U4" s="517"/>
      <c r="V4" s="517"/>
      <c r="W4" s="517"/>
    </row>
    <row r="5" spans="1:23" ht="16.2" thickBot="1" x14ac:dyDescent="0.35">
      <c r="A5" s="509">
        <v>7</v>
      </c>
      <c r="B5" s="509" t="s">
        <v>1139</v>
      </c>
      <c r="C5" s="509" t="s">
        <v>903</v>
      </c>
      <c r="D5" s="510" t="str">
        <f t="shared" si="0"/>
        <v>HÀ BẢO CA</v>
      </c>
      <c r="E5" s="511" t="s">
        <v>1124</v>
      </c>
      <c r="F5" s="512">
        <v>36980</v>
      </c>
      <c r="G5" s="512">
        <v>37002</v>
      </c>
      <c r="H5" s="510">
        <f t="shared" si="1"/>
        <v>1100000</v>
      </c>
      <c r="I5" s="510">
        <f t="shared" si="2"/>
        <v>3</v>
      </c>
      <c r="J5" s="513">
        <f t="shared" si="3"/>
        <v>260000</v>
      </c>
      <c r="K5" s="510">
        <f t="shared" si="4"/>
        <v>1</v>
      </c>
      <c r="L5" s="513">
        <f t="shared" si="5"/>
        <v>45000</v>
      </c>
      <c r="M5" s="514">
        <f t="shared" si="6"/>
        <v>825000</v>
      </c>
      <c r="N5" s="515">
        <f t="shared" si="8"/>
        <v>82500</v>
      </c>
      <c r="O5" s="516">
        <f t="shared" si="7"/>
        <v>1843000</v>
      </c>
      <c r="P5" s="503" t="s">
        <v>1129</v>
      </c>
    </row>
    <row r="6" spans="1:23" ht="18" customHeight="1" thickBot="1" x14ac:dyDescent="0.35">
      <c r="A6" s="509">
        <v>9</v>
      </c>
      <c r="B6" s="509" t="s">
        <v>23</v>
      </c>
      <c r="C6" s="509" t="s">
        <v>1144</v>
      </c>
      <c r="D6" s="510" t="str">
        <f t="shared" si="0"/>
        <v>LÊ QUỐC</v>
      </c>
      <c r="E6" s="511" t="s">
        <v>1145</v>
      </c>
      <c r="F6" s="512">
        <v>36986</v>
      </c>
      <c r="G6" s="512">
        <v>37023</v>
      </c>
      <c r="H6" s="510">
        <f t="shared" si="1"/>
        <v>740000</v>
      </c>
      <c r="I6" s="510">
        <f t="shared" si="2"/>
        <v>5</v>
      </c>
      <c r="J6" s="513">
        <f t="shared" si="3"/>
        <v>250000</v>
      </c>
      <c r="K6" s="510">
        <f t="shared" si="4"/>
        <v>2</v>
      </c>
      <c r="L6" s="513">
        <f t="shared" si="5"/>
        <v>40000</v>
      </c>
      <c r="M6" s="514">
        <f t="shared" si="6"/>
        <v>1330000</v>
      </c>
      <c r="N6" s="515">
        <f t="shared" si="8"/>
        <v>133000</v>
      </c>
      <c r="O6" s="516">
        <f t="shared" si="7"/>
        <v>1937000</v>
      </c>
      <c r="P6" s="503" t="s">
        <v>1131</v>
      </c>
      <c r="R6" s="518"/>
      <c r="S6" s="518"/>
      <c r="T6" s="518"/>
      <c r="U6" s="518"/>
      <c r="V6" s="518"/>
      <c r="W6" s="518"/>
    </row>
    <row r="7" spans="1:23" ht="16.2" thickBot="1" x14ac:dyDescent="0.35">
      <c r="A7" s="509">
        <v>10</v>
      </c>
      <c r="B7" s="509" t="s">
        <v>1147</v>
      </c>
      <c r="C7" s="509" t="s">
        <v>1148</v>
      </c>
      <c r="D7" s="510" t="str">
        <f t="shared" si="0"/>
        <v>BÙI THẾ SỰ</v>
      </c>
      <c r="E7" s="511" t="s">
        <v>1149</v>
      </c>
      <c r="F7" s="512">
        <v>36993</v>
      </c>
      <c r="G7" s="512">
        <v>37008</v>
      </c>
      <c r="H7" s="510">
        <f t="shared" si="1"/>
        <v>450000</v>
      </c>
      <c r="I7" s="510">
        <f t="shared" si="2"/>
        <v>2</v>
      </c>
      <c r="J7" s="513">
        <f t="shared" si="3"/>
        <v>250000</v>
      </c>
      <c r="K7" s="510">
        <f t="shared" si="4"/>
        <v>1</v>
      </c>
      <c r="L7" s="513">
        <f t="shared" si="5"/>
        <v>40000</v>
      </c>
      <c r="M7" s="514">
        <f t="shared" si="6"/>
        <v>540000</v>
      </c>
      <c r="N7" s="515">
        <f t="shared" si="8"/>
        <v>54000</v>
      </c>
      <c r="O7" s="516">
        <f t="shared" si="7"/>
        <v>936000</v>
      </c>
      <c r="P7" s="517" t="s">
        <v>1134</v>
      </c>
      <c r="Q7" s="519"/>
      <c r="R7" s="517"/>
      <c r="S7" s="517"/>
      <c r="T7" s="517"/>
      <c r="U7" s="517"/>
      <c r="V7" s="517"/>
      <c r="W7" s="517"/>
    </row>
    <row r="8" spans="1:23" ht="16.2" thickBot="1" x14ac:dyDescent="0.35">
      <c r="A8" s="509">
        <v>5</v>
      </c>
      <c r="B8" s="509" t="s">
        <v>29</v>
      </c>
      <c r="C8" s="509" t="s">
        <v>1132</v>
      </c>
      <c r="D8" s="510" t="str">
        <f t="shared" si="0"/>
        <v>TRẦN ĐÌNH</v>
      </c>
      <c r="E8" s="511" t="s">
        <v>1133</v>
      </c>
      <c r="F8" s="512">
        <v>36967</v>
      </c>
      <c r="G8" s="512">
        <v>37011</v>
      </c>
      <c r="H8" s="510">
        <f t="shared" si="1"/>
        <v>2200000</v>
      </c>
      <c r="I8" s="510">
        <f t="shared" si="2"/>
        <v>6</v>
      </c>
      <c r="J8" s="513">
        <f t="shared" si="3"/>
        <v>250000</v>
      </c>
      <c r="K8" s="510">
        <f t="shared" si="4"/>
        <v>2</v>
      </c>
      <c r="L8" s="513">
        <f t="shared" si="5"/>
        <v>40000</v>
      </c>
      <c r="M8" s="514">
        <f t="shared" si="6"/>
        <v>1580000</v>
      </c>
      <c r="N8" s="515">
        <f t="shared" si="8"/>
        <v>158000</v>
      </c>
      <c r="O8" s="516">
        <f t="shared" si="7"/>
        <v>3622000</v>
      </c>
      <c r="P8" s="520" t="s">
        <v>1138</v>
      </c>
    </row>
    <row r="9" spans="1:23" ht="16.2" thickBot="1" x14ac:dyDescent="0.35">
      <c r="A9" s="509">
        <v>4</v>
      </c>
      <c r="B9" s="509" t="s">
        <v>1130</v>
      </c>
      <c r="C9" s="509" t="s">
        <v>996</v>
      </c>
      <c r="D9" s="510" t="str">
        <f t="shared" si="0"/>
        <v>HUỲNH BẢO</v>
      </c>
      <c r="E9" s="511" t="s">
        <v>1126</v>
      </c>
      <c r="F9" s="512">
        <v>36973</v>
      </c>
      <c r="G9" s="512">
        <v>36982</v>
      </c>
      <c r="H9" s="510">
        <f t="shared" si="1"/>
        <v>180000</v>
      </c>
      <c r="I9" s="510">
        <f t="shared" si="2"/>
        <v>1</v>
      </c>
      <c r="J9" s="513">
        <f t="shared" si="3"/>
        <v>210000</v>
      </c>
      <c r="K9" s="510">
        <f t="shared" si="4"/>
        <v>2</v>
      </c>
      <c r="L9" s="513">
        <f t="shared" si="5"/>
        <v>36000</v>
      </c>
      <c r="M9" s="514">
        <f t="shared" si="6"/>
        <v>282000</v>
      </c>
      <c r="N9" s="515">
        <f t="shared" si="8"/>
        <v>0</v>
      </c>
      <c r="O9" s="516">
        <f t="shared" si="7"/>
        <v>462000</v>
      </c>
      <c r="P9" s="503" t="s">
        <v>1140</v>
      </c>
    </row>
    <row r="10" spans="1:23" ht="16.2" thickBot="1" x14ac:dyDescent="0.35">
      <c r="A10" s="509">
        <v>2</v>
      </c>
      <c r="B10" s="509" t="s">
        <v>17</v>
      </c>
      <c r="C10" s="509" t="s">
        <v>880</v>
      </c>
      <c r="D10" s="510" t="str">
        <f t="shared" si="0"/>
        <v>NGUYỄN THY</v>
      </c>
      <c r="E10" s="511" t="s">
        <v>1126</v>
      </c>
      <c r="F10" s="512">
        <v>36956</v>
      </c>
      <c r="G10" s="512">
        <v>36970</v>
      </c>
      <c r="H10" s="510">
        <f t="shared" si="1"/>
        <v>280000</v>
      </c>
      <c r="I10" s="510">
        <f t="shared" si="2"/>
        <v>2</v>
      </c>
      <c r="J10" s="513">
        <f t="shared" si="3"/>
        <v>210000</v>
      </c>
      <c r="K10" s="510">
        <f t="shared" si="4"/>
        <v>0</v>
      </c>
      <c r="L10" s="513">
        <f t="shared" si="5"/>
        <v>36000</v>
      </c>
      <c r="M10" s="514">
        <f t="shared" si="6"/>
        <v>420000</v>
      </c>
      <c r="N10" s="515">
        <f t="shared" si="8"/>
        <v>0</v>
      </c>
      <c r="O10" s="516">
        <f t="shared" si="7"/>
        <v>700000</v>
      </c>
      <c r="P10" s="517" t="s">
        <v>1143</v>
      </c>
      <c r="Q10" s="517"/>
      <c r="R10" s="517"/>
      <c r="S10" s="517"/>
      <c r="T10" s="517"/>
      <c r="U10" s="517"/>
      <c r="V10" s="517"/>
      <c r="W10" s="517"/>
    </row>
    <row r="11" spans="1:23" ht="16.2" thickBot="1" x14ac:dyDescent="0.35">
      <c r="A11" s="509">
        <v>6</v>
      </c>
      <c r="B11" s="509" t="s">
        <v>1135</v>
      </c>
      <c r="C11" s="509" t="s">
        <v>1136</v>
      </c>
      <c r="D11" s="510" t="str">
        <f t="shared" si="0"/>
        <v>PHAN PHÚC</v>
      </c>
      <c r="E11" s="511" t="s">
        <v>1137</v>
      </c>
      <c r="F11" s="512">
        <v>36972</v>
      </c>
      <c r="G11" s="512">
        <v>36977</v>
      </c>
      <c r="H11" s="510">
        <f t="shared" si="1"/>
        <v>150000</v>
      </c>
      <c r="I11" s="510">
        <f t="shared" si="2"/>
        <v>0</v>
      </c>
      <c r="J11" s="513">
        <f t="shared" si="3"/>
        <v>190000</v>
      </c>
      <c r="K11" s="510">
        <f t="shared" si="4"/>
        <v>5</v>
      </c>
      <c r="L11" s="513">
        <f t="shared" si="5"/>
        <v>30000</v>
      </c>
      <c r="M11" s="514">
        <f t="shared" si="6"/>
        <v>150000</v>
      </c>
      <c r="N11" s="515">
        <f t="shared" si="8"/>
        <v>0</v>
      </c>
      <c r="O11" s="516">
        <f t="shared" si="7"/>
        <v>300000</v>
      </c>
      <c r="P11" s="503" t="s">
        <v>1146</v>
      </c>
    </row>
    <row r="12" spans="1:23" ht="16.2" thickBot="1" x14ac:dyDescent="0.35">
      <c r="A12" s="509">
        <v>8</v>
      </c>
      <c r="B12" s="509" t="s">
        <v>1141</v>
      </c>
      <c r="C12" s="509" t="s">
        <v>18</v>
      </c>
      <c r="D12" s="510" t="str">
        <f t="shared" si="0"/>
        <v>PHẠM THÀNH</v>
      </c>
      <c r="E12" s="511" t="s">
        <v>1142</v>
      </c>
      <c r="F12" s="512">
        <v>36984</v>
      </c>
      <c r="G12" s="512">
        <v>37002</v>
      </c>
      <c r="H12" s="510">
        <f t="shared" si="1"/>
        <v>900000</v>
      </c>
      <c r="I12" s="510">
        <f t="shared" si="2"/>
        <v>2</v>
      </c>
      <c r="J12" s="513">
        <f t="shared" si="3"/>
        <v>190000</v>
      </c>
      <c r="K12" s="510">
        <f t="shared" si="4"/>
        <v>4</v>
      </c>
      <c r="L12" s="513">
        <f t="shared" si="5"/>
        <v>30000</v>
      </c>
      <c r="M12" s="514">
        <f t="shared" si="6"/>
        <v>500000</v>
      </c>
      <c r="N12" s="515">
        <f t="shared" si="8"/>
        <v>50000</v>
      </c>
      <c r="O12" s="516">
        <f t="shared" si="7"/>
        <v>1350000</v>
      </c>
      <c r="P12" s="517" t="s">
        <v>1150</v>
      </c>
      <c r="Q12" s="517"/>
      <c r="R12" s="517"/>
      <c r="S12" s="517"/>
      <c r="T12" s="517"/>
      <c r="U12" s="517"/>
      <c r="V12" s="517"/>
      <c r="W12" s="517"/>
    </row>
    <row r="13" spans="1:23" x14ac:dyDescent="0.3">
      <c r="P13" s="503" t="s">
        <v>1151</v>
      </c>
    </row>
    <row r="14" spans="1:23" ht="16.2" thickBot="1" x14ac:dyDescent="0.35">
      <c r="P14" s="503" t="s">
        <v>1152</v>
      </c>
    </row>
    <row r="15" spans="1:23" ht="18" customHeight="1" thickBot="1" x14ac:dyDescent="0.35">
      <c r="B15" s="521" t="s">
        <v>1153</v>
      </c>
      <c r="C15" s="522"/>
      <c r="D15" s="523"/>
      <c r="P15" s="517" t="s">
        <v>1154</v>
      </c>
      <c r="Q15" s="517"/>
      <c r="R15" s="517"/>
      <c r="S15" s="517"/>
      <c r="T15" s="517"/>
      <c r="U15" s="517"/>
      <c r="V15" s="517"/>
      <c r="W15" s="517"/>
    </row>
    <row r="16" spans="1:23" ht="16.2" thickBot="1" x14ac:dyDescent="0.35">
      <c r="B16" s="513" t="s">
        <v>1155</v>
      </c>
      <c r="C16" s="524" t="s">
        <v>1122</v>
      </c>
      <c r="D16" s="524" t="s">
        <v>1123</v>
      </c>
      <c r="P16" s="503" t="s">
        <v>1156</v>
      </c>
    </row>
    <row r="17" spans="2:23" ht="16.2" thickBot="1" x14ac:dyDescent="0.35">
      <c r="B17" s="513" t="s">
        <v>1157</v>
      </c>
      <c r="C17" s="524">
        <v>260000</v>
      </c>
      <c r="D17" s="524">
        <v>45000</v>
      </c>
      <c r="P17" s="517" t="s">
        <v>1150</v>
      </c>
      <c r="Q17" s="517"/>
      <c r="R17" s="517"/>
      <c r="S17" s="517"/>
      <c r="T17" s="517"/>
      <c r="U17" s="517"/>
      <c r="V17" s="517"/>
      <c r="W17" s="517"/>
    </row>
    <row r="18" spans="2:23" ht="16.2" thickBot="1" x14ac:dyDescent="0.35">
      <c r="B18" s="513" t="s">
        <v>1158</v>
      </c>
      <c r="C18" s="524">
        <v>250000</v>
      </c>
      <c r="D18" s="524">
        <v>40000</v>
      </c>
      <c r="P18" s="503" t="s">
        <v>1159</v>
      </c>
    </row>
    <row r="19" spans="2:23" ht="16.2" thickBot="1" x14ac:dyDescent="0.35">
      <c r="B19" s="513" t="s">
        <v>1160</v>
      </c>
      <c r="C19" s="524">
        <v>210000</v>
      </c>
      <c r="D19" s="524">
        <v>36000</v>
      </c>
      <c r="P19" s="503" t="s">
        <v>1161</v>
      </c>
    </row>
    <row r="20" spans="2:23" ht="16.2" thickBot="1" x14ac:dyDescent="0.35">
      <c r="B20" s="513" t="s">
        <v>1162</v>
      </c>
      <c r="C20" s="524">
        <v>190000</v>
      </c>
      <c r="D20" s="524">
        <v>30000</v>
      </c>
      <c r="P20" s="517" t="s">
        <v>1163</v>
      </c>
      <c r="Q20" s="517"/>
      <c r="R20" s="517"/>
      <c r="S20" s="517"/>
      <c r="T20" s="517"/>
      <c r="U20" s="517"/>
      <c r="V20" s="517"/>
      <c r="W20" s="517"/>
    </row>
    <row r="21" spans="2:23" x14ac:dyDescent="0.3">
      <c r="P21" s="503" t="s">
        <v>1164</v>
      </c>
    </row>
    <row r="22" spans="2:23" ht="18" thickBot="1" x14ac:dyDescent="0.35">
      <c r="B22" s="525"/>
      <c r="C22" s="525"/>
      <c r="D22" s="525"/>
      <c r="E22" s="525"/>
      <c r="P22" s="503" t="s">
        <v>1165</v>
      </c>
    </row>
    <row r="23" spans="2:23" ht="18" customHeight="1" thickBot="1" x14ac:dyDescent="0.35">
      <c r="B23" s="521" t="s">
        <v>1166</v>
      </c>
      <c r="C23" s="522"/>
      <c r="D23" s="522"/>
      <c r="E23" s="523"/>
      <c r="P23" s="503" t="s">
        <v>1167</v>
      </c>
    </row>
    <row r="24" spans="2:23" ht="16.2" thickBot="1" x14ac:dyDescent="0.35">
      <c r="B24" s="509" t="s">
        <v>1168</v>
      </c>
      <c r="C24" s="513" t="s">
        <v>1169</v>
      </c>
      <c r="D24" s="513" t="s">
        <v>1170</v>
      </c>
      <c r="E24" s="513" t="s">
        <v>1171</v>
      </c>
      <c r="P24" s="503" t="s">
        <v>1172</v>
      </c>
    </row>
    <row r="25" spans="2:23" ht="16.2" thickBot="1" x14ac:dyDescent="0.35">
      <c r="B25" s="509" t="s">
        <v>559</v>
      </c>
      <c r="C25" s="513">
        <v>20000</v>
      </c>
      <c r="D25" s="513">
        <v>30000</v>
      </c>
      <c r="E25" s="513">
        <v>50000</v>
      </c>
      <c r="P25" s="517" t="s">
        <v>1173</v>
      </c>
      <c r="Q25" s="517"/>
      <c r="R25" s="517"/>
      <c r="S25" s="517"/>
      <c r="T25" s="517"/>
      <c r="U25" s="517"/>
      <c r="V25" s="517"/>
      <c r="W25" s="517"/>
    </row>
    <row r="26" spans="2:23" ht="16.2" thickBot="1" x14ac:dyDescent="0.35">
      <c r="P26" s="503" t="s">
        <v>1174</v>
      </c>
    </row>
    <row r="27" spans="2:23" ht="18" customHeight="1" thickBot="1" x14ac:dyDescent="0.35">
      <c r="B27" s="521" t="s">
        <v>1175</v>
      </c>
      <c r="C27" s="523"/>
      <c r="E27" s="521" t="s">
        <v>1176</v>
      </c>
      <c r="F27" s="523"/>
      <c r="P27" s="517" t="s">
        <v>1177</v>
      </c>
      <c r="Q27" s="517"/>
      <c r="R27" s="517"/>
      <c r="S27" s="517"/>
      <c r="T27" s="517"/>
      <c r="U27" s="517"/>
      <c r="V27" s="517"/>
      <c r="W27" s="517"/>
    </row>
    <row r="28" spans="2:23" ht="18" customHeight="1" thickBot="1" x14ac:dyDescent="0.35">
      <c r="B28" s="513" t="s">
        <v>1155</v>
      </c>
      <c r="C28" s="513" t="s">
        <v>1178</v>
      </c>
      <c r="E28" s="526" t="s">
        <v>1313</v>
      </c>
      <c r="F28" s="527"/>
      <c r="P28" s="503" t="s">
        <v>1179</v>
      </c>
    </row>
    <row r="29" spans="2:23" ht="18" customHeight="1" thickBot="1" x14ac:dyDescent="0.35">
      <c r="B29" s="513" t="s">
        <v>1157</v>
      </c>
      <c r="C29" s="513">
        <f>SUMIF($E$3:$E$12,B29&amp;"*",$O$3:$O$12)</f>
        <v>4144000</v>
      </c>
      <c r="E29" s="528">
        <f>COUNTIF($O$3:$O$12,"&gt;3000000")</f>
        <v>1</v>
      </c>
      <c r="F29" s="529"/>
      <c r="P29" s="517" t="s">
        <v>1180</v>
      </c>
      <c r="Q29" s="517"/>
      <c r="R29" s="517"/>
      <c r="S29" s="517"/>
      <c r="T29" s="517"/>
      <c r="U29" s="517"/>
      <c r="V29" s="517"/>
      <c r="W29" s="517"/>
    </row>
    <row r="30" spans="2:23" ht="18" customHeight="1" thickBot="1" x14ac:dyDescent="0.35">
      <c r="B30" s="513" t="s">
        <v>1160</v>
      </c>
      <c r="C30" s="513">
        <f t="shared" ref="C30:C31" si="9">SUMIF($E$3:$E$12,B30&amp;"*",$O$3:$O$12)</f>
        <v>1162000</v>
      </c>
      <c r="E30" s="530"/>
      <c r="F30" s="531"/>
      <c r="P30" s="503" t="s">
        <v>1181</v>
      </c>
    </row>
    <row r="31" spans="2:23" ht="18" customHeight="1" thickBot="1" x14ac:dyDescent="0.35">
      <c r="B31" s="513" t="s">
        <v>1158</v>
      </c>
      <c r="C31" s="513">
        <f t="shared" si="9"/>
        <v>6495000</v>
      </c>
      <c r="E31" s="532"/>
      <c r="F31" s="533"/>
      <c r="P31" s="517" t="s">
        <v>1182</v>
      </c>
      <c r="Q31" s="517"/>
      <c r="R31" s="517"/>
      <c r="S31" s="517"/>
      <c r="T31" s="517"/>
      <c r="U31" s="517"/>
      <c r="V31" s="517"/>
      <c r="W31" s="517"/>
    </row>
    <row r="32" spans="2:23" x14ac:dyDescent="0.3">
      <c r="P32" s="503" t="s">
        <v>1183</v>
      </c>
    </row>
    <row r="33" spans="16:23" x14ac:dyDescent="0.3">
      <c r="P33" s="517" t="s">
        <v>1163</v>
      </c>
      <c r="Q33" s="517"/>
      <c r="R33" s="517"/>
      <c r="S33" s="517"/>
      <c r="T33" s="517"/>
      <c r="U33" s="517"/>
      <c r="V33" s="517"/>
      <c r="W33" s="517"/>
    </row>
    <row r="34" spans="16:23" x14ac:dyDescent="0.3">
      <c r="P34" s="503" t="s">
        <v>1184</v>
      </c>
    </row>
    <row r="35" spans="16:23" x14ac:dyDescent="0.3">
      <c r="P35" s="517" t="s">
        <v>1185</v>
      </c>
      <c r="Q35" s="517"/>
      <c r="R35" s="517"/>
      <c r="S35" s="517"/>
      <c r="T35" s="517"/>
      <c r="U35" s="517"/>
      <c r="V35" s="517"/>
      <c r="W35" s="517"/>
    </row>
  </sheetData>
  <mergeCells count="7">
    <mergeCell ref="E29:F31"/>
    <mergeCell ref="A1:J1"/>
    <mergeCell ref="B15:D15"/>
    <mergeCell ref="B23:E23"/>
    <mergeCell ref="B27:C27"/>
    <mergeCell ref="E27:F27"/>
    <mergeCell ref="E28:F28"/>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CD13-38A4-490E-AE9B-F40971C5095B}">
  <dimension ref="A1:L46"/>
  <sheetViews>
    <sheetView topLeftCell="A33" zoomScaleNormal="100" workbookViewId="0">
      <selection activeCell="L24" sqref="L24"/>
    </sheetView>
  </sheetViews>
  <sheetFormatPr defaultRowHeight="13.2" x14ac:dyDescent="0.25"/>
  <cols>
    <col min="1" max="1" width="9.8984375" style="538" customWidth="1"/>
    <col min="2" max="2" width="11.796875" style="538" customWidth="1"/>
    <col min="3" max="3" width="9.796875" style="538" customWidth="1"/>
    <col min="4" max="6" width="8.796875" style="538"/>
    <col min="7" max="7" width="11.09765625" style="538" bestFit="1" customWidth="1"/>
    <col min="8" max="8" width="12.69921875" style="538" customWidth="1"/>
    <col min="9" max="256" width="8.796875" style="538"/>
    <col min="257" max="257" width="9.8984375" style="538" customWidth="1"/>
    <col min="258" max="258" width="11.796875" style="538" customWidth="1"/>
    <col min="259" max="259" width="9.796875" style="538" customWidth="1"/>
    <col min="260" max="262" width="8.796875" style="538"/>
    <col min="263" max="263" width="11.09765625" style="538" bestFit="1" customWidth="1"/>
    <col min="264" max="264" width="12.69921875" style="538" customWidth="1"/>
    <col min="265" max="512" width="8.796875" style="538"/>
    <col min="513" max="513" width="9.8984375" style="538" customWidth="1"/>
    <col min="514" max="514" width="11.796875" style="538" customWidth="1"/>
    <col min="515" max="515" width="9.796875" style="538" customWidth="1"/>
    <col min="516" max="518" width="8.796875" style="538"/>
    <col min="519" max="519" width="11.09765625" style="538" bestFit="1" customWidth="1"/>
    <col min="520" max="520" width="12.69921875" style="538" customWidth="1"/>
    <col min="521" max="768" width="8.796875" style="538"/>
    <col min="769" max="769" width="9.8984375" style="538" customWidth="1"/>
    <col min="770" max="770" width="11.796875" style="538" customWidth="1"/>
    <col min="771" max="771" width="9.796875" style="538" customWidth="1"/>
    <col min="772" max="774" width="8.796875" style="538"/>
    <col min="775" max="775" width="11.09765625" style="538" bestFit="1" customWidth="1"/>
    <col min="776" max="776" width="12.69921875" style="538" customWidth="1"/>
    <col min="777" max="1024" width="8.796875" style="538"/>
    <col min="1025" max="1025" width="9.8984375" style="538" customWidth="1"/>
    <col min="1026" max="1026" width="11.796875" style="538" customWidth="1"/>
    <col min="1027" max="1027" width="9.796875" style="538" customWidth="1"/>
    <col min="1028" max="1030" width="8.796875" style="538"/>
    <col min="1031" max="1031" width="11.09765625" style="538" bestFit="1" customWidth="1"/>
    <col min="1032" max="1032" width="12.69921875" style="538" customWidth="1"/>
    <col min="1033" max="1280" width="8.796875" style="538"/>
    <col min="1281" max="1281" width="9.8984375" style="538" customWidth="1"/>
    <col min="1282" max="1282" width="11.796875" style="538" customWidth="1"/>
    <col min="1283" max="1283" width="9.796875" style="538" customWidth="1"/>
    <col min="1284" max="1286" width="8.796875" style="538"/>
    <col min="1287" max="1287" width="11.09765625" style="538" bestFit="1" customWidth="1"/>
    <col min="1288" max="1288" width="12.69921875" style="538" customWidth="1"/>
    <col min="1289" max="1536" width="8.796875" style="538"/>
    <col min="1537" max="1537" width="9.8984375" style="538" customWidth="1"/>
    <col min="1538" max="1538" width="11.796875" style="538" customWidth="1"/>
    <col min="1539" max="1539" width="9.796875" style="538" customWidth="1"/>
    <col min="1540" max="1542" width="8.796875" style="538"/>
    <col min="1543" max="1543" width="11.09765625" style="538" bestFit="1" customWidth="1"/>
    <col min="1544" max="1544" width="12.69921875" style="538" customWidth="1"/>
    <col min="1545" max="1792" width="8.796875" style="538"/>
    <col min="1793" max="1793" width="9.8984375" style="538" customWidth="1"/>
    <col min="1794" max="1794" width="11.796875" style="538" customWidth="1"/>
    <col min="1795" max="1795" width="9.796875" style="538" customWidth="1"/>
    <col min="1796" max="1798" width="8.796875" style="538"/>
    <col min="1799" max="1799" width="11.09765625" style="538" bestFit="1" customWidth="1"/>
    <col min="1800" max="1800" width="12.69921875" style="538" customWidth="1"/>
    <col min="1801" max="2048" width="8.796875" style="538"/>
    <col min="2049" max="2049" width="9.8984375" style="538" customWidth="1"/>
    <col min="2050" max="2050" width="11.796875" style="538" customWidth="1"/>
    <col min="2051" max="2051" width="9.796875" style="538" customWidth="1"/>
    <col min="2052" max="2054" width="8.796875" style="538"/>
    <col min="2055" max="2055" width="11.09765625" style="538" bestFit="1" customWidth="1"/>
    <col min="2056" max="2056" width="12.69921875" style="538" customWidth="1"/>
    <col min="2057" max="2304" width="8.796875" style="538"/>
    <col min="2305" max="2305" width="9.8984375" style="538" customWidth="1"/>
    <col min="2306" max="2306" width="11.796875" style="538" customWidth="1"/>
    <col min="2307" max="2307" width="9.796875" style="538" customWidth="1"/>
    <col min="2308" max="2310" width="8.796875" style="538"/>
    <col min="2311" max="2311" width="11.09765625" style="538" bestFit="1" customWidth="1"/>
    <col min="2312" max="2312" width="12.69921875" style="538" customWidth="1"/>
    <col min="2313" max="2560" width="8.796875" style="538"/>
    <col min="2561" max="2561" width="9.8984375" style="538" customWidth="1"/>
    <col min="2562" max="2562" width="11.796875" style="538" customWidth="1"/>
    <col min="2563" max="2563" width="9.796875" style="538" customWidth="1"/>
    <col min="2564" max="2566" width="8.796875" style="538"/>
    <col min="2567" max="2567" width="11.09765625" style="538" bestFit="1" customWidth="1"/>
    <col min="2568" max="2568" width="12.69921875" style="538" customWidth="1"/>
    <col min="2569" max="2816" width="8.796875" style="538"/>
    <col min="2817" max="2817" width="9.8984375" style="538" customWidth="1"/>
    <col min="2818" max="2818" width="11.796875" style="538" customWidth="1"/>
    <col min="2819" max="2819" width="9.796875" style="538" customWidth="1"/>
    <col min="2820" max="2822" width="8.796875" style="538"/>
    <col min="2823" max="2823" width="11.09765625" style="538" bestFit="1" customWidth="1"/>
    <col min="2824" max="2824" width="12.69921875" style="538" customWidth="1"/>
    <col min="2825" max="3072" width="8.796875" style="538"/>
    <col min="3073" max="3073" width="9.8984375" style="538" customWidth="1"/>
    <col min="3074" max="3074" width="11.796875" style="538" customWidth="1"/>
    <col min="3075" max="3075" width="9.796875" style="538" customWidth="1"/>
    <col min="3076" max="3078" width="8.796875" style="538"/>
    <col min="3079" max="3079" width="11.09765625" style="538" bestFit="1" customWidth="1"/>
    <col min="3080" max="3080" width="12.69921875" style="538" customWidth="1"/>
    <col min="3081" max="3328" width="8.796875" style="538"/>
    <col min="3329" max="3329" width="9.8984375" style="538" customWidth="1"/>
    <col min="3330" max="3330" width="11.796875" style="538" customWidth="1"/>
    <col min="3331" max="3331" width="9.796875" style="538" customWidth="1"/>
    <col min="3332" max="3334" width="8.796875" style="538"/>
    <col min="3335" max="3335" width="11.09765625" style="538" bestFit="1" customWidth="1"/>
    <col min="3336" max="3336" width="12.69921875" style="538" customWidth="1"/>
    <col min="3337" max="3584" width="8.796875" style="538"/>
    <col min="3585" max="3585" width="9.8984375" style="538" customWidth="1"/>
    <col min="3586" max="3586" width="11.796875" style="538" customWidth="1"/>
    <col min="3587" max="3587" width="9.796875" style="538" customWidth="1"/>
    <col min="3588" max="3590" width="8.796875" style="538"/>
    <col min="3591" max="3591" width="11.09765625" style="538" bestFit="1" customWidth="1"/>
    <col min="3592" max="3592" width="12.69921875" style="538" customWidth="1"/>
    <col min="3593" max="3840" width="8.796875" style="538"/>
    <col min="3841" max="3841" width="9.8984375" style="538" customWidth="1"/>
    <col min="3842" max="3842" width="11.796875" style="538" customWidth="1"/>
    <col min="3843" max="3843" width="9.796875" style="538" customWidth="1"/>
    <col min="3844" max="3846" width="8.796875" style="538"/>
    <col min="3847" max="3847" width="11.09765625" style="538" bestFit="1" customWidth="1"/>
    <col min="3848" max="3848" width="12.69921875" style="538" customWidth="1"/>
    <col min="3849" max="4096" width="8.796875" style="538"/>
    <col min="4097" max="4097" width="9.8984375" style="538" customWidth="1"/>
    <col min="4098" max="4098" width="11.796875" style="538" customWidth="1"/>
    <col min="4099" max="4099" width="9.796875" style="538" customWidth="1"/>
    <col min="4100" max="4102" width="8.796875" style="538"/>
    <col min="4103" max="4103" width="11.09765625" style="538" bestFit="1" customWidth="1"/>
    <col min="4104" max="4104" width="12.69921875" style="538" customWidth="1"/>
    <col min="4105" max="4352" width="8.796875" style="538"/>
    <col min="4353" max="4353" width="9.8984375" style="538" customWidth="1"/>
    <col min="4354" max="4354" width="11.796875" style="538" customWidth="1"/>
    <col min="4355" max="4355" width="9.796875" style="538" customWidth="1"/>
    <col min="4356" max="4358" width="8.796875" style="538"/>
    <col min="4359" max="4359" width="11.09765625" style="538" bestFit="1" customWidth="1"/>
    <col min="4360" max="4360" width="12.69921875" style="538" customWidth="1"/>
    <col min="4361" max="4608" width="8.796875" style="538"/>
    <col min="4609" max="4609" width="9.8984375" style="538" customWidth="1"/>
    <col min="4610" max="4610" width="11.796875" style="538" customWidth="1"/>
    <col min="4611" max="4611" width="9.796875" style="538" customWidth="1"/>
    <col min="4612" max="4614" width="8.796875" style="538"/>
    <col min="4615" max="4615" width="11.09765625" style="538" bestFit="1" customWidth="1"/>
    <col min="4616" max="4616" width="12.69921875" style="538" customWidth="1"/>
    <col min="4617" max="4864" width="8.796875" style="538"/>
    <col min="4865" max="4865" width="9.8984375" style="538" customWidth="1"/>
    <col min="4866" max="4866" width="11.796875" style="538" customWidth="1"/>
    <col min="4867" max="4867" width="9.796875" style="538" customWidth="1"/>
    <col min="4868" max="4870" width="8.796875" style="538"/>
    <col min="4871" max="4871" width="11.09765625" style="538" bestFit="1" customWidth="1"/>
    <col min="4872" max="4872" width="12.69921875" style="538" customWidth="1"/>
    <col min="4873" max="5120" width="8.796875" style="538"/>
    <col min="5121" max="5121" width="9.8984375" style="538" customWidth="1"/>
    <col min="5122" max="5122" width="11.796875" style="538" customWidth="1"/>
    <col min="5123" max="5123" width="9.796875" style="538" customWidth="1"/>
    <col min="5124" max="5126" width="8.796875" style="538"/>
    <col min="5127" max="5127" width="11.09765625" style="538" bestFit="1" customWidth="1"/>
    <col min="5128" max="5128" width="12.69921875" style="538" customWidth="1"/>
    <col min="5129" max="5376" width="8.796875" style="538"/>
    <col min="5377" max="5377" width="9.8984375" style="538" customWidth="1"/>
    <col min="5378" max="5378" width="11.796875" style="538" customWidth="1"/>
    <col min="5379" max="5379" width="9.796875" style="538" customWidth="1"/>
    <col min="5380" max="5382" width="8.796875" style="538"/>
    <col min="5383" max="5383" width="11.09765625" style="538" bestFit="1" customWidth="1"/>
    <col min="5384" max="5384" width="12.69921875" style="538" customWidth="1"/>
    <col min="5385" max="5632" width="8.796875" style="538"/>
    <col min="5633" max="5633" width="9.8984375" style="538" customWidth="1"/>
    <col min="5634" max="5634" width="11.796875" style="538" customWidth="1"/>
    <col min="5635" max="5635" width="9.796875" style="538" customWidth="1"/>
    <col min="5636" max="5638" width="8.796875" style="538"/>
    <col min="5639" max="5639" width="11.09765625" style="538" bestFit="1" customWidth="1"/>
    <col min="5640" max="5640" width="12.69921875" style="538" customWidth="1"/>
    <col min="5641" max="5888" width="8.796875" style="538"/>
    <col min="5889" max="5889" width="9.8984375" style="538" customWidth="1"/>
    <col min="5890" max="5890" width="11.796875" style="538" customWidth="1"/>
    <col min="5891" max="5891" width="9.796875" style="538" customWidth="1"/>
    <col min="5892" max="5894" width="8.796875" style="538"/>
    <col min="5895" max="5895" width="11.09765625" style="538" bestFit="1" customWidth="1"/>
    <col min="5896" max="5896" width="12.69921875" style="538" customWidth="1"/>
    <col min="5897" max="6144" width="8.796875" style="538"/>
    <col min="6145" max="6145" width="9.8984375" style="538" customWidth="1"/>
    <col min="6146" max="6146" width="11.796875" style="538" customWidth="1"/>
    <col min="6147" max="6147" width="9.796875" style="538" customWidth="1"/>
    <col min="6148" max="6150" width="8.796875" style="538"/>
    <col min="6151" max="6151" width="11.09765625" style="538" bestFit="1" customWidth="1"/>
    <col min="6152" max="6152" width="12.69921875" style="538" customWidth="1"/>
    <col min="6153" max="6400" width="8.796875" style="538"/>
    <col min="6401" max="6401" width="9.8984375" style="538" customWidth="1"/>
    <col min="6402" max="6402" width="11.796875" style="538" customWidth="1"/>
    <col min="6403" max="6403" width="9.796875" style="538" customWidth="1"/>
    <col min="6404" max="6406" width="8.796875" style="538"/>
    <col min="6407" max="6407" width="11.09765625" style="538" bestFit="1" customWidth="1"/>
    <col min="6408" max="6408" width="12.69921875" style="538" customWidth="1"/>
    <col min="6409" max="6656" width="8.796875" style="538"/>
    <col min="6657" max="6657" width="9.8984375" style="538" customWidth="1"/>
    <col min="6658" max="6658" width="11.796875" style="538" customWidth="1"/>
    <col min="6659" max="6659" width="9.796875" style="538" customWidth="1"/>
    <col min="6660" max="6662" width="8.796875" style="538"/>
    <col min="6663" max="6663" width="11.09765625" style="538" bestFit="1" customWidth="1"/>
    <col min="6664" max="6664" width="12.69921875" style="538" customWidth="1"/>
    <col min="6665" max="6912" width="8.796875" style="538"/>
    <col min="6913" max="6913" width="9.8984375" style="538" customWidth="1"/>
    <col min="6914" max="6914" width="11.796875" style="538" customWidth="1"/>
    <col min="6915" max="6915" width="9.796875" style="538" customWidth="1"/>
    <col min="6916" max="6918" width="8.796875" style="538"/>
    <col min="6919" max="6919" width="11.09765625" style="538" bestFit="1" customWidth="1"/>
    <col min="6920" max="6920" width="12.69921875" style="538" customWidth="1"/>
    <col min="6921" max="7168" width="8.796875" style="538"/>
    <col min="7169" max="7169" width="9.8984375" style="538" customWidth="1"/>
    <col min="7170" max="7170" width="11.796875" style="538" customWidth="1"/>
    <col min="7171" max="7171" width="9.796875" style="538" customWidth="1"/>
    <col min="7172" max="7174" width="8.796875" style="538"/>
    <col min="7175" max="7175" width="11.09765625" style="538" bestFit="1" customWidth="1"/>
    <col min="7176" max="7176" width="12.69921875" style="538" customWidth="1"/>
    <col min="7177" max="7424" width="8.796875" style="538"/>
    <col min="7425" max="7425" width="9.8984375" style="538" customWidth="1"/>
    <col min="7426" max="7426" width="11.796875" style="538" customWidth="1"/>
    <col min="7427" max="7427" width="9.796875" style="538" customWidth="1"/>
    <col min="7428" max="7430" width="8.796875" style="538"/>
    <col min="7431" max="7431" width="11.09765625" style="538" bestFit="1" customWidth="1"/>
    <col min="7432" max="7432" width="12.69921875" style="538" customWidth="1"/>
    <col min="7433" max="7680" width="8.796875" style="538"/>
    <col min="7681" max="7681" width="9.8984375" style="538" customWidth="1"/>
    <col min="7682" max="7682" width="11.796875" style="538" customWidth="1"/>
    <col min="7683" max="7683" width="9.796875" style="538" customWidth="1"/>
    <col min="7684" max="7686" width="8.796875" style="538"/>
    <col min="7687" max="7687" width="11.09765625" style="538" bestFit="1" customWidth="1"/>
    <col min="7688" max="7688" width="12.69921875" style="538" customWidth="1"/>
    <col min="7689" max="7936" width="8.796875" style="538"/>
    <col min="7937" max="7937" width="9.8984375" style="538" customWidth="1"/>
    <col min="7938" max="7938" width="11.796875" style="538" customWidth="1"/>
    <col min="7939" max="7939" width="9.796875" style="538" customWidth="1"/>
    <col min="7940" max="7942" width="8.796875" style="538"/>
    <col min="7943" max="7943" width="11.09765625" style="538" bestFit="1" customWidth="1"/>
    <col min="7944" max="7944" width="12.69921875" style="538" customWidth="1"/>
    <col min="7945" max="8192" width="8.796875" style="538"/>
    <col min="8193" max="8193" width="9.8984375" style="538" customWidth="1"/>
    <col min="8194" max="8194" width="11.796875" style="538" customWidth="1"/>
    <col min="8195" max="8195" width="9.796875" style="538" customWidth="1"/>
    <col min="8196" max="8198" width="8.796875" style="538"/>
    <col min="8199" max="8199" width="11.09765625" style="538" bestFit="1" customWidth="1"/>
    <col min="8200" max="8200" width="12.69921875" style="538" customWidth="1"/>
    <col min="8201" max="8448" width="8.796875" style="538"/>
    <col min="8449" max="8449" width="9.8984375" style="538" customWidth="1"/>
    <col min="8450" max="8450" width="11.796875" style="538" customWidth="1"/>
    <col min="8451" max="8451" width="9.796875" style="538" customWidth="1"/>
    <col min="8452" max="8454" width="8.796875" style="538"/>
    <col min="8455" max="8455" width="11.09765625" style="538" bestFit="1" customWidth="1"/>
    <col min="8456" max="8456" width="12.69921875" style="538" customWidth="1"/>
    <col min="8457" max="8704" width="8.796875" style="538"/>
    <col min="8705" max="8705" width="9.8984375" style="538" customWidth="1"/>
    <col min="8706" max="8706" width="11.796875" style="538" customWidth="1"/>
    <col min="8707" max="8707" width="9.796875" style="538" customWidth="1"/>
    <col min="8708" max="8710" width="8.796875" style="538"/>
    <col min="8711" max="8711" width="11.09765625" style="538" bestFit="1" customWidth="1"/>
    <col min="8712" max="8712" width="12.69921875" style="538" customWidth="1"/>
    <col min="8713" max="8960" width="8.796875" style="538"/>
    <col min="8961" max="8961" width="9.8984375" style="538" customWidth="1"/>
    <col min="8962" max="8962" width="11.796875" style="538" customWidth="1"/>
    <col min="8963" max="8963" width="9.796875" style="538" customWidth="1"/>
    <col min="8964" max="8966" width="8.796875" style="538"/>
    <col min="8967" max="8967" width="11.09765625" style="538" bestFit="1" customWidth="1"/>
    <col min="8968" max="8968" width="12.69921875" style="538" customWidth="1"/>
    <col min="8969" max="9216" width="8.796875" style="538"/>
    <col min="9217" max="9217" width="9.8984375" style="538" customWidth="1"/>
    <col min="9218" max="9218" width="11.796875" style="538" customWidth="1"/>
    <col min="9219" max="9219" width="9.796875" style="538" customWidth="1"/>
    <col min="9220" max="9222" width="8.796875" style="538"/>
    <col min="9223" max="9223" width="11.09765625" style="538" bestFit="1" customWidth="1"/>
    <col min="9224" max="9224" width="12.69921875" style="538" customWidth="1"/>
    <col min="9225" max="9472" width="8.796875" style="538"/>
    <col min="9473" max="9473" width="9.8984375" style="538" customWidth="1"/>
    <col min="9474" max="9474" width="11.796875" style="538" customWidth="1"/>
    <col min="9475" max="9475" width="9.796875" style="538" customWidth="1"/>
    <col min="9476" max="9478" width="8.796875" style="538"/>
    <col min="9479" max="9479" width="11.09765625" style="538" bestFit="1" customWidth="1"/>
    <col min="9480" max="9480" width="12.69921875" style="538" customWidth="1"/>
    <col min="9481" max="9728" width="8.796875" style="538"/>
    <col min="9729" max="9729" width="9.8984375" style="538" customWidth="1"/>
    <col min="9730" max="9730" width="11.796875" style="538" customWidth="1"/>
    <col min="9731" max="9731" width="9.796875" style="538" customWidth="1"/>
    <col min="9732" max="9734" width="8.796875" style="538"/>
    <col min="9735" max="9735" width="11.09765625" style="538" bestFit="1" customWidth="1"/>
    <col min="9736" max="9736" width="12.69921875" style="538" customWidth="1"/>
    <col min="9737" max="9984" width="8.796875" style="538"/>
    <col min="9985" max="9985" width="9.8984375" style="538" customWidth="1"/>
    <col min="9986" max="9986" width="11.796875" style="538" customWidth="1"/>
    <col min="9987" max="9987" width="9.796875" style="538" customWidth="1"/>
    <col min="9988" max="9990" width="8.796875" style="538"/>
    <col min="9991" max="9991" width="11.09765625" style="538" bestFit="1" customWidth="1"/>
    <col min="9992" max="9992" width="12.69921875" style="538" customWidth="1"/>
    <col min="9993" max="10240" width="8.796875" style="538"/>
    <col min="10241" max="10241" width="9.8984375" style="538" customWidth="1"/>
    <col min="10242" max="10242" width="11.796875" style="538" customWidth="1"/>
    <col min="10243" max="10243" width="9.796875" style="538" customWidth="1"/>
    <col min="10244" max="10246" width="8.796875" style="538"/>
    <col min="10247" max="10247" width="11.09765625" style="538" bestFit="1" customWidth="1"/>
    <col min="10248" max="10248" width="12.69921875" style="538" customWidth="1"/>
    <col min="10249" max="10496" width="8.796875" style="538"/>
    <col min="10497" max="10497" width="9.8984375" style="538" customWidth="1"/>
    <col min="10498" max="10498" width="11.796875" style="538" customWidth="1"/>
    <col min="10499" max="10499" width="9.796875" style="538" customWidth="1"/>
    <col min="10500" max="10502" width="8.796875" style="538"/>
    <col min="10503" max="10503" width="11.09765625" style="538" bestFit="1" customWidth="1"/>
    <col min="10504" max="10504" width="12.69921875" style="538" customWidth="1"/>
    <col min="10505" max="10752" width="8.796875" style="538"/>
    <col min="10753" max="10753" width="9.8984375" style="538" customWidth="1"/>
    <col min="10754" max="10754" width="11.796875" style="538" customWidth="1"/>
    <col min="10755" max="10755" width="9.796875" style="538" customWidth="1"/>
    <col min="10756" max="10758" width="8.796875" style="538"/>
    <col min="10759" max="10759" width="11.09765625" style="538" bestFit="1" customWidth="1"/>
    <col min="10760" max="10760" width="12.69921875" style="538" customWidth="1"/>
    <col min="10761" max="11008" width="8.796875" style="538"/>
    <col min="11009" max="11009" width="9.8984375" style="538" customWidth="1"/>
    <col min="11010" max="11010" width="11.796875" style="538" customWidth="1"/>
    <col min="11011" max="11011" width="9.796875" style="538" customWidth="1"/>
    <col min="11012" max="11014" width="8.796875" style="538"/>
    <col min="11015" max="11015" width="11.09765625" style="538" bestFit="1" customWidth="1"/>
    <col min="11016" max="11016" width="12.69921875" style="538" customWidth="1"/>
    <col min="11017" max="11264" width="8.796875" style="538"/>
    <col min="11265" max="11265" width="9.8984375" style="538" customWidth="1"/>
    <col min="11266" max="11266" width="11.796875" style="538" customWidth="1"/>
    <col min="11267" max="11267" width="9.796875" style="538" customWidth="1"/>
    <col min="11268" max="11270" width="8.796875" style="538"/>
    <col min="11271" max="11271" width="11.09765625" style="538" bestFit="1" customWidth="1"/>
    <col min="11272" max="11272" width="12.69921875" style="538" customWidth="1"/>
    <col min="11273" max="11520" width="8.796875" style="538"/>
    <col min="11521" max="11521" width="9.8984375" style="538" customWidth="1"/>
    <col min="11522" max="11522" width="11.796875" style="538" customWidth="1"/>
    <col min="11523" max="11523" width="9.796875" style="538" customWidth="1"/>
    <col min="11524" max="11526" width="8.796875" style="538"/>
    <col min="11527" max="11527" width="11.09765625" style="538" bestFit="1" customWidth="1"/>
    <col min="11528" max="11528" width="12.69921875" style="538" customWidth="1"/>
    <col min="11529" max="11776" width="8.796875" style="538"/>
    <col min="11777" max="11777" width="9.8984375" style="538" customWidth="1"/>
    <col min="11778" max="11778" width="11.796875" style="538" customWidth="1"/>
    <col min="11779" max="11779" width="9.796875" style="538" customWidth="1"/>
    <col min="11780" max="11782" width="8.796875" style="538"/>
    <col min="11783" max="11783" width="11.09765625" style="538" bestFit="1" customWidth="1"/>
    <col min="11784" max="11784" width="12.69921875" style="538" customWidth="1"/>
    <col min="11785" max="12032" width="8.796875" style="538"/>
    <col min="12033" max="12033" width="9.8984375" style="538" customWidth="1"/>
    <col min="12034" max="12034" width="11.796875" style="538" customWidth="1"/>
    <col min="12035" max="12035" width="9.796875" style="538" customWidth="1"/>
    <col min="12036" max="12038" width="8.796875" style="538"/>
    <col min="12039" max="12039" width="11.09765625" style="538" bestFit="1" customWidth="1"/>
    <col min="12040" max="12040" width="12.69921875" style="538" customWidth="1"/>
    <col min="12041" max="12288" width="8.796875" style="538"/>
    <col min="12289" max="12289" width="9.8984375" style="538" customWidth="1"/>
    <col min="12290" max="12290" width="11.796875" style="538" customWidth="1"/>
    <col min="12291" max="12291" width="9.796875" style="538" customWidth="1"/>
    <col min="12292" max="12294" width="8.796875" style="538"/>
    <col min="12295" max="12295" width="11.09765625" style="538" bestFit="1" customWidth="1"/>
    <col min="12296" max="12296" width="12.69921875" style="538" customWidth="1"/>
    <col min="12297" max="12544" width="8.796875" style="538"/>
    <col min="12545" max="12545" width="9.8984375" style="538" customWidth="1"/>
    <col min="12546" max="12546" width="11.796875" style="538" customWidth="1"/>
    <col min="12547" max="12547" width="9.796875" style="538" customWidth="1"/>
    <col min="12548" max="12550" width="8.796875" style="538"/>
    <col min="12551" max="12551" width="11.09765625" style="538" bestFit="1" customWidth="1"/>
    <col min="12552" max="12552" width="12.69921875" style="538" customWidth="1"/>
    <col min="12553" max="12800" width="8.796875" style="538"/>
    <col min="12801" max="12801" width="9.8984375" style="538" customWidth="1"/>
    <col min="12802" max="12802" width="11.796875" style="538" customWidth="1"/>
    <col min="12803" max="12803" width="9.796875" style="538" customWidth="1"/>
    <col min="12804" max="12806" width="8.796875" style="538"/>
    <col min="12807" max="12807" width="11.09765625" style="538" bestFit="1" customWidth="1"/>
    <col min="12808" max="12808" width="12.69921875" style="538" customWidth="1"/>
    <col min="12809" max="13056" width="8.796875" style="538"/>
    <col min="13057" max="13057" width="9.8984375" style="538" customWidth="1"/>
    <col min="13058" max="13058" width="11.796875" style="538" customWidth="1"/>
    <col min="13059" max="13059" width="9.796875" style="538" customWidth="1"/>
    <col min="13060" max="13062" width="8.796875" style="538"/>
    <col min="13063" max="13063" width="11.09765625" style="538" bestFit="1" customWidth="1"/>
    <col min="13064" max="13064" width="12.69921875" style="538" customWidth="1"/>
    <col min="13065" max="13312" width="8.796875" style="538"/>
    <col min="13313" max="13313" width="9.8984375" style="538" customWidth="1"/>
    <col min="13314" max="13314" width="11.796875" style="538" customWidth="1"/>
    <col min="13315" max="13315" width="9.796875" style="538" customWidth="1"/>
    <col min="13316" max="13318" width="8.796875" style="538"/>
    <col min="13319" max="13319" width="11.09765625" style="538" bestFit="1" customWidth="1"/>
    <col min="13320" max="13320" width="12.69921875" style="538" customWidth="1"/>
    <col min="13321" max="13568" width="8.796875" style="538"/>
    <col min="13569" max="13569" width="9.8984375" style="538" customWidth="1"/>
    <col min="13570" max="13570" width="11.796875" style="538" customWidth="1"/>
    <col min="13571" max="13571" width="9.796875" style="538" customWidth="1"/>
    <col min="13572" max="13574" width="8.796875" style="538"/>
    <col min="13575" max="13575" width="11.09765625" style="538" bestFit="1" customWidth="1"/>
    <col min="13576" max="13576" width="12.69921875" style="538" customWidth="1"/>
    <col min="13577" max="13824" width="8.796875" style="538"/>
    <col min="13825" max="13825" width="9.8984375" style="538" customWidth="1"/>
    <col min="13826" max="13826" width="11.796875" style="538" customWidth="1"/>
    <col min="13827" max="13827" width="9.796875" style="538" customWidth="1"/>
    <col min="13828" max="13830" width="8.796875" style="538"/>
    <col min="13831" max="13831" width="11.09765625" style="538" bestFit="1" customWidth="1"/>
    <col min="13832" max="13832" width="12.69921875" style="538" customWidth="1"/>
    <col min="13833" max="14080" width="8.796875" style="538"/>
    <col min="14081" max="14081" width="9.8984375" style="538" customWidth="1"/>
    <col min="14082" max="14082" width="11.796875" style="538" customWidth="1"/>
    <col min="14083" max="14083" width="9.796875" style="538" customWidth="1"/>
    <col min="14084" max="14086" width="8.796875" style="538"/>
    <col min="14087" max="14087" width="11.09765625" style="538" bestFit="1" customWidth="1"/>
    <col min="14088" max="14088" width="12.69921875" style="538" customWidth="1"/>
    <col min="14089" max="14336" width="8.796875" style="538"/>
    <col min="14337" max="14337" width="9.8984375" style="538" customWidth="1"/>
    <col min="14338" max="14338" width="11.796875" style="538" customWidth="1"/>
    <col min="14339" max="14339" width="9.796875" style="538" customWidth="1"/>
    <col min="14340" max="14342" width="8.796875" style="538"/>
    <col min="14343" max="14343" width="11.09765625" style="538" bestFit="1" customWidth="1"/>
    <col min="14344" max="14344" width="12.69921875" style="538" customWidth="1"/>
    <col min="14345" max="14592" width="8.796875" style="538"/>
    <col min="14593" max="14593" width="9.8984375" style="538" customWidth="1"/>
    <col min="14594" max="14594" width="11.796875" style="538" customWidth="1"/>
    <col min="14595" max="14595" width="9.796875" style="538" customWidth="1"/>
    <col min="14596" max="14598" width="8.796875" style="538"/>
    <col min="14599" max="14599" width="11.09765625" style="538" bestFit="1" customWidth="1"/>
    <col min="14600" max="14600" width="12.69921875" style="538" customWidth="1"/>
    <col min="14601" max="14848" width="8.796875" style="538"/>
    <col min="14849" max="14849" width="9.8984375" style="538" customWidth="1"/>
    <col min="14850" max="14850" width="11.796875" style="538" customWidth="1"/>
    <col min="14851" max="14851" width="9.796875" style="538" customWidth="1"/>
    <col min="14852" max="14854" width="8.796875" style="538"/>
    <col min="14855" max="14855" width="11.09765625" style="538" bestFit="1" customWidth="1"/>
    <col min="14856" max="14856" width="12.69921875" style="538" customWidth="1"/>
    <col min="14857" max="15104" width="8.796875" style="538"/>
    <col min="15105" max="15105" width="9.8984375" style="538" customWidth="1"/>
    <col min="15106" max="15106" width="11.796875" style="538" customWidth="1"/>
    <col min="15107" max="15107" width="9.796875" style="538" customWidth="1"/>
    <col min="15108" max="15110" width="8.796875" style="538"/>
    <col min="15111" max="15111" width="11.09765625" style="538" bestFit="1" customWidth="1"/>
    <col min="15112" max="15112" width="12.69921875" style="538" customWidth="1"/>
    <col min="15113" max="15360" width="8.796875" style="538"/>
    <col min="15361" max="15361" width="9.8984375" style="538" customWidth="1"/>
    <col min="15362" max="15362" width="11.796875" style="538" customWidth="1"/>
    <col min="15363" max="15363" width="9.796875" style="538" customWidth="1"/>
    <col min="15364" max="15366" width="8.796875" style="538"/>
    <col min="15367" max="15367" width="11.09765625" style="538" bestFit="1" customWidth="1"/>
    <col min="15368" max="15368" width="12.69921875" style="538" customWidth="1"/>
    <col min="15369" max="15616" width="8.796875" style="538"/>
    <col min="15617" max="15617" width="9.8984375" style="538" customWidth="1"/>
    <col min="15618" max="15618" width="11.796875" style="538" customWidth="1"/>
    <col min="15619" max="15619" width="9.796875" style="538" customWidth="1"/>
    <col min="15620" max="15622" width="8.796875" style="538"/>
    <col min="15623" max="15623" width="11.09765625" style="538" bestFit="1" customWidth="1"/>
    <col min="15624" max="15624" width="12.69921875" style="538" customWidth="1"/>
    <col min="15625" max="15872" width="8.796875" style="538"/>
    <col min="15873" max="15873" width="9.8984375" style="538" customWidth="1"/>
    <col min="15874" max="15874" width="11.796875" style="538" customWidth="1"/>
    <col min="15875" max="15875" width="9.796875" style="538" customWidth="1"/>
    <col min="15876" max="15878" width="8.796875" style="538"/>
    <col min="15879" max="15879" width="11.09765625" style="538" bestFit="1" customWidth="1"/>
    <col min="15880" max="15880" width="12.69921875" style="538" customWidth="1"/>
    <col min="15881" max="16128" width="8.796875" style="538"/>
    <col min="16129" max="16129" width="9.8984375" style="538" customWidth="1"/>
    <col min="16130" max="16130" width="11.796875" style="538" customWidth="1"/>
    <col min="16131" max="16131" width="9.796875" style="538" customWidth="1"/>
    <col min="16132" max="16134" width="8.796875" style="538"/>
    <col min="16135" max="16135" width="11.09765625" style="538" bestFit="1" customWidth="1"/>
    <col min="16136" max="16136" width="12.69921875" style="538" customWidth="1"/>
    <col min="16137" max="16384" width="8.796875" style="538"/>
  </cols>
  <sheetData>
    <row r="1" spans="1:11" ht="15" customHeight="1" x14ac:dyDescent="0.25">
      <c r="A1" s="534" t="s">
        <v>1186</v>
      </c>
      <c r="B1" s="534"/>
      <c r="C1" s="534"/>
      <c r="D1" s="535"/>
      <c r="E1" s="536"/>
      <c r="F1" s="534" t="s">
        <v>1187</v>
      </c>
      <c r="G1" s="534"/>
      <c r="H1" s="534"/>
      <c r="I1" s="534"/>
      <c r="J1" s="535"/>
      <c r="K1" s="537"/>
    </row>
    <row r="2" spans="1:11" ht="26.4" x14ac:dyDescent="0.25">
      <c r="A2" s="539" t="s">
        <v>1188</v>
      </c>
      <c r="B2" s="539" t="s">
        <v>1189</v>
      </c>
      <c r="C2" s="539" t="s">
        <v>1190</v>
      </c>
      <c r="E2" s="540"/>
      <c r="F2" s="539" t="s">
        <v>1189</v>
      </c>
      <c r="G2" s="539" t="s">
        <v>245</v>
      </c>
      <c r="H2" s="539" t="s">
        <v>240</v>
      </c>
      <c r="I2" s="539" t="s">
        <v>235</v>
      </c>
      <c r="J2" s="541"/>
      <c r="K2" s="542"/>
    </row>
    <row r="3" spans="1:11" ht="15" x14ac:dyDescent="0.25">
      <c r="A3" s="543" t="s">
        <v>619</v>
      </c>
      <c r="B3" s="543" t="s">
        <v>245</v>
      </c>
      <c r="C3" s="543">
        <v>22</v>
      </c>
      <c r="E3" s="540"/>
      <c r="F3" s="543" t="s">
        <v>131</v>
      </c>
      <c r="G3" s="543">
        <v>27</v>
      </c>
      <c r="H3" s="543">
        <v>25</v>
      </c>
      <c r="I3" s="543">
        <v>37</v>
      </c>
      <c r="J3" s="544"/>
      <c r="K3" s="542"/>
    </row>
    <row r="4" spans="1:11" ht="15" x14ac:dyDescent="0.25">
      <c r="A4" s="543" t="s">
        <v>617</v>
      </c>
      <c r="B4" s="543" t="s">
        <v>240</v>
      </c>
      <c r="C4" s="543">
        <v>20</v>
      </c>
      <c r="E4" s="542"/>
      <c r="F4" s="545"/>
      <c r="G4" s="545"/>
      <c r="H4" s="545"/>
      <c r="I4" s="546"/>
      <c r="J4" s="547"/>
      <c r="K4" s="542"/>
    </row>
    <row r="5" spans="1:11" ht="12.75" customHeight="1" x14ac:dyDescent="0.25">
      <c r="A5" s="543" t="s">
        <v>615</v>
      </c>
      <c r="B5" s="543" t="s">
        <v>235</v>
      </c>
      <c r="C5" s="543">
        <v>32</v>
      </c>
      <c r="E5" s="548"/>
      <c r="F5" s="549" t="s">
        <v>1191</v>
      </c>
      <c r="G5" s="550"/>
      <c r="H5" s="550"/>
      <c r="I5" s="535"/>
      <c r="J5" s="535"/>
      <c r="K5" s="547"/>
    </row>
    <row r="6" spans="1:11" ht="12.75" customHeight="1" x14ac:dyDescent="0.25">
      <c r="A6" s="544"/>
      <c r="B6" s="544"/>
      <c r="C6" s="544"/>
      <c r="D6" s="544"/>
      <c r="E6" s="547"/>
      <c r="F6" s="534" t="s">
        <v>1192</v>
      </c>
      <c r="G6" s="534"/>
      <c r="H6" s="534"/>
      <c r="I6" s="535"/>
      <c r="J6" s="535"/>
      <c r="K6" s="547"/>
    </row>
    <row r="7" spans="1:11" ht="26.4" x14ac:dyDescent="0.25">
      <c r="A7" s="551"/>
      <c r="B7" s="551"/>
      <c r="C7" s="551"/>
      <c r="D7" s="551"/>
      <c r="E7" s="542"/>
      <c r="F7" s="539" t="s">
        <v>1193</v>
      </c>
      <c r="G7" s="539" t="s">
        <v>1194</v>
      </c>
      <c r="H7" s="539" t="s">
        <v>1195</v>
      </c>
      <c r="J7" s="541"/>
      <c r="K7" s="542"/>
    </row>
    <row r="8" spans="1:11" ht="25.5" customHeight="1" x14ac:dyDescent="0.25">
      <c r="A8" s="552" t="s">
        <v>1196</v>
      </c>
      <c r="B8" s="552"/>
      <c r="C8" s="552"/>
      <c r="D8" s="541"/>
      <c r="E8" s="542"/>
      <c r="F8" s="543">
        <v>1</v>
      </c>
      <c r="G8" s="553" t="s">
        <v>1197</v>
      </c>
      <c r="H8" s="543">
        <v>3</v>
      </c>
      <c r="J8" s="544"/>
      <c r="K8" s="542"/>
    </row>
    <row r="9" spans="1:11" ht="25.5" customHeight="1" x14ac:dyDescent="0.25">
      <c r="A9" s="539" t="s">
        <v>1198</v>
      </c>
      <c r="B9" s="539" t="s">
        <v>1199</v>
      </c>
      <c r="C9" s="539" t="s">
        <v>1195</v>
      </c>
      <c r="E9" s="542"/>
      <c r="F9" s="543">
        <v>2</v>
      </c>
      <c r="G9" s="553" t="s">
        <v>1200</v>
      </c>
      <c r="H9" s="543">
        <v>2</v>
      </c>
      <c r="J9" s="544"/>
      <c r="K9" s="542"/>
    </row>
    <row r="10" spans="1:11" ht="26.4" x14ac:dyDescent="0.25">
      <c r="A10" s="543" t="s">
        <v>1201</v>
      </c>
      <c r="B10" s="543" t="s">
        <v>1202</v>
      </c>
      <c r="C10" s="543">
        <v>1</v>
      </c>
      <c r="E10" s="542"/>
      <c r="F10" s="543">
        <v>3</v>
      </c>
      <c r="G10" s="553" t="s">
        <v>1203</v>
      </c>
      <c r="H10" s="543">
        <v>1</v>
      </c>
      <c r="J10" s="544"/>
      <c r="K10" s="542"/>
    </row>
    <row r="11" spans="1:11" ht="15" x14ac:dyDescent="0.25">
      <c r="A11" s="543" t="s">
        <v>1204</v>
      </c>
      <c r="B11" s="543" t="s">
        <v>1205</v>
      </c>
      <c r="C11" s="543">
        <v>2</v>
      </c>
      <c r="E11" s="542"/>
      <c r="F11" s="542"/>
      <c r="G11" s="542"/>
      <c r="H11" s="542"/>
      <c r="I11" s="547"/>
      <c r="J11" s="547"/>
      <c r="K11" s="542"/>
    </row>
    <row r="12" spans="1:11" ht="15" x14ac:dyDescent="0.25">
      <c r="A12" s="543" t="s">
        <v>883</v>
      </c>
      <c r="B12" s="543" t="s">
        <v>1206</v>
      </c>
      <c r="C12" s="543">
        <v>3</v>
      </c>
      <c r="E12" s="542"/>
      <c r="F12" s="542"/>
      <c r="G12" s="542"/>
      <c r="H12" s="542"/>
      <c r="I12" s="547"/>
      <c r="J12" s="547"/>
      <c r="K12" s="542"/>
    </row>
    <row r="13" spans="1:11" ht="18" thickBot="1" x14ac:dyDescent="0.3">
      <c r="A13" s="554" t="s">
        <v>1207</v>
      </c>
      <c r="B13" s="555"/>
      <c r="C13" s="555"/>
      <c r="D13" s="555"/>
      <c r="E13" s="555"/>
      <c r="F13" s="555"/>
      <c r="G13" s="555"/>
      <c r="H13" s="555"/>
      <c r="I13" s="555"/>
      <c r="J13" s="555"/>
      <c r="K13" s="556"/>
    </row>
    <row r="14" spans="1:11" ht="13.5" customHeight="1" x14ac:dyDescent="0.25">
      <c r="A14" s="557" t="s">
        <v>227</v>
      </c>
      <c r="B14" s="558" t="s">
        <v>228</v>
      </c>
      <c r="C14" s="558" t="s">
        <v>229</v>
      </c>
      <c r="D14" s="558" t="s">
        <v>131</v>
      </c>
      <c r="E14" s="558"/>
      <c r="F14" s="558"/>
      <c r="G14" s="558" t="s">
        <v>230</v>
      </c>
      <c r="H14" s="558" t="s">
        <v>231</v>
      </c>
      <c r="I14" s="559" t="s">
        <v>232</v>
      </c>
      <c r="J14" s="559" t="s">
        <v>385</v>
      </c>
      <c r="K14" s="541"/>
    </row>
    <row r="15" spans="1:11" ht="13.8" thickBot="1" x14ac:dyDescent="0.3">
      <c r="A15" s="560"/>
      <c r="B15" s="561"/>
      <c r="C15" s="561"/>
      <c r="D15" s="562" t="s">
        <v>126</v>
      </c>
      <c r="E15" s="562" t="s">
        <v>127</v>
      </c>
      <c r="F15" s="562" t="s">
        <v>124</v>
      </c>
      <c r="G15" s="561"/>
      <c r="H15" s="561"/>
      <c r="I15" s="563"/>
      <c r="J15" s="563"/>
      <c r="K15" s="541"/>
    </row>
    <row r="16" spans="1:11" ht="19.5" customHeight="1" x14ac:dyDescent="0.25">
      <c r="A16" s="564" t="s">
        <v>233</v>
      </c>
      <c r="B16" s="565" t="s">
        <v>234</v>
      </c>
      <c r="C16" s="566" t="str">
        <f>VLOOKUP(LEFT(A16,1),$A$3:$C$5,2,0)</f>
        <v>LÝ</v>
      </c>
      <c r="D16" s="567">
        <v>5</v>
      </c>
      <c r="E16" s="567">
        <v>5</v>
      </c>
      <c r="F16" s="567">
        <v>8</v>
      </c>
      <c r="G16" s="568">
        <f>IF(C16="LÝ",F16*2+E16+D16,IF(C16="SINH",D16*2+E16+F16,E16*2+F16+D16))+IFERROR(VLOOKUP(MID(A16,3,2),$A$10:$C$12,3,0),)+VLOOKUP(VALUE(MID(A16,2,1)),$F$8:$H$10,3,0)</f>
        <v>30</v>
      </c>
      <c r="H16" s="566" t="str">
        <f>IF(G16&gt;=VLOOKUP(LEFT(A16,1),$A$3:$C$5,3,0),"Đậu","Rớt")</f>
        <v>Rớt</v>
      </c>
      <c r="I16" s="569" t="str">
        <f>IF(G16&gt;=HLOOKUP(C16,$G$2:$I$3,2,0),"Có","Không")</f>
        <v>Không</v>
      </c>
      <c r="J16" s="569">
        <f>RANK(G16,$G$16:$G$25,0)</f>
        <v>2</v>
      </c>
      <c r="K16" s="535"/>
    </row>
    <row r="17" spans="1:11" ht="18" customHeight="1" x14ac:dyDescent="0.25">
      <c r="A17" s="570" t="s">
        <v>238</v>
      </c>
      <c r="B17" s="571" t="s">
        <v>239</v>
      </c>
      <c r="C17" s="566" t="str">
        <f t="shared" ref="C17:C25" si="0">VLOOKUP(LEFT(A17,1),$A$3:$C$5,2,0)</f>
        <v>SINH</v>
      </c>
      <c r="D17" s="572">
        <v>4</v>
      </c>
      <c r="E17" s="572">
        <v>5</v>
      </c>
      <c r="F17" s="572">
        <v>7</v>
      </c>
      <c r="G17" s="568">
        <f t="shared" ref="G17:G25" si="1">IF(C17="LÝ",F17*2+E17+D17,IF(C17="SINH",D17*2+E17+F17,E17*2+F17+D17))+IFERROR(VLOOKUP(MID(A17,3,2),$A$10:$C$12,3,0),)+VLOOKUP(VALUE(MID(A17,2,1)),$F$8:$H$10,3,0)</f>
        <v>23</v>
      </c>
      <c r="H17" s="566" t="str">
        <f t="shared" ref="H17:H25" si="2">IF(G17&gt;=VLOOKUP(LEFT(A17,1),$A$3:$C$5,3,0),"Đậu","Rớt")</f>
        <v>Đậu</v>
      </c>
      <c r="I17" s="569" t="str">
        <f t="shared" ref="I17:I25" si="3">IF(G17&gt;=HLOOKUP(C17,$G$2:$I$3,2,0),"Có","Không")</f>
        <v>Không</v>
      </c>
      <c r="J17" s="569">
        <f t="shared" ref="J17:J25" si="4">RANK(G17,$G$16:$G$25,0)</f>
        <v>7</v>
      </c>
      <c r="K17" s="537"/>
    </row>
    <row r="18" spans="1:11" ht="18.75" customHeight="1" x14ac:dyDescent="0.25">
      <c r="A18" s="570" t="s">
        <v>243</v>
      </c>
      <c r="B18" s="571" t="s">
        <v>244</v>
      </c>
      <c r="C18" s="566" t="str">
        <f t="shared" si="0"/>
        <v>SỬ</v>
      </c>
      <c r="D18" s="572">
        <v>6</v>
      </c>
      <c r="E18" s="572">
        <v>6</v>
      </c>
      <c r="F18" s="572">
        <v>6</v>
      </c>
      <c r="G18" s="568">
        <f t="shared" si="1"/>
        <v>28</v>
      </c>
      <c r="H18" s="566" t="str">
        <f t="shared" si="2"/>
        <v>Đậu</v>
      </c>
      <c r="I18" s="569" t="str">
        <f t="shared" si="3"/>
        <v>Có</v>
      </c>
      <c r="J18" s="569">
        <f t="shared" si="4"/>
        <v>3</v>
      </c>
      <c r="K18" s="537"/>
    </row>
    <row r="19" spans="1:11" ht="21" customHeight="1" x14ac:dyDescent="0.25">
      <c r="A19" s="570" t="s">
        <v>247</v>
      </c>
      <c r="B19" s="571" t="s">
        <v>248</v>
      </c>
      <c r="C19" s="566" t="str">
        <f t="shared" si="0"/>
        <v>SINH</v>
      </c>
      <c r="D19" s="572">
        <v>3</v>
      </c>
      <c r="E19" s="572">
        <v>8</v>
      </c>
      <c r="F19" s="572">
        <v>8</v>
      </c>
      <c r="G19" s="568">
        <f t="shared" si="1"/>
        <v>24</v>
      </c>
      <c r="H19" s="566" t="str">
        <f t="shared" si="2"/>
        <v>Đậu</v>
      </c>
      <c r="I19" s="569" t="str">
        <f t="shared" si="3"/>
        <v>Không</v>
      </c>
      <c r="J19" s="569">
        <f t="shared" si="4"/>
        <v>4</v>
      </c>
      <c r="K19" s="537"/>
    </row>
    <row r="20" spans="1:11" ht="15" x14ac:dyDescent="0.25">
      <c r="A20" s="570" t="s">
        <v>249</v>
      </c>
      <c r="B20" s="571" t="s">
        <v>250</v>
      </c>
      <c r="C20" s="566" t="str">
        <f t="shared" si="0"/>
        <v>LÝ</v>
      </c>
      <c r="D20" s="572">
        <v>8</v>
      </c>
      <c r="E20" s="572">
        <v>5</v>
      </c>
      <c r="F20" s="572">
        <v>9</v>
      </c>
      <c r="G20" s="568">
        <f t="shared" si="1"/>
        <v>36</v>
      </c>
      <c r="H20" s="566" t="str">
        <f t="shared" si="2"/>
        <v>Đậu</v>
      </c>
      <c r="I20" s="569" t="str">
        <f t="shared" si="3"/>
        <v>Không</v>
      </c>
      <c r="J20" s="569">
        <f t="shared" si="4"/>
        <v>1</v>
      </c>
      <c r="K20" s="537"/>
    </row>
    <row r="21" spans="1:11" ht="18" customHeight="1" x14ac:dyDescent="0.25">
      <c r="A21" s="570" t="s">
        <v>251</v>
      </c>
      <c r="B21" s="571" t="s">
        <v>252</v>
      </c>
      <c r="C21" s="566" t="str">
        <f t="shared" si="0"/>
        <v>SINH</v>
      </c>
      <c r="D21" s="572">
        <v>3</v>
      </c>
      <c r="E21" s="572">
        <v>4</v>
      </c>
      <c r="F21" s="572">
        <v>9</v>
      </c>
      <c r="G21" s="568">
        <f t="shared" si="1"/>
        <v>22</v>
      </c>
      <c r="H21" s="566" t="str">
        <f t="shared" si="2"/>
        <v>Đậu</v>
      </c>
      <c r="I21" s="569" t="str">
        <f t="shared" si="3"/>
        <v>Không</v>
      </c>
      <c r="J21" s="569">
        <f t="shared" si="4"/>
        <v>8</v>
      </c>
      <c r="K21" s="537"/>
    </row>
    <row r="22" spans="1:11" ht="15" x14ac:dyDescent="0.25">
      <c r="A22" s="570" t="s">
        <v>253</v>
      </c>
      <c r="B22" s="571" t="s">
        <v>254</v>
      </c>
      <c r="C22" s="566" t="str">
        <f t="shared" si="0"/>
        <v>LÝ</v>
      </c>
      <c r="D22" s="572">
        <v>3</v>
      </c>
      <c r="E22" s="572">
        <v>2</v>
      </c>
      <c r="F22" s="572">
        <v>8</v>
      </c>
      <c r="G22" s="568">
        <f t="shared" si="1"/>
        <v>24</v>
      </c>
      <c r="H22" s="566" t="str">
        <f t="shared" si="2"/>
        <v>Rớt</v>
      </c>
      <c r="I22" s="569" t="str">
        <f t="shared" si="3"/>
        <v>Không</v>
      </c>
      <c r="J22" s="569">
        <f t="shared" si="4"/>
        <v>4</v>
      </c>
      <c r="K22" s="542"/>
    </row>
    <row r="23" spans="1:11" ht="15" x14ac:dyDescent="0.25">
      <c r="A23" s="570" t="s">
        <v>255</v>
      </c>
      <c r="B23" s="571" t="s">
        <v>256</v>
      </c>
      <c r="C23" s="566" t="str">
        <f t="shared" si="0"/>
        <v>SỬ</v>
      </c>
      <c r="D23" s="572">
        <v>2</v>
      </c>
      <c r="E23" s="572">
        <v>4</v>
      </c>
      <c r="F23" s="572">
        <v>6</v>
      </c>
      <c r="G23" s="568">
        <f t="shared" si="1"/>
        <v>18</v>
      </c>
      <c r="H23" s="566" t="str">
        <f t="shared" si="2"/>
        <v>Rớt</v>
      </c>
      <c r="I23" s="569" t="str">
        <f t="shared" si="3"/>
        <v>Không</v>
      </c>
      <c r="J23" s="569">
        <f t="shared" si="4"/>
        <v>10</v>
      </c>
      <c r="K23" s="542"/>
    </row>
    <row r="24" spans="1:11" ht="15" x14ac:dyDescent="0.25">
      <c r="A24" s="570" t="s">
        <v>257</v>
      </c>
      <c r="B24" s="571" t="s">
        <v>258</v>
      </c>
      <c r="C24" s="566" t="str">
        <f t="shared" si="0"/>
        <v>LÝ</v>
      </c>
      <c r="D24" s="572">
        <v>5</v>
      </c>
      <c r="E24" s="572">
        <v>3</v>
      </c>
      <c r="F24" s="572">
        <v>4</v>
      </c>
      <c r="G24" s="568">
        <f t="shared" si="1"/>
        <v>19</v>
      </c>
      <c r="H24" s="566" t="str">
        <f t="shared" si="2"/>
        <v>Rớt</v>
      </c>
      <c r="I24" s="569" t="str">
        <f t="shared" si="3"/>
        <v>Không</v>
      </c>
      <c r="J24" s="569">
        <f t="shared" si="4"/>
        <v>9</v>
      </c>
      <c r="K24" s="542"/>
    </row>
    <row r="25" spans="1:11" ht="17.25" customHeight="1" thickBot="1" x14ac:dyDescent="0.3">
      <c r="A25" s="573" t="s">
        <v>259</v>
      </c>
      <c r="B25" s="574" t="s">
        <v>260</v>
      </c>
      <c r="C25" s="566" t="str">
        <f t="shared" si="0"/>
        <v>SỬ</v>
      </c>
      <c r="D25" s="575">
        <v>3</v>
      </c>
      <c r="E25" s="575">
        <v>7</v>
      </c>
      <c r="F25" s="575">
        <v>4</v>
      </c>
      <c r="G25" s="568">
        <f t="shared" si="1"/>
        <v>24</v>
      </c>
      <c r="H25" s="566" t="str">
        <f t="shared" si="2"/>
        <v>Đậu</v>
      </c>
      <c r="I25" s="569" t="str">
        <f t="shared" si="3"/>
        <v>Không</v>
      </c>
      <c r="J25" s="569">
        <f t="shared" si="4"/>
        <v>4</v>
      </c>
      <c r="K25" s="542"/>
    </row>
    <row r="26" spans="1:11" ht="16.5" customHeight="1" thickBot="1" x14ac:dyDescent="0.3">
      <c r="A26" s="576" t="s">
        <v>261</v>
      </c>
      <c r="B26" s="576"/>
      <c r="C26" s="576"/>
      <c r="D26" s="576"/>
      <c r="E26" s="576"/>
      <c r="F26" s="576"/>
      <c r="G26" s="577"/>
      <c r="H26" s="577"/>
      <c r="I26" s="577"/>
      <c r="J26" s="577"/>
      <c r="K26" s="577"/>
    </row>
    <row r="27" spans="1:11" ht="15" x14ac:dyDescent="0.25">
      <c r="A27" s="578" t="s">
        <v>262</v>
      </c>
      <c r="B27" s="579"/>
      <c r="C27" s="580"/>
      <c r="D27" s="581">
        <f>COUNTA(B16:B25)</f>
        <v>10</v>
      </c>
      <c r="E27" s="582"/>
      <c r="F27" s="583"/>
      <c r="G27" s="542"/>
      <c r="H27" s="542"/>
      <c r="I27" s="542"/>
      <c r="J27" s="547"/>
      <c r="K27" s="547"/>
    </row>
    <row r="28" spans="1:11" ht="15" x14ac:dyDescent="0.25">
      <c r="A28" s="584" t="s">
        <v>1208</v>
      </c>
      <c r="B28" s="585"/>
      <c r="C28" s="586"/>
      <c r="D28" s="587" t="s">
        <v>127</v>
      </c>
      <c r="E28" s="587" t="s">
        <v>126</v>
      </c>
      <c r="F28" s="588" t="s">
        <v>124</v>
      </c>
      <c r="G28" s="542"/>
      <c r="H28" s="542"/>
      <c r="I28" s="542"/>
      <c r="J28" s="547"/>
      <c r="K28" s="547"/>
    </row>
    <row r="29" spans="1:11" ht="15" x14ac:dyDescent="0.25">
      <c r="A29" s="589"/>
      <c r="B29" s="590"/>
      <c r="C29" s="591"/>
      <c r="D29" s="592">
        <f>COUNTIF($C$16:$C$25,"SỬ")</f>
        <v>3</v>
      </c>
      <c r="E29" s="592">
        <f>COUNTIF($C$16:$C$25,"SINH")</f>
        <v>3</v>
      </c>
      <c r="F29" s="592">
        <f>COUNTIF($C$16:$C$25,"LÝ")</f>
        <v>4</v>
      </c>
      <c r="G29" s="542"/>
      <c r="H29" s="542"/>
      <c r="I29" s="542"/>
      <c r="J29" s="547"/>
      <c r="K29" s="547"/>
    </row>
    <row r="30" spans="1:11" ht="15" x14ac:dyDescent="0.25">
      <c r="A30" s="584" t="s">
        <v>264</v>
      </c>
      <c r="B30" s="585"/>
      <c r="C30" s="586"/>
      <c r="D30" s="592">
        <f>COUNTIFS($C$16:$C$25,"SỬ",$H$16:$H$25,"Rớt")</f>
        <v>1</v>
      </c>
      <c r="E30" s="592">
        <f>COUNTIFS($C$16:$C$25,"SINH",$H$16:$H$25,"Rớt")</f>
        <v>0</v>
      </c>
      <c r="F30" s="592">
        <f>COUNTIFS($C$16:$C$25,"LÝ",$H$16:$H$25,"Rớt")</f>
        <v>3</v>
      </c>
      <c r="G30" s="542"/>
      <c r="H30" s="542"/>
      <c r="I30" s="542"/>
      <c r="J30" s="547"/>
      <c r="K30" s="547"/>
    </row>
    <row r="31" spans="1:11" ht="15.75" customHeight="1" thickBot="1" x14ac:dyDescent="0.3">
      <c r="A31" s="593" t="s">
        <v>265</v>
      </c>
      <c r="B31" s="594"/>
      <c r="C31" s="595"/>
      <c r="D31" s="596">
        <f>COUNTIF(I16:I25,"Có")</f>
        <v>1</v>
      </c>
      <c r="E31" s="597"/>
      <c r="F31" s="598"/>
      <c r="G31" s="542"/>
      <c r="H31" s="542"/>
      <c r="I31" s="542"/>
      <c r="J31" s="547"/>
      <c r="K31" s="547"/>
    </row>
    <row r="32" spans="1:11" ht="18" customHeight="1" thickBot="1" x14ac:dyDescent="0.3">
      <c r="A32" s="599" t="s">
        <v>1209</v>
      </c>
      <c r="B32" s="600"/>
      <c r="C32" s="601"/>
      <c r="D32" s="602">
        <f>COUNTIF(H16:H25,"Đậu")</f>
        <v>6</v>
      </c>
      <c r="E32" s="603"/>
      <c r="F32" s="604"/>
    </row>
    <row r="33" spans="1:12" ht="16.8" x14ac:dyDescent="0.35">
      <c r="A33" s="605" t="s">
        <v>1314</v>
      </c>
      <c r="B33" s="606"/>
      <c r="C33" s="606"/>
      <c r="D33" s="606"/>
      <c r="E33" s="606"/>
      <c r="F33" s="606"/>
      <c r="G33" s="606"/>
      <c r="H33" s="606"/>
      <c r="I33" s="606"/>
      <c r="J33" s="606"/>
      <c r="K33" s="606"/>
      <c r="L33" s="606"/>
    </row>
    <row r="34" spans="1:12" ht="16.8" x14ac:dyDescent="0.35">
      <c r="A34" s="607" t="s">
        <v>1315</v>
      </c>
      <c r="B34" s="606"/>
      <c r="C34" s="606"/>
      <c r="D34" s="606"/>
      <c r="E34" s="606"/>
      <c r="F34" s="606"/>
      <c r="G34" s="606"/>
      <c r="H34" s="606"/>
      <c r="I34" s="606"/>
      <c r="J34" s="606"/>
      <c r="K34" s="606"/>
      <c r="L34" s="606"/>
    </row>
    <row r="35" spans="1:12" ht="16.8" x14ac:dyDescent="0.35">
      <c r="A35" s="607" t="s">
        <v>1210</v>
      </c>
      <c r="B35" s="606"/>
      <c r="C35" s="606"/>
      <c r="D35" s="606"/>
      <c r="E35" s="606"/>
      <c r="F35" s="606"/>
      <c r="G35" s="606"/>
      <c r="H35" s="606"/>
      <c r="I35" s="606"/>
      <c r="J35" s="606"/>
      <c r="K35" s="606"/>
      <c r="L35" s="606"/>
    </row>
    <row r="36" spans="1:12" ht="15" x14ac:dyDescent="0.25">
      <c r="A36" s="608" t="s">
        <v>1211</v>
      </c>
      <c r="B36" s="609"/>
      <c r="C36" s="609"/>
      <c r="D36" s="609"/>
      <c r="E36" s="609"/>
      <c r="F36" s="609"/>
      <c r="G36" s="609"/>
      <c r="H36" s="609"/>
      <c r="I36" s="609"/>
      <c r="J36" s="609"/>
      <c r="K36" s="609"/>
      <c r="L36" s="609"/>
    </row>
    <row r="37" spans="1:12" ht="16.8" x14ac:dyDescent="0.35">
      <c r="A37" s="610" t="s">
        <v>1212</v>
      </c>
      <c r="B37" s="606"/>
      <c r="C37" s="606"/>
      <c r="D37" s="606"/>
      <c r="E37" s="606"/>
      <c r="F37" s="606"/>
      <c r="G37" s="606"/>
      <c r="H37" s="606"/>
      <c r="I37" s="606"/>
      <c r="J37" s="606"/>
      <c r="K37" s="606"/>
      <c r="L37" s="606"/>
    </row>
    <row r="38" spans="1:12" ht="16.8" x14ac:dyDescent="0.35">
      <c r="A38" s="611" t="s">
        <v>1213</v>
      </c>
      <c r="B38" s="606"/>
      <c r="C38" s="606"/>
      <c r="D38" s="606"/>
      <c r="E38" s="606"/>
      <c r="F38" s="606"/>
      <c r="G38" s="606"/>
      <c r="H38" s="606"/>
      <c r="I38" s="606"/>
      <c r="J38" s="606"/>
      <c r="K38" s="606"/>
      <c r="L38" s="606"/>
    </row>
    <row r="39" spans="1:12" ht="15" x14ac:dyDescent="0.25">
      <c r="A39" s="612" t="s">
        <v>1214</v>
      </c>
      <c r="B39" s="613"/>
      <c r="C39" s="613"/>
      <c r="D39" s="613"/>
      <c r="E39" s="613"/>
      <c r="F39" s="613"/>
      <c r="G39" s="613"/>
      <c r="H39" s="613"/>
      <c r="I39" s="613"/>
      <c r="J39" s="613"/>
      <c r="K39" s="613"/>
      <c r="L39" s="613"/>
    </row>
    <row r="40" spans="1:12" ht="15" x14ac:dyDescent="0.25">
      <c r="A40" s="612" t="s">
        <v>1215</v>
      </c>
      <c r="B40" s="613"/>
      <c r="C40" s="613"/>
      <c r="D40" s="613"/>
      <c r="E40" s="613"/>
      <c r="F40" s="613"/>
      <c r="G40" s="613"/>
      <c r="H40" s="613"/>
      <c r="I40" s="613"/>
      <c r="J40" s="613"/>
      <c r="K40" s="613"/>
      <c r="L40" s="613"/>
    </row>
    <row r="41" spans="1:12" ht="15" x14ac:dyDescent="0.25">
      <c r="A41" s="608" t="s">
        <v>1316</v>
      </c>
      <c r="B41" s="609"/>
      <c r="C41" s="609"/>
      <c r="D41" s="609"/>
      <c r="E41" s="609"/>
      <c r="F41" s="609"/>
      <c r="G41" s="609"/>
      <c r="H41" s="609"/>
      <c r="I41" s="609"/>
      <c r="J41" s="609"/>
      <c r="K41" s="609"/>
      <c r="L41" s="609"/>
    </row>
    <row r="42" spans="1:12" ht="15" x14ac:dyDescent="0.25">
      <c r="A42" s="608" t="s">
        <v>1216</v>
      </c>
      <c r="B42" s="609"/>
      <c r="C42" s="609"/>
      <c r="D42" s="609"/>
      <c r="E42" s="609"/>
      <c r="F42" s="609"/>
      <c r="G42" s="609"/>
      <c r="H42" s="609"/>
      <c r="I42" s="609"/>
      <c r="J42" s="609"/>
      <c r="K42" s="609"/>
      <c r="L42" s="609"/>
    </row>
    <row r="43" spans="1:12" ht="16.8" x14ac:dyDescent="0.35">
      <c r="A43" s="607" t="s">
        <v>1217</v>
      </c>
      <c r="B43" s="606"/>
      <c r="C43" s="606"/>
      <c r="D43" s="606"/>
      <c r="E43" s="606"/>
      <c r="F43" s="606"/>
      <c r="G43" s="606"/>
      <c r="H43" s="606"/>
      <c r="I43" s="606"/>
      <c r="J43" s="606"/>
      <c r="K43" s="606"/>
      <c r="L43" s="606"/>
    </row>
    <row r="44" spans="1:12" ht="16.8" x14ac:dyDescent="0.35">
      <c r="A44" s="607" t="s">
        <v>1218</v>
      </c>
      <c r="B44" s="606"/>
      <c r="C44" s="606"/>
      <c r="D44" s="606"/>
      <c r="E44" s="606"/>
      <c r="F44" s="606"/>
      <c r="G44" s="606"/>
      <c r="H44" s="606"/>
      <c r="I44" s="606"/>
      <c r="J44" s="606"/>
      <c r="K44" s="606"/>
      <c r="L44" s="606"/>
    </row>
    <row r="45" spans="1:12" ht="15" x14ac:dyDescent="0.25">
      <c r="A45" s="607" t="s">
        <v>1219</v>
      </c>
    </row>
    <row r="46" spans="1:12" ht="15" x14ac:dyDescent="0.25">
      <c r="A46" s="607" t="s">
        <v>1220</v>
      </c>
    </row>
  </sheetData>
  <mergeCells count="39">
    <mergeCell ref="A39:L39"/>
    <mergeCell ref="A40:L40"/>
    <mergeCell ref="A41:L41"/>
    <mergeCell ref="A42:L42"/>
    <mergeCell ref="A31:C31"/>
    <mergeCell ref="D31:F31"/>
    <mergeCell ref="J31:K31"/>
    <mergeCell ref="A32:C32"/>
    <mergeCell ref="D32:F32"/>
    <mergeCell ref="A36:L36"/>
    <mergeCell ref="A28:C28"/>
    <mergeCell ref="J28:K28"/>
    <mergeCell ref="A29:C29"/>
    <mergeCell ref="J29:K29"/>
    <mergeCell ref="A30:C30"/>
    <mergeCell ref="J30:K30"/>
    <mergeCell ref="H14:H15"/>
    <mergeCell ref="I14:I15"/>
    <mergeCell ref="J14:J15"/>
    <mergeCell ref="A26:F26"/>
    <mergeCell ref="A27:C27"/>
    <mergeCell ref="J27:K27"/>
    <mergeCell ref="A7:D7"/>
    <mergeCell ref="A8:C8"/>
    <mergeCell ref="I11:J11"/>
    <mergeCell ref="I12:J12"/>
    <mergeCell ref="A13:K13"/>
    <mergeCell ref="A14:A15"/>
    <mergeCell ref="B14:B15"/>
    <mergeCell ref="C14:C15"/>
    <mergeCell ref="D14:F14"/>
    <mergeCell ref="G14:G15"/>
    <mergeCell ref="A1:C1"/>
    <mergeCell ref="F1:I1"/>
    <mergeCell ref="I4:J4"/>
    <mergeCell ref="E5:E6"/>
    <mergeCell ref="F5:H5"/>
    <mergeCell ref="K5:K6"/>
    <mergeCell ref="F6:H6"/>
  </mergeCells>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DINH DANG</vt:lpstr>
      <vt:lpstr>THAM CHIEU</vt:lpstr>
      <vt:lpstr>SO HOC-THONG KE</vt:lpstr>
      <vt:lpstr>IF-LOGIC</vt:lpstr>
      <vt:lpstr>THOI GIAN</vt:lpstr>
      <vt:lpstr>CHUOI</vt:lpstr>
      <vt:lpstr>DO TIM</vt:lpstr>
      <vt:lpstr>Bai Tap 1 - Co Ban</vt:lpstr>
      <vt:lpstr>Bai Tap 2 - Co Ban</vt:lpstr>
      <vt:lpstr>Bai Tap 3 - Co Ban</vt:lpstr>
      <vt:lpstr>Bai Tap 4 - Co Ban</vt:lpstr>
      <vt:lpstr>Bieu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 Hoang</dc:creator>
  <cp:lastModifiedBy>PC</cp:lastModifiedBy>
  <dcterms:created xsi:type="dcterms:W3CDTF">2004-07-28T23:57:53Z</dcterms:created>
  <dcterms:modified xsi:type="dcterms:W3CDTF">2023-04-07T00:59:08Z</dcterms:modified>
</cp:coreProperties>
</file>