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D824D9E-96C9-406B-A64B-D807320E7B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í dụ" sheetId="1" r:id="rId1"/>
    <sheet name="bài tập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Sheet1!$A$1:$J$8</definedName>
    <definedName name="_xlnm._FilterDatabase" localSheetId="3" hidden="1">Sheet2!$A$1:$K$7</definedName>
  </definedNames>
  <calcPr calcId="181029"/>
</workbook>
</file>

<file path=xl/calcChain.xml><?xml version="1.0" encoding="utf-8"?>
<calcChain xmlns="http://schemas.openxmlformats.org/spreadsheetml/2006/main">
  <c r="H120" i="2" l="1"/>
  <c r="H121" i="2"/>
  <c r="H122" i="2"/>
  <c r="H123" i="2"/>
  <c r="H124" i="2"/>
  <c r="H125" i="2"/>
  <c r="H126" i="2"/>
  <c r="H127" i="2"/>
  <c r="H128" i="2"/>
  <c r="H119" i="2"/>
  <c r="G120" i="2"/>
  <c r="G121" i="2"/>
  <c r="G122" i="2"/>
  <c r="G123" i="2"/>
  <c r="G124" i="2"/>
  <c r="G125" i="2"/>
  <c r="G126" i="2"/>
  <c r="G127" i="2"/>
  <c r="G128" i="2"/>
  <c r="G119" i="2"/>
  <c r="E120" i="2"/>
  <c r="E121" i="2"/>
  <c r="E122" i="2"/>
  <c r="E123" i="2"/>
  <c r="E124" i="2"/>
  <c r="E125" i="2"/>
  <c r="E126" i="2"/>
  <c r="E127" i="2"/>
  <c r="E128" i="2"/>
  <c r="E119" i="2"/>
  <c r="D124" i="2"/>
  <c r="D125" i="2"/>
  <c r="D126" i="2"/>
  <c r="D127" i="2"/>
  <c r="D128" i="2"/>
  <c r="D119" i="2"/>
  <c r="D120" i="2"/>
  <c r="D121" i="2"/>
  <c r="D122" i="2"/>
  <c r="D123" i="2"/>
  <c r="C120" i="2"/>
  <c r="C121" i="2"/>
  <c r="C122" i="2"/>
  <c r="C123" i="2"/>
  <c r="C124" i="2"/>
  <c r="C125" i="2"/>
  <c r="C126" i="2"/>
  <c r="C127" i="2"/>
  <c r="C128" i="2"/>
  <c r="C119" i="2"/>
  <c r="F108" i="2"/>
  <c r="F107" i="2"/>
  <c r="F106" i="2"/>
  <c r="F105" i="2"/>
  <c r="E96" i="2"/>
  <c r="E97" i="2"/>
  <c r="E98" i="2"/>
  <c r="E99" i="2"/>
  <c r="E100" i="2"/>
  <c r="E101" i="2"/>
  <c r="E102" i="2"/>
  <c r="E103" i="2"/>
  <c r="E104" i="2"/>
  <c r="E95" i="2"/>
  <c r="D95" i="2"/>
  <c r="C96" i="2"/>
  <c r="G96" i="2" s="1"/>
  <c r="C97" i="2"/>
  <c r="G97" i="2" s="1"/>
  <c r="H97" i="2" s="1"/>
  <c r="C98" i="2"/>
  <c r="G98" i="2" s="1"/>
  <c r="H98" i="2" s="1"/>
  <c r="C99" i="2"/>
  <c r="G99" i="2" s="1"/>
  <c r="H99" i="2" s="1"/>
  <c r="C100" i="2"/>
  <c r="D100" i="2" s="1"/>
  <c r="C101" i="2"/>
  <c r="I101" i="2" s="1"/>
  <c r="C102" i="2"/>
  <c r="I102" i="2" s="1"/>
  <c r="C103" i="2"/>
  <c r="D103" i="2" s="1"/>
  <c r="C104" i="2"/>
  <c r="I104" i="2" s="1"/>
  <c r="C95" i="2"/>
  <c r="I95" i="2" s="1"/>
  <c r="G80" i="2"/>
  <c r="G81" i="2"/>
  <c r="G82" i="2"/>
  <c r="G83" i="2"/>
  <c r="G84" i="2"/>
  <c r="G85" i="2"/>
  <c r="G79" i="2"/>
  <c r="E80" i="2"/>
  <c r="E81" i="2"/>
  <c r="E82" i="2"/>
  <c r="E83" i="2"/>
  <c r="E84" i="2"/>
  <c r="E85" i="2"/>
  <c r="E79" i="2"/>
  <c r="D80" i="2"/>
  <c r="D81" i="2"/>
  <c r="D82" i="2"/>
  <c r="D83" i="2"/>
  <c r="D84" i="2"/>
  <c r="D85" i="2"/>
  <c r="D79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56" i="2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56" i="2"/>
  <c r="H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I66" i="2" s="1"/>
  <c r="J66" i="2" s="1"/>
  <c r="C67" i="2"/>
  <c r="D67" i="2" s="1"/>
  <c r="C68" i="2"/>
  <c r="D68" i="2" s="1"/>
  <c r="C69" i="2"/>
  <c r="D69" i="2" s="1"/>
  <c r="C56" i="2"/>
  <c r="D56" i="2" s="1"/>
  <c r="F42" i="2"/>
  <c r="F43" i="2"/>
  <c r="F44" i="2"/>
  <c r="F45" i="2"/>
  <c r="F46" i="2"/>
  <c r="F41" i="2"/>
  <c r="C42" i="2"/>
  <c r="H42" i="2" s="1"/>
  <c r="C43" i="2"/>
  <c r="G43" i="2" s="1"/>
  <c r="C44" i="2"/>
  <c r="G44" i="2" s="1"/>
  <c r="C45" i="2"/>
  <c r="H45" i="2" s="1"/>
  <c r="C46" i="2"/>
  <c r="G46" i="2" s="1"/>
  <c r="C41" i="2"/>
  <c r="G41" i="2" s="1"/>
  <c r="I27" i="2"/>
  <c r="I25" i="2"/>
  <c r="I29" i="2"/>
  <c r="H31" i="2"/>
  <c r="H27" i="2"/>
  <c r="H26" i="2"/>
  <c r="H30" i="2"/>
  <c r="H25" i="2"/>
  <c r="H29" i="2"/>
  <c r="H28" i="2"/>
  <c r="C31" i="2"/>
  <c r="F31" i="2" s="1"/>
  <c r="G31" i="2" s="1"/>
  <c r="C27" i="2"/>
  <c r="D27" i="2" s="1"/>
  <c r="C26" i="2"/>
  <c r="D26" i="2" s="1"/>
  <c r="C30" i="2"/>
  <c r="D30" i="2" s="1"/>
  <c r="C25" i="2"/>
  <c r="F25" i="2" s="1"/>
  <c r="G25" i="2" s="1"/>
  <c r="C29" i="2"/>
  <c r="D29" i="2" s="1"/>
  <c r="C28" i="2"/>
  <c r="F28" i="2" s="1"/>
  <c r="G28" i="2" s="1"/>
  <c r="I28" i="2" s="1"/>
  <c r="C5" i="2"/>
  <c r="F5" i="2" s="1"/>
  <c r="G5" i="2" s="1"/>
  <c r="C6" i="2"/>
  <c r="F6" i="2" s="1"/>
  <c r="G6" i="2" s="1"/>
  <c r="C7" i="2"/>
  <c r="F7" i="2" s="1"/>
  <c r="G7" i="2" s="1"/>
  <c r="C8" i="2"/>
  <c r="D8" i="2" s="1"/>
  <c r="C9" i="2"/>
  <c r="F9" i="2" s="1"/>
  <c r="G9" i="2" s="1"/>
  <c r="C10" i="2"/>
  <c r="D10" i="2" s="1"/>
  <c r="C11" i="2"/>
  <c r="D11" i="2" s="1"/>
  <c r="C4" i="2"/>
  <c r="F4" i="2" s="1"/>
  <c r="E14" i="2"/>
  <c r="E13" i="2"/>
  <c r="E12" i="2"/>
  <c r="C57" i="1"/>
  <c r="C56" i="1"/>
  <c r="C55" i="1"/>
  <c r="C54" i="1"/>
  <c r="C53" i="1"/>
  <c r="C52" i="1"/>
  <c r="C51" i="1"/>
  <c r="C50" i="1"/>
  <c r="C47" i="1"/>
  <c r="E47" i="1" s="1"/>
  <c r="B47" i="1"/>
  <c r="C46" i="1"/>
  <c r="E46" i="1" s="1"/>
  <c r="B46" i="1"/>
  <c r="C45" i="1"/>
  <c r="E45" i="1" s="1"/>
  <c r="B45" i="1"/>
  <c r="C44" i="1"/>
  <c r="E44" i="1" s="1"/>
  <c r="B44" i="1"/>
  <c r="C43" i="1"/>
  <c r="E43" i="1" s="1"/>
  <c r="B43" i="1"/>
  <c r="C42" i="1"/>
  <c r="E42" i="1" s="1"/>
  <c r="B42" i="1"/>
  <c r="C38" i="1"/>
  <c r="B38" i="1"/>
  <c r="C37" i="1"/>
  <c r="B37" i="1"/>
  <c r="C36" i="1"/>
  <c r="B36" i="1"/>
  <c r="C35" i="1"/>
  <c r="B35" i="1"/>
  <c r="C34" i="1"/>
  <c r="B34" i="1"/>
  <c r="E30" i="1"/>
  <c r="D30" i="1"/>
  <c r="C30" i="1"/>
  <c r="B30" i="1"/>
  <c r="D29" i="1"/>
  <c r="C29" i="1"/>
  <c r="E29" i="1" s="1"/>
  <c r="B29" i="1"/>
  <c r="D28" i="1"/>
  <c r="C28" i="1"/>
  <c r="E28" i="1" s="1"/>
  <c r="B28" i="1"/>
  <c r="D27" i="1"/>
  <c r="C27" i="1"/>
  <c r="E27" i="1" s="1"/>
  <c r="B27" i="1"/>
  <c r="E26" i="1"/>
  <c r="D26" i="1"/>
  <c r="C26" i="1"/>
  <c r="B26" i="1"/>
  <c r="B23" i="1"/>
  <c r="B22" i="1"/>
  <c r="B21" i="1"/>
  <c r="B20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I56" i="2" l="1"/>
  <c r="J56" i="2" s="1"/>
  <c r="I62" i="2"/>
  <c r="J62" i="2" s="1"/>
  <c r="I61" i="2"/>
  <c r="J61" i="2" s="1"/>
  <c r="G95" i="2"/>
  <c r="F82" i="2"/>
  <c r="H82" i="2" s="1"/>
  <c r="I82" i="2" s="1"/>
  <c r="J82" i="2" s="1"/>
  <c r="I69" i="2"/>
  <c r="J69" i="2" s="1"/>
  <c r="F81" i="2"/>
  <c r="H81" i="2" s="1"/>
  <c r="I81" i="2" s="1"/>
  <c r="J81" i="2" s="1"/>
  <c r="I68" i="2"/>
  <c r="J68" i="2" s="1"/>
  <c r="I67" i="2"/>
  <c r="J67" i="2" s="1"/>
  <c r="H96" i="2"/>
  <c r="I96" i="2" s="1"/>
  <c r="I99" i="2"/>
  <c r="G104" i="2"/>
  <c r="H104" i="2" s="1"/>
  <c r="J104" i="2" s="1"/>
  <c r="I98" i="2"/>
  <c r="J98" i="2" s="1"/>
  <c r="G103" i="2"/>
  <c r="H103" i="2" s="1"/>
  <c r="I97" i="2"/>
  <c r="J97" i="2" s="1"/>
  <c r="D104" i="2"/>
  <c r="G102" i="2"/>
  <c r="H102" i="2" s="1"/>
  <c r="J102" i="2" s="1"/>
  <c r="I58" i="2"/>
  <c r="J58" i="2" s="1"/>
  <c r="F80" i="2"/>
  <c r="H80" i="2" s="1"/>
  <c r="I80" i="2" s="1"/>
  <c r="J80" i="2" s="1"/>
  <c r="D102" i="2"/>
  <c r="G101" i="2"/>
  <c r="H101" i="2" s="1"/>
  <c r="J101" i="2" s="1"/>
  <c r="I57" i="2"/>
  <c r="J57" i="2" s="1"/>
  <c r="D101" i="2"/>
  <c r="G100" i="2"/>
  <c r="H100" i="2" s="1"/>
  <c r="I100" i="2" s="1"/>
  <c r="D99" i="2"/>
  <c r="D98" i="2"/>
  <c r="D97" i="2"/>
  <c r="I65" i="2"/>
  <c r="J65" i="2" s="1"/>
  <c r="I64" i="2"/>
  <c r="J64" i="2" s="1"/>
  <c r="I63" i="2"/>
  <c r="J63" i="2" s="1"/>
  <c r="F84" i="2"/>
  <c r="H84" i="2" s="1"/>
  <c r="I84" i="2" s="1"/>
  <c r="J84" i="2" s="1"/>
  <c r="F8" i="2"/>
  <c r="G8" i="2" s="1"/>
  <c r="H8" i="2" s="1"/>
  <c r="F83" i="2"/>
  <c r="H83" i="2" s="1"/>
  <c r="I83" i="2" s="1"/>
  <c r="J83" i="2" s="1"/>
  <c r="I60" i="2"/>
  <c r="J60" i="2" s="1"/>
  <c r="I59" i="2"/>
  <c r="J59" i="2" s="1"/>
  <c r="D96" i="2"/>
  <c r="H41" i="2"/>
  <c r="J41" i="2" s="1"/>
  <c r="F79" i="2"/>
  <c r="H79" i="2" s="1"/>
  <c r="I79" i="2" s="1"/>
  <c r="J79" i="2" s="1"/>
  <c r="F85" i="2"/>
  <c r="H85" i="2" s="1"/>
  <c r="I85" i="2" s="1"/>
  <c r="J85" i="2" s="1"/>
  <c r="H95" i="2"/>
  <c r="G45" i="2"/>
  <c r="I45" i="2" s="1"/>
  <c r="K45" i="2" s="1"/>
  <c r="G42" i="2"/>
  <c r="I42" i="2" s="1"/>
  <c r="K42" i="2" s="1"/>
  <c r="D9" i="2"/>
  <c r="H44" i="2"/>
  <c r="J44" i="2" s="1"/>
  <c r="H46" i="2"/>
  <c r="J46" i="2" s="1"/>
  <c r="H43" i="2"/>
  <c r="J43" i="2" s="1"/>
  <c r="F11" i="2"/>
  <c r="G11" i="2" s="1"/>
  <c r="H11" i="2" s="1"/>
  <c r="I11" i="2" s="1"/>
  <c r="F10" i="2"/>
  <c r="G10" i="2" s="1"/>
  <c r="H10" i="2" s="1"/>
  <c r="I10" i="2" s="1"/>
  <c r="I41" i="2"/>
  <c r="I46" i="2"/>
  <c r="K46" i="2" s="1"/>
  <c r="D5" i="2"/>
  <c r="I44" i="2"/>
  <c r="D7" i="2"/>
  <c r="D6" i="2"/>
  <c r="I43" i="2"/>
  <c r="K43" i="2" s="1"/>
  <c r="H9" i="2"/>
  <c r="I9" i="2" s="1"/>
  <c r="G4" i="2"/>
  <c r="H7" i="2"/>
  <c r="I7" i="2"/>
  <c r="H5" i="2"/>
  <c r="I5" i="2" s="1"/>
  <c r="H6" i="2"/>
  <c r="I6" i="2" s="1"/>
  <c r="D28" i="2"/>
  <c r="D25" i="2"/>
  <c r="D31" i="2"/>
  <c r="F29" i="2"/>
  <c r="G29" i="2" s="1"/>
  <c r="J29" i="2" s="1"/>
  <c r="D4" i="2"/>
  <c r="J25" i="2"/>
  <c r="I31" i="2"/>
  <c r="J31" i="2" s="1"/>
  <c r="F30" i="2"/>
  <c r="G30" i="2" s="1"/>
  <c r="F26" i="2"/>
  <c r="G26" i="2" s="1"/>
  <c r="J28" i="2"/>
  <c r="F27" i="2"/>
  <c r="G27" i="2" s="1"/>
  <c r="J27" i="2" s="1"/>
  <c r="D42" i="1"/>
  <c r="D44" i="1"/>
  <c r="D46" i="1"/>
  <c r="D43" i="1"/>
  <c r="D45" i="1"/>
  <c r="D47" i="1"/>
  <c r="I8" i="2" l="1"/>
  <c r="K41" i="2"/>
  <c r="F13" i="2"/>
  <c r="F14" i="2"/>
  <c r="G13" i="2"/>
  <c r="G107" i="2"/>
  <c r="G106" i="2"/>
  <c r="H112" i="2"/>
  <c r="G112" i="2"/>
  <c r="F112" i="2"/>
  <c r="J42" i="2"/>
  <c r="I103" i="2"/>
  <c r="I108" i="2" s="1"/>
  <c r="K44" i="2"/>
  <c r="I106" i="2"/>
  <c r="G105" i="2"/>
  <c r="H105" i="2"/>
  <c r="J96" i="2"/>
  <c r="H108" i="2"/>
  <c r="H107" i="2"/>
  <c r="J95" i="2"/>
  <c r="H106" i="2"/>
  <c r="G108" i="2"/>
  <c r="J100" i="2"/>
  <c r="J99" i="2"/>
  <c r="J45" i="2"/>
  <c r="G14" i="2"/>
  <c r="G12" i="2"/>
  <c r="F12" i="2"/>
  <c r="G21" i="2"/>
  <c r="G20" i="2"/>
  <c r="G19" i="2"/>
  <c r="H4" i="2"/>
  <c r="I26" i="2"/>
  <c r="J26" i="2" s="1"/>
  <c r="I30" i="2"/>
  <c r="J30" i="2" s="1"/>
  <c r="I105" i="2" l="1"/>
  <c r="J103" i="2"/>
  <c r="J106" i="2" s="1"/>
  <c r="J105" i="2"/>
  <c r="J108" i="2"/>
  <c r="I107" i="2"/>
  <c r="H12" i="2"/>
  <c r="H13" i="2"/>
  <c r="H14" i="2"/>
  <c r="I4" i="2"/>
  <c r="J107" i="2" l="1"/>
  <c r="G18" i="2"/>
  <c r="I12" i="2"/>
  <c r="I14" i="2"/>
  <c r="I13" i="2"/>
</calcChain>
</file>

<file path=xl/sharedStrings.xml><?xml version="1.0" encoding="utf-8"?>
<sst xmlns="http://schemas.openxmlformats.org/spreadsheetml/2006/main" count="531" uniqueCount="370">
  <si>
    <t>Bảng 1</t>
  </si>
  <si>
    <t>MaTB</t>
  </si>
  <si>
    <t>Tên hàng</t>
  </si>
  <si>
    <t>Đơn giá</t>
  </si>
  <si>
    <t>Bảng phụ</t>
  </si>
  <si>
    <t>MB</t>
  </si>
  <si>
    <t>Mã hàng</t>
  </si>
  <si>
    <t>MO</t>
  </si>
  <si>
    <t>KB</t>
  </si>
  <si>
    <t>Bàn phím</t>
  </si>
  <si>
    <t>Bo mạch chủ</t>
  </si>
  <si>
    <t>Màn hình</t>
  </si>
  <si>
    <t>Ma NV</t>
  </si>
  <si>
    <t>Tên</t>
  </si>
  <si>
    <t>Ngạch</t>
  </si>
  <si>
    <t>LCB</t>
  </si>
  <si>
    <t>Mã</t>
  </si>
  <si>
    <t>NV101</t>
  </si>
  <si>
    <t>Anh</t>
  </si>
  <si>
    <t>CV</t>
  </si>
  <si>
    <t>Chuyên viên</t>
  </si>
  <si>
    <t>NV102</t>
  </si>
  <si>
    <t>Ha</t>
  </si>
  <si>
    <t>NV</t>
  </si>
  <si>
    <t>Nhân viên</t>
  </si>
  <si>
    <t>NV203</t>
  </si>
  <si>
    <t>Dũng</t>
  </si>
  <si>
    <t>KT</t>
  </si>
  <si>
    <t>Kĩ thuật</t>
  </si>
  <si>
    <t>CV206</t>
  </si>
  <si>
    <t>Lâm</t>
  </si>
  <si>
    <t>CV410</t>
  </si>
  <si>
    <t>Minh</t>
  </si>
  <si>
    <t>KT315</t>
  </si>
  <si>
    <t>Lan</t>
  </si>
  <si>
    <t>MaHD</t>
  </si>
  <si>
    <t>Tên kho</t>
  </si>
  <si>
    <t>Mã kho</t>
  </si>
  <si>
    <t>01TA12</t>
  </si>
  <si>
    <t>Quận 1</t>
  </si>
  <si>
    <t>02DX13</t>
  </si>
  <si>
    <t>Quận 2</t>
  </si>
  <si>
    <t>03BI21</t>
  </si>
  <si>
    <t>Quận 3</t>
  </si>
  <si>
    <t>04NO13</t>
  </si>
  <si>
    <t>Mã HĐ</t>
  </si>
  <si>
    <t>Số lượng</t>
  </si>
  <si>
    <t>Hệ số</t>
  </si>
  <si>
    <t>Giá sỉ</t>
  </si>
  <si>
    <t>Giá lẻ</t>
  </si>
  <si>
    <t>B021</t>
  </si>
  <si>
    <t>B</t>
  </si>
  <si>
    <t>Bàn ủi</t>
  </si>
  <si>
    <t>T032</t>
  </si>
  <si>
    <t>N</t>
  </si>
  <si>
    <t>Nồi điện</t>
  </si>
  <si>
    <t>B152</t>
  </si>
  <si>
    <t>T</t>
  </si>
  <si>
    <t>Tủ lạnh</t>
  </si>
  <si>
    <t>N031</t>
  </si>
  <si>
    <t>M</t>
  </si>
  <si>
    <t>Máy lạnh</t>
  </si>
  <si>
    <t>M203</t>
  </si>
  <si>
    <t>HD</t>
  </si>
  <si>
    <t>VC</t>
  </si>
  <si>
    <t>CD</t>
  </si>
  <si>
    <t>Tên thiết bị</t>
  </si>
  <si>
    <t>Video card</t>
  </si>
  <si>
    <t>HDD</t>
  </si>
  <si>
    <t>CDRW</t>
  </si>
  <si>
    <t>Bảng chính</t>
  </si>
  <si>
    <t>Bảng hệ số</t>
  </si>
  <si>
    <t>Tỉ lệ thuế</t>
  </si>
  <si>
    <t>Tỉ lệ giảm</t>
  </si>
  <si>
    <t>M014</t>
  </si>
  <si>
    <t>ĐTB</t>
  </si>
  <si>
    <t>Xếp loại</t>
  </si>
  <si>
    <t>Yếu</t>
  </si>
  <si>
    <t>TB</t>
  </si>
  <si>
    <t>Dân</t>
  </si>
  <si>
    <t>Khá</t>
  </si>
  <si>
    <t>Khang</t>
  </si>
  <si>
    <t>Giỏi</t>
  </si>
  <si>
    <t>Lê</t>
  </si>
  <si>
    <t>Bình</t>
  </si>
  <si>
    <t>Linh</t>
  </si>
  <si>
    <t>Sang</t>
  </si>
  <si>
    <t>HÓA ĐƠN BÁN HÀNG</t>
  </si>
  <si>
    <t>STT</t>
  </si>
  <si>
    <t>Mặt hàng</t>
  </si>
  <si>
    <t>Số lượng - Giá cả</t>
  </si>
  <si>
    <t>Tiền nhập</t>
  </si>
  <si>
    <t>Tiền xuất</t>
  </si>
  <si>
    <t>Thuế VAT</t>
  </si>
  <si>
    <t>Lợi nhuận</t>
  </si>
  <si>
    <t>KB001</t>
  </si>
  <si>
    <t>KB002</t>
  </si>
  <si>
    <t>MO001</t>
  </si>
  <si>
    <t>FD001</t>
  </si>
  <si>
    <t>HD001</t>
  </si>
  <si>
    <t>MO002</t>
  </si>
  <si>
    <t>FD003</t>
  </si>
  <si>
    <t>HD003</t>
  </si>
  <si>
    <t>Thấp nhất</t>
  </si>
  <si>
    <t>Cao nhất</t>
  </si>
  <si>
    <t>Tổng cộng</t>
  </si>
  <si>
    <t>Giá nhập</t>
  </si>
  <si>
    <t>FD</t>
  </si>
  <si>
    <t>Keyboard</t>
  </si>
  <si>
    <t>Hard Disk</t>
  </si>
  <si>
    <t>Monitor</t>
  </si>
  <si>
    <t>Floppy</t>
  </si>
  <si>
    <t>Bảng giá nhập</t>
  </si>
  <si>
    <t>Bảng thống kê</t>
  </si>
  <si>
    <t>HÓA ĐƠN BÁN SÁCH</t>
  </si>
  <si>
    <t>MSHH</t>
  </si>
  <si>
    <t>TÊN SÁCH</t>
  </si>
  <si>
    <t>MÃ SÁCH</t>
  </si>
  <si>
    <t>LOẠI SÁCH</t>
  </si>
  <si>
    <t>SỐ LƯỢNG</t>
  </si>
  <si>
    <t>ĐƠN GIÁ</t>
  </si>
  <si>
    <t>THÀNH TIỀN</t>
  </si>
  <si>
    <t>PHÍ VẬN CHUYỂN</t>
  </si>
  <si>
    <t>TIỀN GIẢM</t>
  </si>
  <si>
    <t>A0G2</t>
  </si>
  <si>
    <t>A1G2</t>
  </si>
  <si>
    <t>C0T2</t>
  </si>
  <si>
    <t>BOK1</t>
  </si>
  <si>
    <t>A2G2</t>
  </si>
  <si>
    <t>D1K1</t>
  </si>
  <si>
    <t>C1T2</t>
  </si>
  <si>
    <t>Đại số 11</t>
  </si>
  <si>
    <t>Quang học 11</t>
  </si>
  <si>
    <t>Giàn Thiên Lý</t>
  </si>
  <si>
    <t>Dạy Toán 6</t>
  </si>
  <si>
    <t>Văn Học 12</t>
  </si>
  <si>
    <t>Tâm Lý HS</t>
  </si>
  <si>
    <t>Thủy Hữ</t>
  </si>
  <si>
    <t>BẢNG LOẠI SÁCH</t>
  </si>
  <si>
    <t>PHÍ</t>
  </si>
  <si>
    <t>BẢNG PHÍ VẬN CHUYỂN</t>
  </si>
  <si>
    <t>G</t>
  </si>
  <si>
    <t>K</t>
  </si>
  <si>
    <t>Giáo khoa</t>
  </si>
  <si>
    <t>Truyện</t>
  </si>
  <si>
    <t>Tham khảo</t>
  </si>
  <si>
    <t>PHẢI TRẢ</t>
  </si>
  <si>
    <t>BẢNG THANH TOÁN TIỀN ĐIỆN THÁNG 10/2003</t>
  </si>
  <si>
    <t>MÃ KH</t>
  </si>
  <si>
    <t>HỌ TÊN KH</t>
  </si>
  <si>
    <t>LOẠI HỘ</t>
  </si>
  <si>
    <t>CS CŨ</t>
  </si>
  <si>
    <t>CS MỚI</t>
  </si>
  <si>
    <t>TIÊU THỤ</t>
  </si>
  <si>
    <t>ĐỊNH MỨC</t>
  </si>
  <si>
    <t>SỐ KW VƯỢT ĐM</t>
  </si>
  <si>
    <t>TIỀN TRONG ĐM</t>
  </si>
  <si>
    <t>TIỀN VƯỢT ĐM</t>
  </si>
  <si>
    <t>ND001</t>
  </si>
  <si>
    <t>ND002</t>
  </si>
  <si>
    <t>SX003</t>
  </si>
  <si>
    <t>SX004</t>
  </si>
  <si>
    <t>KD005</t>
  </si>
  <si>
    <t>KD006</t>
  </si>
  <si>
    <t>Lê Anh</t>
  </si>
  <si>
    <t>Lý Bảo</t>
  </si>
  <si>
    <t>Hà Cúc</t>
  </si>
  <si>
    <t>Tôn Vũ</t>
  </si>
  <si>
    <t>Lý Nhân</t>
  </si>
  <si>
    <t>Lê Cam</t>
  </si>
  <si>
    <t>Bảng 1: Định mức và đơn giá</t>
  </si>
  <si>
    <t>ND</t>
  </si>
  <si>
    <t>SX</t>
  </si>
  <si>
    <t>KD</t>
  </si>
  <si>
    <t>Bảng 2: Hệ số vượt</t>
  </si>
  <si>
    <t>Số KW vượt ĐM</t>
  </si>
  <si>
    <t>Hệ số vượt</t>
  </si>
  <si>
    <t>Tú Anh</t>
  </si>
  <si>
    <t>Đà Lạt</t>
  </si>
  <si>
    <t>Tiền ăn(USD)</t>
  </si>
  <si>
    <t>Loại KS</t>
  </si>
  <si>
    <t>Số ngày ở</t>
  </si>
  <si>
    <t>Tiền ăn</t>
  </si>
  <si>
    <t>Phí bảo hiểm</t>
  </si>
  <si>
    <t>Mã nơi đến</t>
  </si>
  <si>
    <t>Tỉ giá USD</t>
  </si>
  <si>
    <t>Bậc</t>
  </si>
  <si>
    <t>Lương</t>
  </si>
  <si>
    <t>Còn lại</t>
  </si>
  <si>
    <t>A</t>
  </si>
  <si>
    <t>Tôn Vũ Bắc</t>
  </si>
  <si>
    <t>NV3-014</t>
  </si>
  <si>
    <t>1</t>
  </si>
  <si>
    <t>2</t>
  </si>
  <si>
    <t>3</t>
  </si>
  <si>
    <t>4</t>
  </si>
  <si>
    <t>BẢNG LƯƠNG THÁNG 1 - 2005</t>
  </si>
  <si>
    <t>MÃ NV</t>
  </si>
  <si>
    <t>Họ và tên</t>
  </si>
  <si>
    <t>Mã ngạch</t>
  </si>
  <si>
    <t>Thưởng</t>
  </si>
  <si>
    <t>Thuế</t>
  </si>
  <si>
    <t>Lê Phương Nam</t>
  </si>
  <si>
    <t>Tô Vân Long</t>
  </si>
  <si>
    <t>Dương Tô Phong</t>
  </si>
  <si>
    <t>Hàn Việt Vân</t>
  </si>
  <si>
    <t>Huỳnh Lê Nhật</t>
  </si>
  <si>
    <t>Lê Hải Nguyệt</t>
  </si>
  <si>
    <t>C</t>
  </si>
  <si>
    <r>
      <rPr>
        <sz val="11"/>
        <rFont val="Segoe UI"/>
        <family val="2"/>
      </rPr>
      <t>LD3-001</t>
    </r>
  </si>
  <si>
    <r>
      <rPr>
        <sz val="11"/>
        <rFont val="Segoe UI"/>
        <family val="2"/>
      </rPr>
      <t>LD2-002</t>
    </r>
  </si>
  <si>
    <r>
      <rPr>
        <sz val="11"/>
        <rFont val="Segoe UI"/>
        <family val="2"/>
      </rPr>
      <t>CV3-005</t>
    </r>
  </si>
  <si>
    <r>
      <rPr>
        <sz val="11"/>
        <rFont val="Segoe UI"/>
        <family val="2"/>
      </rPr>
      <t>CV1-007</t>
    </r>
  </si>
  <si>
    <r>
      <rPr>
        <sz val="11"/>
        <rFont val="Segoe UI"/>
        <family val="2"/>
      </rPr>
      <t>NV1-008</t>
    </r>
  </si>
  <si>
    <r>
      <rPr>
        <sz val="11"/>
        <rFont val="Segoe UI"/>
        <family val="2"/>
      </rPr>
      <t>NV2-013</t>
    </r>
  </si>
  <si>
    <r>
      <rPr>
        <b/>
        <sz val="11"/>
        <rFont val="Arial"/>
        <family val="2"/>
      </rPr>
      <t>Mã khách</t>
    </r>
  </si>
  <si>
    <r>
      <rPr>
        <b/>
        <sz val="11"/>
        <rFont val="Arial"/>
        <family val="2"/>
      </rPr>
      <t>Tên</t>
    </r>
  </si>
  <si>
    <r>
      <rPr>
        <b/>
        <sz val="11"/>
        <rFont val="Arial"/>
        <family val="2"/>
      </rPr>
      <t>Đơn giá</t>
    </r>
  </si>
  <si>
    <r>
      <rPr>
        <b/>
        <sz val="11"/>
        <rFont val="Arial"/>
        <family val="2"/>
      </rPr>
      <t>Nơi đến</t>
    </r>
  </si>
  <si>
    <r>
      <rPr>
        <b/>
        <sz val="11"/>
        <rFont val="Arial"/>
        <family val="2"/>
      </rPr>
      <t>Thành tiền USD</t>
    </r>
  </si>
  <si>
    <r>
      <rPr>
        <b/>
        <sz val="11"/>
        <rFont val="Arial"/>
        <family val="2"/>
      </rPr>
      <t>Thành tiền VND</t>
    </r>
  </si>
  <si>
    <r>
      <rPr>
        <sz val="11"/>
        <rFont val="Arial"/>
        <family val="2"/>
      </rPr>
      <t>NHA-1SAO-01</t>
    </r>
  </si>
  <si>
    <r>
      <rPr>
        <sz val="11"/>
        <rFont val="Arial"/>
        <family val="2"/>
      </rPr>
      <t>NHA-MINI-03</t>
    </r>
  </si>
  <si>
    <r>
      <rPr>
        <sz val="11"/>
        <rFont val="Arial"/>
        <family val="2"/>
      </rPr>
      <t>Minh Thư</t>
    </r>
  </si>
  <si>
    <r>
      <rPr>
        <sz val="11"/>
        <rFont val="Arial"/>
        <family val="2"/>
      </rPr>
      <t>NHA-1SAO-04</t>
    </r>
  </si>
  <si>
    <r>
      <rPr>
        <sz val="11"/>
        <rFont val="Arial"/>
        <family val="2"/>
      </rPr>
      <t>Lan Anh</t>
    </r>
  </si>
  <si>
    <r>
      <rPr>
        <sz val="11"/>
        <rFont val="Arial"/>
        <family val="2"/>
      </rPr>
      <t>NHA-2SAO-11</t>
    </r>
  </si>
  <si>
    <r>
      <rPr>
        <sz val="11"/>
        <rFont val="Arial"/>
        <family val="2"/>
      </rPr>
      <t>Bão Long</t>
    </r>
  </si>
  <si>
    <r>
      <rPr>
        <sz val="11"/>
        <rFont val="Arial"/>
        <family val="2"/>
      </rPr>
      <t>NHA-MINI-15</t>
    </r>
  </si>
  <si>
    <r>
      <rPr>
        <sz val="11"/>
        <rFont val="Arial"/>
        <family val="2"/>
      </rPr>
      <t>Yến Linh</t>
    </r>
  </si>
  <si>
    <r>
      <rPr>
        <sz val="11"/>
        <rFont val="Arial"/>
        <family val="2"/>
      </rPr>
      <t>DAL-MINI-14</t>
    </r>
  </si>
  <si>
    <r>
      <rPr>
        <sz val="11"/>
        <rFont val="Arial"/>
        <family val="2"/>
      </rPr>
      <t>Hòang An</t>
    </r>
  </si>
  <si>
    <r>
      <rPr>
        <sz val="11"/>
        <rFont val="Arial"/>
        <family val="2"/>
      </rPr>
      <t>DAL-MINI-12</t>
    </r>
  </si>
  <si>
    <r>
      <rPr>
        <sz val="11"/>
        <rFont val="Arial"/>
        <family val="2"/>
      </rPr>
      <t>YếnTrang</t>
    </r>
  </si>
  <si>
    <r>
      <rPr>
        <sz val="11"/>
        <rFont val="Arial"/>
        <family val="2"/>
      </rPr>
      <t>DAL-2SAO-34</t>
    </r>
  </si>
  <si>
    <r>
      <rPr>
        <sz val="11"/>
        <rFont val="Arial"/>
        <family val="2"/>
      </rPr>
      <t>Phương Tú</t>
    </r>
  </si>
  <si>
    <r>
      <rPr>
        <sz val="11"/>
        <rFont val="Arial"/>
        <family val="2"/>
      </rPr>
      <t>DAL-2SAO-23</t>
    </r>
  </si>
  <si>
    <r>
      <rPr>
        <sz val="11"/>
        <rFont val="Arial"/>
        <family val="2"/>
      </rPr>
      <t>Anh Thư</t>
    </r>
  </si>
  <si>
    <r>
      <rPr>
        <sz val="11"/>
        <rFont val="Arial"/>
        <family val="2"/>
      </rPr>
      <t>DAL-3SAO-16</t>
    </r>
  </si>
  <si>
    <r>
      <rPr>
        <sz val="11"/>
        <rFont val="Arial"/>
        <family val="2"/>
      </rPr>
      <t>Vàn Minh</t>
    </r>
  </si>
  <si>
    <r>
      <rPr>
        <sz val="11"/>
        <rFont val="Arial"/>
        <family val="2"/>
      </rPr>
      <t>HUE-1SAO-15</t>
    </r>
  </si>
  <si>
    <r>
      <rPr>
        <sz val="11"/>
        <rFont val="Arial"/>
        <family val="2"/>
      </rPr>
      <t>An Binh</t>
    </r>
  </si>
  <si>
    <r>
      <rPr>
        <sz val="11"/>
        <rFont val="Arial"/>
        <family val="2"/>
      </rPr>
      <t>HUE-3SAO-36</t>
    </r>
  </si>
  <si>
    <r>
      <rPr>
        <sz val="11"/>
        <rFont val="Arial"/>
        <family val="2"/>
      </rPr>
      <t>Tần Hùng</t>
    </r>
  </si>
  <si>
    <r>
      <rPr>
        <sz val="11"/>
        <rFont val="Arial"/>
        <family val="2"/>
      </rPr>
      <t>HUE-3SAO-10</t>
    </r>
  </si>
  <si>
    <r>
      <rPr>
        <sz val="11"/>
        <rFont val="Arial"/>
        <family val="2"/>
      </rPr>
      <t>Ouòc Trung</t>
    </r>
  </si>
  <si>
    <r>
      <rPr>
        <sz val="11"/>
        <rFont val="Arial"/>
        <family val="2"/>
      </rPr>
      <t>HUE-2SAO-19</t>
    </r>
  </si>
  <si>
    <r>
      <rPr>
        <sz val="11"/>
        <rFont val="Arial"/>
        <family val="2"/>
      </rPr>
      <t>Hùng Lân</t>
    </r>
  </si>
  <si>
    <r>
      <rPr>
        <b/>
        <sz val="11"/>
        <rFont val="Arial"/>
        <family val="2"/>
      </rPr>
      <t>Bàng phụ 1</t>
    </r>
  </si>
  <si>
    <r>
      <rPr>
        <b/>
        <sz val="11"/>
        <rFont val="Arial"/>
        <family val="2"/>
      </rPr>
      <t>Bảng phụ 2</t>
    </r>
  </si>
  <si>
    <r>
      <rPr>
        <b/>
        <sz val="11"/>
        <rFont val="Arial"/>
        <family val="2"/>
      </rPr>
      <t>Lọai KS</t>
    </r>
  </si>
  <si>
    <r>
      <rPr>
        <b/>
        <sz val="11"/>
        <rFont val="Arial"/>
        <family val="2"/>
      </rPr>
      <t>Đơn giá ngày</t>
    </r>
  </si>
  <si>
    <r>
      <rPr>
        <b/>
        <sz val="11"/>
        <rFont val="Arial"/>
        <family val="2"/>
      </rPr>
      <t>Số ngày ở</t>
    </r>
  </si>
  <si>
    <r>
      <rPr>
        <sz val="11"/>
        <rFont val="Arial"/>
        <family val="2"/>
      </rPr>
      <t>MINI</t>
    </r>
  </si>
  <si>
    <r>
      <rPr>
        <sz val="11"/>
        <rFont val="Palatino Linotype"/>
        <family val="1"/>
      </rPr>
      <t>5</t>
    </r>
  </si>
  <si>
    <r>
      <rPr>
        <sz val="11"/>
        <rFont val="Arial"/>
        <family val="2"/>
      </rPr>
      <t>DAL</t>
    </r>
  </si>
  <si>
    <r>
      <rPr>
        <sz val="11"/>
        <rFont val="Palatino Linotype"/>
        <family val="1"/>
      </rPr>
      <t>3</t>
    </r>
  </si>
  <si>
    <r>
      <rPr>
        <sz val="11"/>
        <rFont val="Arial"/>
        <family val="2"/>
      </rPr>
      <t>15</t>
    </r>
  </si>
  <si>
    <r>
      <rPr>
        <sz val="11"/>
        <rFont val="Arial"/>
        <family val="2"/>
      </rPr>
      <t>1SAO</t>
    </r>
  </si>
  <si>
    <r>
      <rPr>
        <sz val="11"/>
        <rFont val="Palatino Linotype"/>
        <family val="1"/>
      </rPr>
      <t>8</t>
    </r>
  </si>
  <si>
    <r>
      <rPr>
        <sz val="11"/>
        <rFont val="Arial"/>
        <family val="2"/>
      </rPr>
      <t>NHA</t>
    </r>
  </si>
  <si>
    <r>
      <rPr>
        <sz val="11"/>
        <rFont val="Arial"/>
        <family val="2"/>
      </rPr>
      <t>Nha trang</t>
    </r>
  </si>
  <si>
    <r>
      <rPr>
        <sz val="11"/>
        <rFont val="Arial"/>
        <family val="2"/>
      </rPr>
      <t>4</t>
    </r>
  </si>
  <si>
    <r>
      <rPr>
        <sz val="11"/>
        <rFont val="Palatino Linotype"/>
        <family val="1"/>
      </rPr>
      <t>22</t>
    </r>
  </si>
  <si>
    <r>
      <rPr>
        <sz val="11"/>
        <rFont val="Arial"/>
        <family val="2"/>
      </rPr>
      <t>2SAO</t>
    </r>
  </si>
  <si>
    <r>
      <rPr>
        <sz val="11"/>
        <rFont val="Palatino Linotype"/>
        <family val="1"/>
      </rPr>
      <t>12</t>
    </r>
  </si>
  <si>
    <r>
      <rPr>
        <sz val="11"/>
        <rFont val="Arial"/>
        <family val="2"/>
      </rPr>
      <t>HUE</t>
    </r>
  </si>
  <si>
    <r>
      <rPr>
        <sz val="11"/>
        <rFont val="Arial"/>
        <family val="2"/>
      </rPr>
      <t>Huế</t>
    </r>
  </si>
  <si>
    <r>
      <rPr>
        <sz val="11"/>
        <rFont val="Palatino Linotype"/>
        <family val="1"/>
      </rPr>
      <t>6</t>
    </r>
  </si>
  <si>
    <r>
      <rPr>
        <sz val="11"/>
        <rFont val="Palatino Linotype"/>
        <family val="1"/>
      </rPr>
      <t>27</t>
    </r>
  </si>
  <si>
    <r>
      <rPr>
        <sz val="11"/>
        <rFont val="Arial"/>
        <family val="2"/>
      </rPr>
      <t>3SAO</t>
    </r>
  </si>
  <si>
    <r>
      <rPr>
        <sz val="11"/>
        <rFont val="Palatino Linotype"/>
        <family val="1"/>
      </rPr>
      <t>17</t>
    </r>
  </si>
  <si>
    <r>
      <rPr>
        <b/>
        <sz val="11"/>
        <rFont val="Segoe UI"/>
        <family val="2"/>
      </rPr>
      <t>A</t>
    </r>
  </si>
  <si>
    <r>
      <rPr>
        <b/>
        <sz val="11"/>
        <rFont val="Segoe UI"/>
        <family val="2"/>
      </rPr>
      <t>B</t>
    </r>
  </si>
  <si>
    <r>
      <rPr>
        <b/>
        <sz val="11"/>
        <rFont val="Segoe UI"/>
        <family val="2"/>
      </rPr>
      <t>c</t>
    </r>
  </si>
  <si>
    <t>BẢNG 2 - Tiền thưởng</t>
  </si>
  <si>
    <t>Tiền thưởng</t>
  </si>
  <si>
    <r>
      <rPr>
        <sz val="11"/>
        <rFont val="Segoe UI"/>
        <family val="2"/>
      </rPr>
      <t>1</t>
    </r>
  </si>
  <si>
    <r>
      <rPr>
        <sz val="11"/>
        <rFont val="Segoe UI"/>
        <family val="2"/>
      </rPr>
      <t>2</t>
    </r>
  </si>
  <si>
    <r>
      <rPr>
        <sz val="11"/>
        <rFont val="Segoe UI"/>
        <family val="2"/>
      </rPr>
      <t>3</t>
    </r>
  </si>
  <si>
    <r>
      <rPr>
        <sz val="11"/>
        <rFont val="Segoe UI"/>
        <family val="2"/>
      </rPr>
      <t>2.5</t>
    </r>
  </si>
  <si>
    <r>
      <rPr>
        <sz val="11"/>
        <rFont val="Segoe UI"/>
        <family val="2"/>
      </rPr>
      <t>3.5</t>
    </r>
  </si>
  <si>
    <r>
      <rPr>
        <sz val="11"/>
        <rFont val="Segoe UI"/>
        <family val="2"/>
      </rPr>
      <t>4</t>
    </r>
  </si>
  <si>
    <r>
      <rPr>
        <sz val="11"/>
        <rFont val="Segoe UI"/>
        <family val="2"/>
      </rPr>
      <t>1.5</t>
    </r>
  </si>
  <si>
    <t>BẢNG 3 - Hệ số</t>
  </si>
  <si>
    <r>
      <rPr>
        <b/>
        <sz val="11"/>
        <rFont val="Segoe UI"/>
        <family val="2"/>
      </rPr>
      <t>LD</t>
    </r>
  </si>
  <si>
    <r>
      <rPr>
        <b/>
        <sz val="11"/>
        <rFont val="Segoe UI"/>
        <family val="2"/>
      </rPr>
      <t>NV</t>
    </r>
  </si>
  <si>
    <t>Lương căn bản</t>
  </si>
  <si>
    <r>
      <rPr>
        <b/>
        <sz val="11"/>
        <rFont val="Segoe UI"/>
        <family val="2"/>
      </rPr>
      <t>1</t>
    </r>
  </si>
  <si>
    <r>
      <rPr>
        <b/>
        <sz val="11"/>
        <rFont val="Segoe UI"/>
        <family val="2"/>
      </rPr>
      <t>2</t>
    </r>
  </si>
  <si>
    <r>
      <rPr>
        <b/>
        <sz val="11"/>
        <rFont val="Segoe UI"/>
        <family val="2"/>
      </rPr>
      <t>3</t>
    </r>
  </si>
  <si>
    <t>TÊN HÀNG</t>
  </si>
  <si>
    <t>SL</t>
  </si>
  <si>
    <t>SB205</t>
  </si>
  <si>
    <t>TL402</t>
  </si>
  <si>
    <t>SB401</t>
  </si>
  <si>
    <t>DG103</t>
  </si>
  <si>
    <t>5</t>
  </si>
  <si>
    <t>DG202</t>
  </si>
  <si>
    <t>6</t>
  </si>
  <si>
    <t>7</t>
  </si>
  <si>
    <t>BN503</t>
  </si>
  <si>
    <t>8</t>
  </si>
  <si>
    <t>SB303</t>
  </si>
  <si>
    <t>9</t>
  </si>
  <si>
    <t>10</t>
  </si>
  <si>
    <t>SB507</t>
  </si>
  <si>
    <r>
      <rPr>
        <i/>
        <sz val="11"/>
        <rFont val="Arial"/>
        <family val="2"/>
      </rPr>
      <t>Tổng cộng</t>
    </r>
  </si>
  <si>
    <r>
      <rPr>
        <i/>
        <sz val="11"/>
        <rFont val="Arial"/>
        <family val="2"/>
      </rPr>
      <t>Trung binh</t>
    </r>
  </si>
  <si>
    <r>
      <rPr>
        <i/>
        <sz val="11"/>
        <rFont val="Arial"/>
        <family val="2"/>
      </rPr>
      <t>Nhỏ nhất</t>
    </r>
  </si>
  <si>
    <t>BẢNG KẾT TOÁN HÀNG NHẬP KHẨU</t>
  </si>
  <si>
    <t>MÃ CTỪ</t>
  </si>
  <si>
    <t>MÃ HÀNG</t>
  </si>
  <si>
    <t>SỐ CTỪ</t>
  </si>
  <si>
    <t>THUẾ</t>
  </si>
  <si>
    <t>Lớn nhất</t>
  </si>
  <si>
    <t>BẢNG MÃ LOẠI HÀNG HÓA VÀ ĐƠN GIÁ</t>
  </si>
  <si>
    <t>MÃ C TỪ</t>
  </si>
  <si>
    <t>SB</t>
  </si>
  <si>
    <t>TL</t>
  </si>
  <si>
    <t>Thuồc lá</t>
  </si>
  <si>
    <t>DG</t>
  </si>
  <si>
    <t>Đường</t>
  </si>
  <si>
    <t>RU</t>
  </si>
  <si>
    <t>Rượu</t>
  </si>
  <si>
    <t>BN</t>
  </si>
  <si>
    <t>Bột ngọt</t>
  </si>
  <si>
    <t>Sữa bột</t>
  </si>
  <si>
    <t>BẢNG THỐNG KÊ PHỤ</t>
  </si>
  <si>
    <t>Số lần nhập</t>
  </si>
  <si>
    <t>RU104</t>
  </si>
  <si>
    <t>RU201</t>
  </si>
  <si>
    <t>chứng từ</t>
  </si>
  <si>
    <t>đơn giá</t>
  </si>
  <si>
    <t>số lượng</t>
  </si>
  <si>
    <t>DOOBP</t>
  </si>
  <si>
    <t>D01ES</t>
  </si>
  <si>
    <t>X92SH</t>
  </si>
  <si>
    <t>N4TCA</t>
  </si>
  <si>
    <t>N06MO</t>
  </si>
  <si>
    <t>N89BP</t>
  </si>
  <si>
    <t>X39SH</t>
  </si>
  <si>
    <t>X59CA</t>
  </si>
  <si>
    <t>N25ES</t>
  </si>
  <si>
    <t>Thành tiền</t>
  </si>
  <si>
    <t>BẢNG PHỤ 2</t>
  </si>
  <si>
    <t>Mobil</t>
  </si>
  <si>
    <t>CA</t>
  </si>
  <si>
    <t>Castrol</t>
  </si>
  <si>
    <t>SH</t>
  </si>
  <si>
    <t>Shell</t>
  </si>
  <si>
    <t>ES</t>
  </si>
  <si>
    <t>Esso</t>
  </si>
  <si>
    <t>BP</t>
  </si>
  <si>
    <t>Mã Hãng XS</t>
  </si>
  <si>
    <t>Tên Hãng XS</t>
  </si>
  <si>
    <t>British Petro</t>
  </si>
  <si>
    <t>BẢNG PHỤ 1</t>
  </si>
  <si>
    <t>X</t>
  </si>
  <si>
    <t>xăng</t>
  </si>
  <si>
    <t>D</t>
  </si>
  <si>
    <t>dầu</t>
  </si>
  <si>
    <t>Mã Vật tư</t>
  </si>
  <si>
    <t>Tên vật tư</t>
  </si>
  <si>
    <t>Đơn giá 
đồng/lít</t>
  </si>
  <si>
    <t>Thuế suất</t>
  </si>
  <si>
    <t>Tên hàng SX</t>
  </si>
  <si>
    <t>Nhớt</t>
  </si>
  <si>
    <t>D00TN</t>
  </si>
  <si>
    <r>
      <rPr>
        <b/>
        <sz val="11"/>
        <color rgb="FFFF0000"/>
        <rFont val="Segoe UI"/>
        <family val="2"/>
      </rPr>
      <t>800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</si>
</sst>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0.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Segoe UI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Palatino Linotype"/>
      <family val="1"/>
    </font>
    <font>
      <b/>
      <sz val="11"/>
      <name val="Segoe UI"/>
      <family val="2"/>
    </font>
    <font>
      <i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11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5" fillId="0" borderId="0" xfId="0" applyFont="1"/>
    <xf numFmtId="0" fontId="5" fillId="2" borderId="1" xfId="0" applyFont="1" applyFill="1" applyBorder="1"/>
    <xf numFmtId="0" fontId="6" fillId="0" borderId="1" xfId="0" applyFont="1" applyBorder="1"/>
    <xf numFmtId="9" fontId="6" fillId="0" borderId="1" xfId="0" applyNumberFormat="1" applyFont="1" applyBorder="1"/>
    <xf numFmtId="164" fontId="6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2" fillId="0" borderId="2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7" fillId="3" borderId="2" xfId="0" applyFont="1" applyFill="1" applyBorder="1"/>
    <xf numFmtId="165" fontId="0" fillId="0" borderId="2" xfId="0" applyNumberFormat="1" applyBorder="1"/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right" wrapText="1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3" xfId="0" applyFont="1" applyBorder="1" applyAlignment="1">
      <alignment horizontal="left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indent="1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inden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 indent="2"/>
    </xf>
    <xf numFmtId="0" fontId="11" fillId="0" borderId="3" xfId="0" applyFont="1" applyBorder="1" applyAlignment="1">
      <alignment horizontal="justify" wrapText="1"/>
    </xf>
    <xf numFmtId="0" fontId="1" fillId="0" borderId="10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indent="2"/>
    </xf>
    <xf numFmtId="0" fontId="1" fillId="0" borderId="3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 indent="1"/>
    </xf>
    <xf numFmtId="0" fontId="13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indent="8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13" fillId="0" borderId="0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 indent="3"/>
    </xf>
    <xf numFmtId="0" fontId="13" fillId="3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 vertical="top"/>
    </xf>
    <xf numFmtId="0" fontId="7" fillId="0" borderId="2" xfId="0" applyFont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Fill="1" applyBorder="1"/>
    <xf numFmtId="0" fontId="9" fillId="0" borderId="2" xfId="0" applyFont="1" applyBorder="1" applyAlignment="1">
      <alignment horizontal="left"/>
    </xf>
    <xf numFmtId="0" fontId="11" fillId="0" borderId="3" xfId="1" applyFont="1" applyBorder="1" applyAlignment="1">
      <alignment horizontal="left" vertical="center" indent="2"/>
    </xf>
    <xf numFmtId="0" fontId="11" fillId="0" borderId="3" xfId="1" applyFont="1" applyBorder="1" applyAlignment="1">
      <alignment horizontal="left" vertical="center" indent="1"/>
    </xf>
    <xf numFmtId="0" fontId="11" fillId="0" borderId="3" xfId="1" applyFont="1" applyBorder="1" applyAlignment="1">
      <alignment horizontal="left" indent="2"/>
    </xf>
    <xf numFmtId="0" fontId="11" fillId="0" borderId="3" xfId="1" applyFont="1" applyBorder="1" applyAlignment="1">
      <alignment horizontal="left" vertical="top" indent="1"/>
    </xf>
    <xf numFmtId="0" fontId="11" fillId="0" borderId="3" xfId="1" applyFont="1" applyBorder="1" applyAlignment="1">
      <alignment horizontal="left" vertical="top" indent="2"/>
    </xf>
    <xf numFmtId="0" fontId="11" fillId="0" borderId="3" xfId="1" applyFont="1" applyBorder="1" applyAlignment="1">
      <alignment horizontal="right" vertical="center"/>
    </xf>
    <xf numFmtId="0" fontId="11" fillId="0" borderId="3" xfId="1" applyFont="1" applyBorder="1" applyAlignment="1">
      <alignment horizontal="left" vertical="top" indent="3"/>
    </xf>
    <xf numFmtId="0" fontId="11" fillId="0" borderId="3" xfId="1" applyFont="1" applyBorder="1" applyAlignment="1">
      <alignment horizontal="right"/>
    </xf>
    <xf numFmtId="0" fontId="11" fillId="0" borderId="3" xfId="1" applyFont="1" applyBorder="1" applyAlignment="1">
      <alignment horizontal="left" indent="1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center" vertical="top"/>
    </xf>
    <xf numFmtId="0" fontId="11" fillId="0" borderId="6" xfId="1" applyFont="1" applyBorder="1" applyAlignment="1">
      <alignment horizontal="center" vertical="top"/>
    </xf>
    <xf numFmtId="0" fontId="11" fillId="0" borderId="4" xfId="1" applyFont="1" applyBorder="1" applyAlignment="1">
      <alignment horizontal="center" vertical="top"/>
    </xf>
    <xf numFmtId="0" fontId="10" fillId="0" borderId="0" xfId="1" applyFont="1" applyBorder="1" applyAlignment="1">
      <alignment horizontal="center" vertical="top"/>
    </xf>
    <xf numFmtId="0" fontId="14" fillId="0" borderId="5" xfId="1" applyFont="1" applyBorder="1" applyAlignment="1">
      <alignment horizontal="center" vertical="top"/>
    </xf>
    <xf numFmtId="0" fontId="10" fillId="3" borderId="3" xfId="1" applyFont="1" applyFill="1" applyBorder="1" applyAlignment="1">
      <alignment horizontal="center" vertical="top" wrapText="1"/>
    </xf>
    <xf numFmtId="0" fontId="10" fillId="3" borderId="3" xfId="1" applyFont="1" applyFill="1" applyBorder="1" applyAlignment="1">
      <alignment horizontal="left" vertical="center" indent="1"/>
    </xf>
    <xf numFmtId="0" fontId="10" fillId="3" borderId="3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left" indent="3"/>
    </xf>
    <xf numFmtId="0" fontId="11" fillId="0" borderId="2" xfId="1" applyFont="1" applyBorder="1" applyAlignment="1">
      <alignment horizontal="left" indent="1"/>
    </xf>
    <xf numFmtId="0" fontId="11" fillId="0" borderId="2" xfId="1" applyFont="1" applyBorder="1" applyAlignment="1">
      <alignment horizontal="right"/>
    </xf>
    <xf numFmtId="0" fontId="11" fillId="0" borderId="2" xfId="1" applyFont="1" applyBorder="1" applyAlignment="1">
      <alignment horizontal="left" vertical="center" indent="3"/>
    </xf>
    <xf numFmtId="0" fontId="11" fillId="0" borderId="2" xfId="1" applyFont="1" applyBorder="1" applyAlignment="1">
      <alignment horizontal="left" vertical="center" indent="1"/>
    </xf>
    <xf numFmtId="0" fontId="11" fillId="0" borderId="2" xfId="1" applyFont="1" applyBorder="1" applyAlignment="1">
      <alignment horizontal="left" indent="2"/>
    </xf>
    <xf numFmtId="0" fontId="11" fillId="0" borderId="3" xfId="1" applyFont="1" applyBorder="1" applyAlignment="1">
      <alignment horizontal="left" vertical="top"/>
    </xf>
    <xf numFmtId="0" fontId="10" fillId="0" borderId="3" xfId="1" applyFont="1" applyBorder="1" applyAlignment="1">
      <alignment horizontal="left" vertical="top"/>
    </xf>
    <xf numFmtId="0" fontId="11" fillId="0" borderId="2" xfId="1" applyNumberFormat="1" applyFont="1" applyBorder="1" applyAlignment="1">
      <alignment horizontal="right"/>
    </xf>
    <xf numFmtId="0" fontId="11" fillId="0" borderId="2" xfId="1" applyNumberFormat="1" applyFont="1" applyBorder="1" applyAlignment="1">
      <alignment horizontal="right" vertical="center"/>
    </xf>
    <xf numFmtId="0" fontId="11" fillId="0" borderId="2" xfId="1" applyFont="1" applyBorder="1" applyAlignment="1">
      <alignment horizontal="left"/>
    </xf>
    <xf numFmtId="0" fontId="11" fillId="0" borderId="2" xfId="1" applyFont="1" applyBorder="1" applyAlignment="1">
      <alignment horizontal="center"/>
    </xf>
    <xf numFmtId="0" fontId="11" fillId="0" borderId="2" xfId="1" applyFont="1" applyBorder="1" applyAlignment="1">
      <alignment horizontal="left" vertical="top"/>
    </xf>
    <xf numFmtId="0" fontId="11" fillId="0" borderId="2" xfId="1" applyFont="1" applyBorder="1" applyAlignment="1">
      <alignment horizontal="left" vertical="top" indent="4"/>
    </xf>
    <xf numFmtId="0" fontId="11" fillId="0" borderId="2" xfId="1" applyFont="1" applyBorder="1" applyAlignment="1">
      <alignment horizontal="right" vertical="top"/>
    </xf>
    <xf numFmtId="0" fontId="11" fillId="0" borderId="2" xfId="1" applyFont="1" applyBorder="1" applyAlignment="1">
      <alignment horizontal="left" vertical="top" indent="2"/>
    </xf>
    <xf numFmtId="0" fontId="11" fillId="0" borderId="2" xfId="1" applyFont="1" applyBorder="1" applyAlignment="1">
      <alignment horizontal="left" vertical="top" indent="1"/>
    </xf>
    <xf numFmtId="0" fontId="11" fillId="0" borderId="2" xfId="1" applyFont="1" applyBorder="1" applyAlignment="1">
      <alignment horizontal="left" vertical="center"/>
    </xf>
    <xf numFmtId="0" fontId="11" fillId="0" borderId="2" xfId="1" applyFont="1" applyBorder="1" applyAlignment="1">
      <alignment horizontal="center" vertical="top"/>
    </xf>
    <xf numFmtId="10" fontId="0" fillId="0" borderId="2" xfId="0" applyNumberFormat="1" applyBorder="1"/>
    <xf numFmtId="0" fontId="10" fillId="3" borderId="2" xfId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right"/>
    </xf>
  </cellXfs>
  <cellStyles count="2">
    <cellStyle name="Normal" xfId="0" builtinId="0"/>
    <cellStyle name="Normal 2" xfId="1" xr:uid="{114E37FD-5694-460D-850D-26EA5F798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1.ocr.xlsx" TargetMode="External"/><Relationship Id="rId1" Type="http://schemas.openxmlformats.org/officeDocument/2006/relationships/externalLinkPath" Target="1.o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1000"/>
  <sheetViews>
    <sheetView topLeftCell="A35" workbookViewId="0"/>
  </sheetViews>
  <sheetFormatPr defaultColWidth="14.44140625" defaultRowHeight="15" customHeight="1" x14ac:dyDescent="0.3"/>
  <cols>
    <col min="1" max="1" width="8.6640625" customWidth="1"/>
    <col min="2" max="2" width="12.109375" customWidth="1"/>
    <col min="3" max="3" width="12" customWidth="1"/>
    <col min="4" max="4" width="9.33203125" customWidth="1"/>
    <col min="5" max="5" width="11.109375" customWidth="1"/>
    <col min="6" max="6" width="12.109375" customWidth="1"/>
    <col min="7" max="7" width="12" customWidth="1"/>
    <col min="8" max="26" width="8.6640625" customWidth="1"/>
  </cols>
  <sheetData>
    <row r="1" spans="1:8" ht="14.4" x14ac:dyDescent="0.3">
      <c r="A1" s="1" t="s">
        <v>0</v>
      </c>
    </row>
    <row r="2" spans="1:8" ht="14.4" x14ac:dyDescent="0.3">
      <c r="A2" s="2" t="s">
        <v>1</v>
      </c>
      <c r="B2" s="2" t="s">
        <v>2</v>
      </c>
      <c r="C2" s="2" t="s">
        <v>3</v>
      </c>
      <c r="E2" s="1" t="s">
        <v>4</v>
      </c>
    </row>
    <row r="3" spans="1:8" ht="14.4" x14ac:dyDescent="0.3">
      <c r="A3" s="3" t="s">
        <v>5</v>
      </c>
      <c r="B3" s="3" t="str">
        <f t="shared" ref="B3:B9" si="0">VLOOKUP(A3,$E$4:$G$6,2,0)</f>
        <v>Bo mạch chủ</v>
      </c>
      <c r="C3" s="3">
        <f t="shared" ref="C3:C9" si="1">VLOOKUP(A3,$E$4:$G$6,3,0)</f>
        <v>1500000</v>
      </c>
      <c r="E3" s="2" t="s">
        <v>6</v>
      </c>
      <c r="F3" s="2" t="s">
        <v>2</v>
      </c>
      <c r="G3" s="2" t="s">
        <v>3</v>
      </c>
    </row>
    <row r="4" spans="1:8" ht="14.4" x14ac:dyDescent="0.3">
      <c r="A4" s="3" t="s">
        <v>7</v>
      </c>
      <c r="B4" s="3" t="str">
        <f t="shared" si="0"/>
        <v>Màn hình</v>
      </c>
      <c r="C4" s="3">
        <f t="shared" si="1"/>
        <v>900000</v>
      </c>
      <c r="E4" s="3" t="s">
        <v>8</v>
      </c>
      <c r="F4" s="3" t="s">
        <v>9</v>
      </c>
      <c r="G4" s="3">
        <v>350000</v>
      </c>
    </row>
    <row r="5" spans="1:8" ht="14.4" x14ac:dyDescent="0.3">
      <c r="A5" s="3" t="s">
        <v>8</v>
      </c>
      <c r="B5" s="3" t="str">
        <f t="shared" si="0"/>
        <v>Bàn phím</v>
      </c>
      <c r="C5" s="3">
        <f t="shared" si="1"/>
        <v>350000</v>
      </c>
      <c r="E5" s="3" t="s">
        <v>5</v>
      </c>
      <c r="F5" s="3" t="s">
        <v>10</v>
      </c>
      <c r="G5" s="3">
        <v>1500000</v>
      </c>
    </row>
    <row r="6" spans="1:8" ht="14.4" x14ac:dyDescent="0.3">
      <c r="A6" s="3" t="s">
        <v>7</v>
      </c>
      <c r="B6" s="3" t="str">
        <f t="shared" si="0"/>
        <v>Màn hình</v>
      </c>
      <c r="C6" s="3">
        <f t="shared" si="1"/>
        <v>900000</v>
      </c>
      <c r="E6" s="3" t="s">
        <v>7</v>
      </c>
      <c r="F6" s="3" t="s">
        <v>11</v>
      </c>
      <c r="G6" s="3">
        <v>900000</v>
      </c>
    </row>
    <row r="7" spans="1:8" ht="14.4" x14ac:dyDescent="0.3">
      <c r="A7" s="3" t="s">
        <v>5</v>
      </c>
      <c r="B7" s="3" t="str">
        <f t="shared" si="0"/>
        <v>Bo mạch chủ</v>
      </c>
      <c r="C7" s="3">
        <f t="shared" si="1"/>
        <v>1500000</v>
      </c>
    </row>
    <row r="8" spans="1:8" ht="14.4" x14ac:dyDescent="0.3">
      <c r="A8" s="3" t="s">
        <v>8</v>
      </c>
      <c r="B8" s="3" t="str">
        <f t="shared" si="0"/>
        <v>Bàn phím</v>
      </c>
      <c r="C8" s="3">
        <f t="shared" si="1"/>
        <v>350000</v>
      </c>
    </row>
    <row r="9" spans="1:8" ht="14.4" x14ac:dyDescent="0.3">
      <c r="A9" s="3" t="s">
        <v>5</v>
      </c>
      <c r="B9" s="3" t="str">
        <f t="shared" si="0"/>
        <v>Bo mạch chủ</v>
      </c>
      <c r="C9" s="3">
        <f t="shared" si="1"/>
        <v>1500000</v>
      </c>
    </row>
    <row r="11" spans="1:8" ht="14.4" x14ac:dyDescent="0.3">
      <c r="A11" s="2" t="s">
        <v>12</v>
      </c>
      <c r="B11" s="2" t="s">
        <v>13</v>
      </c>
      <c r="C11" s="2" t="s">
        <v>14</v>
      </c>
      <c r="D11" s="2" t="s">
        <v>15</v>
      </c>
      <c r="F11" s="2" t="s">
        <v>16</v>
      </c>
      <c r="G11" s="2" t="s">
        <v>14</v>
      </c>
      <c r="H11" s="2" t="s">
        <v>15</v>
      </c>
    </row>
    <row r="12" spans="1:8" ht="14.4" x14ac:dyDescent="0.3">
      <c r="A12" s="3" t="s">
        <v>17</v>
      </c>
      <c r="B12" s="3" t="s">
        <v>18</v>
      </c>
      <c r="C12" s="3" t="str">
        <f t="shared" ref="C12:C17" si="2">VLOOKUP(LEFT(A12,2),$F$12:$H$14,2,0)</f>
        <v>Nhân viên</v>
      </c>
      <c r="D12" s="3">
        <f t="shared" ref="D12:D17" si="3">VLOOKUP(LEFT(A12,2),$F$12:$H$14,3,0)</f>
        <v>250</v>
      </c>
      <c r="F12" s="3" t="s">
        <v>19</v>
      </c>
      <c r="G12" s="3" t="s">
        <v>20</v>
      </c>
      <c r="H12" s="3">
        <v>450</v>
      </c>
    </row>
    <row r="13" spans="1:8" ht="14.4" x14ac:dyDescent="0.3">
      <c r="A13" s="3" t="s">
        <v>21</v>
      </c>
      <c r="B13" s="3" t="s">
        <v>22</v>
      </c>
      <c r="C13" s="3" t="str">
        <f t="shared" si="2"/>
        <v>Nhân viên</v>
      </c>
      <c r="D13" s="3">
        <f t="shared" si="3"/>
        <v>250</v>
      </c>
      <c r="F13" s="3" t="s">
        <v>23</v>
      </c>
      <c r="G13" s="3" t="s">
        <v>24</v>
      </c>
      <c r="H13" s="3">
        <v>250</v>
      </c>
    </row>
    <row r="14" spans="1:8" ht="14.4" x14ac:dyDescent="0.3">
      <c r="A14" s="3" t="s">
        <v>25</v>
      </c>
      <c r="B14" s="3" t="s">
        <v>26</v>
      </c>
      <c r="C14" s="3" t="str">
        <f t="shared" si="2"/>
        <v>Nhân viên</v>
      </c>
      <c r="D14" s="3">
        <f t="shared" si="3"/>
        <v>250</v>
      </c>
      <c r="F14" s="3" t="s">
        <v>27</v>
      </c>
      <c r="G14" s="3" t="s">
        <v>28</v>
      </c>
      <c r="H14" s="3">
        <v>200</v>
      </c>
    </row>
    <row r="15" spans="1:8" ht="14.4" x14ac:dyDescent="0.3">
      <c r="A15" s="3" t="s">
        <v>29</v>
      </c>
      <c r="B15" s="3" t="s">
        <v>30</v>
      </c>
      <c r="C15" s="3" t="str">
        <f t="shared" si="2"/>
        <v>Chuyên viên</v>
      </c>
      <c r="D15" s="3">
        <f t="shared" si="3"/>
        <v>450</v>
      </c>
    </row>
    <row r="16" spans="1:8" ht="14.4" x14ac:dyDescent="0.3">
      <c r="A16" s="3" t="s">
        <v>31</v>
      </c>
      <c r="B16" s="3" t="s">
        <v>32</v>
      </c>
      <c r="C16" s="3" t="str">
        <f t="shared" si="2"/>
        <v>Chuyên viên</v>
      </c>
      <c r="D16" s="3">
        <f t="shared" si="3"/>
        <v>450</v>
      </c>
    </row>
    <row r="17" spans="1:10" ht="14.4" x14ac:dyDescent="0.3">
      <c r="A17" s="3" t="s">
        <v>33</v>
      </c>
      <c r="B17" s="3" t="s">
        <v>34</v>
      </c>
      <c r="C17" s="3" t="str">
        <f t="shared" si="2"/>
        <v>Kĩ thuật</v>
      </c>
      <c r="D17" s="3">
        <f t="shared" si="3"/>
        <v>200</v>
      </c>
    </row>
    <row r="19" spans="1:10" ht="14.4" x14ac:dyDescent="0.3">
      <c r="A19" s="2" t="s">
        <v>35</v>
      </c>
      <c r="B19" s="2" t="s">
        <v>36</v>
      </c>
      <c r="D19" s="2" t="s">
        <v>37</v>
      </c>
      <c r="E19" s="2" t="s">
        <v>36</v>
      </c>
    </row>
    <row r="20" spans="1:10" ht="14.4" x14ac:dyDescent="0.3">
      <c r="A20" s="3" t="s">
        <v>38</v>
      </c>
      <c r="B20" s="3" t="str">
        <f t="shared" ref="B20:B23" si="4">VLOOKUP(VALUE(RIGHT(A20,1)),$D$20:$E$22,2,0)</f>
        <v>Quận 2</v>
      </c>
      <c r="D20" s="3">
        <v>1</v>
      </c>
      <c r="E20" s="3" t="s">
        <v>39</v>
      </c>
    </row>
    <row r="21" spans="1:10" ht="15.75" customHeight="1" x14ac:dyDescent="0.3">
      <c r="A21" s="3" t="s">
        <v>40</v>
      </c>
      <c r="B21" s="3" t="str">
        <f t="shared" si="4"/>
        <v>Quận 3</v>
      </c>
      <c r="D21" s="3">
        <v>2</v>
      </c>
      <c r="E21" s="3" t="s">
        <v>41</v>
      </c>
    </row>
    <row r="22" spans="1:10" ht="15.75" customHeight="1" x14ac:dyDescent="0.3">
      <c r="A22" s="3" t="s">
        <v>42</v>
      </c>
      <c r="B22" s="3" t="str">
        <f t="shared" si="4"/>
        <v>Quận 1</v>
      </c>
      <c r="D22" s="3">
        <v>3</v>
      </c>
      <c r="E22" s="3" t="s">
        <v>43</v>
      </c>
    </row>
    <row r="23" spans="1:10" ht="15.75" customHeight="1" x14ac:dyDescent="0.3">
      <c r="A23" s="3" t="s">
        <v>44</v>
      </c>
      <c r="B23" s="3" t="str">
        <f t="shared" si="4"/>
        <v>Quận 3</v>
      </c>
    </row>
    <row r="24" spans="1:10" ht="15.75" customHeight="1" x14ac:dyDescent="0.3"/>
    <row r="25" spans="1:10" ht="15.75" customHeight="1" x14ac:dyDescent="0.3">
      <c r="A25" s="2" t="s">
        <v>45</v>
      </c>
      <c r="B25" s="2" t="s">
        <v>2</v>
      </c>
      <c r="C25" s="2" t="s">
        <v>46</v>
      </c>
      <c r="D25" s="2" t="s">
        <v>47</v>
      </c>
      <c r="E25" s="2" t="s">
        <v>3</v>
      </c>
      <c r="G25" s="2" t="s">
        <v>6</v>
      </c>
      <c r="H25" s="2" t="s">
        <v>2</v>
      </c>
      <c r="I25" s="2" t="s">
        <v>48</v>
      </c>
      <c r="J25" s="2" t="s">
        <v>49</v>
      </c>
    </row>
    <row r="26" spans="1:10" ht="15.75" customHeight="1" x14ac:dyDescent="0.3">
      <c r="A26" s="3" t="s">
        <v>50</v>
      </c>
      <c r="B26" s="3" t="str">
        <f t="shared" ref="B26:B30" si="5">VLOOKUP(LEFT(A26,1),$G$26:$J$29,2,0)</f>
        <v>Bàn ủi</v>
      </c>
      <c r="C26" s="3">
        <f t="shared" ref="C26:C30" si="6">VALUE(MID(A26,2,2))</f>
        <v>2</v>
      </c>
      <c r="D26" s="3">
        <f t="shared" ref="D26:D30" si="7">VALUE(RIGHT(A26,1))</f>
        <v>1</v>
      </c>
      <c r="E26" s="3">
        <f t="shared" ref="E26:E30" si="8">VLOOKUP(LEFT(A26,1),$G$26:$J$29,IF(C26&gt;=5,3,4),0)</f>
        <v>12</v>
      </c>
      <c r="G26" s="3" t="s">
        <v>51</v>
      </c>
      <c r="H26" s="3" t="s">
        <v>52</v>
      </c>
      <c r="I26" s="3">
        <v>10</v>
      </c>
      <c r="J26" s="3">
        <v>12</v>
      </c>
    </row>
    <row r="27" spans="1:10" ht="15.75" customHeight="1" x14ac:dyDescent="0.3">
      <c r="A27" s="3" t="s">
        <v>53</v>
      </c>
      <c r="B27" s="3" t="str">
        <f t="shared" si="5"/>
        <v>Tủ lạnh</v>
      </c>
      <c r="C27" s="3">
        <f t="shared" si="6"/>
        <v>3</v>
      </c>
      <c r="D27" s="3">
        <f t="shared" si="7"/>
        <v>2</v>
      </c>
      <c r="E27" s="3">
        <f t="shared" si="8"/>
        <v>215</v>
      </c>
      <c r="G27" s="3" t="s">
        <v>54</v>
      </c>
      <c r="H27" s="3" t="s">
        <v>55</v>
      </c>
      <c r="I27" s="3">
        <v>30</v>
      </c>
      <c r="J27" s="3">
        <v>33</v>
      </c>
    </row>
    <row r="28" spans="1:10" ht="15.75" customHeight="1" x14ac:dyDescent="0.3">
      <c r="A28" s="3" t="s">
        <v>56</v>
      </c>
      <c r="B28" s="3" t="str">
        <f t="shared" si="5"/>
        <v>Bàn ủi</v>
      </c>
      <c r="C28" s="3">
        <f t="shared" si="6"/>
        <v>15</v>
      </c>
      <c r="D28" s="3">
        <f t="shared" si="7"/>
        <v>2</v>
      </c>
      <c r="E28" s="3">
        <f t="shared" si="8"/>
        <v>10</v>
      </c>
      <c r="G28" s="3" t="s">
        <v>57</v>
      </c>
      <c r="H28" s="3" t="s">
        <v>58</v>
      </c>
      <c r="I28" s="3">
        <v>200</v>
      </c>
      <c r="J28" s="3">
        <v>215</v>
      </c>
    </row>
    <row r="29" spans="1:10" ht="15.75" customHeight="1" x14ac:dyDescent="0.3">
      <c r="A29" s="3" t="s">
        <v>59</v>
      </c>
      <c r="B29" s="3" t="str">
        <f t="shared" si="5"/>
        <v>Nồi điện</v>
      </c>
      <c r="C29" s="3">
        <f t="shared" si="6"/>
        <v>3</v>
      </c>
      <c r="D29" s="3">
        <f t="shared" si="7"/>
        <v>1</v>
      </c>
      <c r="E29" s="3">
        <f t="shared" si="8"/>
        <v>33</v>
      </c>
      <c r="G29" s="3" t="s">
        <v>60</v>
      </c>
      <c r="H29" s="3" t="s">
        <v>61</v>
      </c>
      <c r="I29" s="3">
        <v>250</v>
      </c>
      <c r="J29" s="3">
        <v>260</v>
      </c>
    </row>
    <row r="30" spans="1:10" ht="15.75" customHeight="1" x14ac:dyDescent="0.3">
      <c r="A30" s="3" t="s">
        <v>62</v>
      </c>
      <c r="B30" s="3" t="str">
        <f t="shared" si="5"/>
        <v>Máy lạnh</v>
      </c>
      <c r="C30" s="3">
        <f t="shared" si="6"/>
        <v>20</v>
      </c>
      <c r="D30" s="3">
        <f t="shared" si="7"/>
        <v>3</v>
      </c>
      <c r="E30" s="3">
        <f t="shared" si="8"/>
        <v>250</v>
      </c>
    </row>
    <row r="31" spans="1:10" ht="15.75" customHeight="1" x14ac:dyDescent="0.3"/>
    <row r="32" spans="1:10" ht="15.75" customHeight="1" x14ac:dyDescent="0.3">
      <c r="A32" s="1" t="s">
        <v>0</v>
      </c>
    </row>
    <row r="33" spans="1:11" ht="15.75" customHeight="1" x14ac:dyDescent="0.3">
      <c r="A33" s="2" t="s">
        <v>1</v>
      </c>
      <c r="B33" s="2" t="s">
        <v>2</v>
      </c>
      <c r="C33" s="2" t="s">
        <v>3</v>
      </c>
      <c r="E33" s="1" t="s">
        <v>4</v>
      </c>
    </row>
    <row r="34" spans="1:11" ht="15.75" customHeight="1" x14ac:dyDescent="0.3">
      <c r="A34" s="3" t="s">
        <v>63</v>
      </c>
      <c r="B34" s="3" t="str">
        <f t="shared" ref="B34:B38" si="9">HLOOKUP(A34,$E$34:$H$36,2,0)</f>
        <v>HDD</v>
      </c>
      <c r="C34" s="3">
        <f t="shared" ref="C34:C38" si="10">HLOOKUP(A34,$E$34:$H$36,3,0)</f>
        <v>900000</v>
      </c>
      <c r="E34" s="2" t="s">
        <v>1</v>
      </c>
      <c r="F34" s="3" t="s">
        <v>64</v>
      </c>
      <c r="G34" s="3" t="s">
        <v>63</v>
      </c>
      <c r="H34" s="3" t="s">
        <v>65</v>
      </c>
    </row>
    <row r="35" spans="1:11" ht="15.75" customHeight="1" x14ac:dyDescent="0.3">
      <c r="A35" s="3" t="s">
        <v>65</v>
      </c>
      <c r="B35" s="3" t="str">
        <f t="shared" si="9"/>
        <v>CDRW</v>
      </c>
      <c r="C35" s="3">
        <f t="shared" si="10"/>
        <v>250000</v>
      </c>
      <c r="E35" s="2" t="s">
        <v>66</v>
      </c>
      <c r="F35" s="3" t="s">
        <v>67</v>
      </c>
      <c r="G35" s="3" t="s">
        <v>68</v>
      </c>
      <c r="H35" s="3" t="s">
        <v>69</v>
      </c>
    </row>
    <row r="36" spans="1:11" ht="15.75" customHeight="1" x14ac:dyDescent="0.3">
      <c r="A36" s="3" t="s">
        <v>64</v>
      </c>
      <c r="B36" s="3" t="str">
        <f t="shared" si="9"/>
        <v>Video card</v>
      </c>
      <c r="C36" s="3">
        <f t="shared" si="10"/>
        <v>350000</v>
      </c>
      <c r="E36" s="2" t="s">
        <v>3</v>
      </c>
      <c r="F36" s="3">
        <v>350000</v>
      </c>
      <c r="G36" s="3">
        <v>900000</v>
      </c>
      <c r="H36" s="3">
        <v>250000</v>
      </c>
    </row>
    <row r="37" spans="1:11" ht="15.75" customHeight="1" x14ac:dyDescent="0.3">
      <c r="A37" s="3" t="s">
        <v>65</v>
      </c>
      <c r="B37" s="3" t="str">
        <f t="shared" si="9"/>
        <v>CDRW</v>
      </c>
      <c r="C37" s="3">
        <f t="shared" si="10"/>
        <v>250000</v>
      </c>
    </row>
    <row r="38" spans="1:11" ht="15.75" customHeight="1" x14ac:dyDescent="0.3">
      <c r="A38" s="3" t="s">
        <v>63</v>
      </c>
      <c r="B38" s="3" t="str">
        <f t="shared" si="9"/>
        <v>HDD</v>
      </c>
      <c r="C38" s="3">
        <f t="shared" si="10"/>
        <v>900000</v>
      </c>
    </row>
    <row r="39" spans="1:11" ht="15.75" customHeight="1" x14ac:dyDescent="0.3"/>
    <row r="40" spans="1:11" ht="15.75" customHeight="1" x14ac:dyDescent="0.3">
      <c r="A40" s="4" t="s">
        <v>70</v>
      </c>
      <c r="G40" s="4" t="s">
        <v>71</v>
      </c>
    </row>
    <row r="41" spans="1:11" ht="15.75" customHeight="1" x14ac:dyDescent="0.3">
      <c r="A41" s="5" t="s">
        <v>45</v>
      </c>
      <c r="B41" s="5" t="s">
        <v>46</v>
      </c>
      <c r="C41" s="5" t="s">
        <v>47</v>
      </c>
      <c r="D41" s="5" t="s">
        <v>72</v>
      </c>
      <c r="E41" s="5" t="s">
        <v>73</v>
      </c>
      <c r="G41" s="5" t="s">
        <v>47</v>
      </c>
      <c r="H41" s="6">
        <v>1</v>
      </c>
      <c r="I41" s="6">
        <v>2</v>
      </c>
      <c r="J41" s="6">
        <v>3</v>
      </c>
      <c r="K41" s="6">
        <v>4</v>
      </c>
    </row>
    <row r="42" spans="1:11" ht="15.75" customHeight="1" x14ac:dyDescent="0.3">
      <c r="A42" s="6" t="s">
        <v>50</v>
      </c>
      <c r="B42" s="6">
        <f t="shared" ref="B42:B47" si="11">VALUE(MID(A42,2,2))</f>
        <v>2</v>
      </c>
      <c r="C42" s="6">
        <f t="shared" ref="C42:C47" si="12">VALUE(RIGHT(A42,1))</f>
        <v>1</v>
      </c>
      <c r="D42" s="7">
        <f t="shared" ref="D42:D47" si="13">HLOOKUP(C42,$H$41:$K$43,2,0)</f>
        <v>0</v>
      </c>
      <c r="E42" s="7">
        <f t="shared" ref="E42:E47" si="14">HLOOKUP(C42,$H$41:$K$43,3,0)</f>
        <v>0.02</v>
      </c>
      <c r="G42" s="5" t="s">
        <v>73</v>
      </c>
      <c r="H42" s="7">
        <v>0</v>
      </c>
      <c r="I42" s="7">
        <v>0.01</v>
      </c>
      <c r="J42" s="7">
        <v>0.02</v>
      </c>
      <c r="K42" s="7">
        <v>0.03</v>
      </c>
    </row>
    <row r="43" spans="1:11" ht="15.75" customHeight="1" x14ac:dyDescent="0.3">
      <c r="A43" s="6" t="s">
        <v>53</v>
      </c>
      <c r="B43" s="6">
        <f t="shared" si="11"/>
        <v>3</v>
      </c>
      <c r="C43" s="6">
        <f t="shared" si="12"/>
        <v>2</v>
      </c>
      <c r="D43" s="7">
        <f t="shared" si="13"/>
        <v>0.01</v>
      </c>
      <c r="E43" s="7">
        <f t="shared" si="14"/>
        <v>0.03</v>
      </c>
      <c r="G43" s="5" t="s">
        <v>72</v>
      </c>
      <c r="H43" s="7">
        <v>0.02</v>
      </c>
      <c r="I43" s="7">
        <v>0.03</v>
      </c>
      <c r="J43" s="7">
        <v>0.05</v>
      </c>
      <c r="K43" s="7">
        <v>0.1</v>
      </c>
    </row>
    <row r="44" spans="1:11" ht="15.75" customHeight="1" x14ac:dyDescent="0.3">
      <c r="A44" s="6" t="s">
        <v>56</v>
      </c>
      <c r="B44" s="6">
        <f t="shared" si="11"/>
        <v>15</v>
      </c>
      <c r="C44" s="6">
        <f t="shared" si="12"/>
        <v>2</v>
      </c>
      <c r="D44" s="7">
        <f t="shared" si="13"/>
        <v>0.01</v>
      </c>
      <c r="E44" s="7">
        <f t="shared" si="14"/>
        <v>0.03</v>
      </c>
    </row>
    <row r="45" spans="1:11" ht="15.75" customHeight="1" x14ac:dyDescent="0.3">
      <c r="A45" s="6" t="s">
        <v>59</v>
      </c>
      <c r="B45" s="6">
        <f t="shared" si="11"/>
        <v>3</v>
      </c>
      <c r="C45" s="6">
        <f t="shared" si="12"/>
        <v>1</v>
      </c>
      <c r="D45" s="7">
        <f t="shared" si="13"/>
        <v>0</v>
      </c>
      <c r="E45" s="7">
        <f t="shared" si="14"/>
        <v>0.02</v>
      </c>
    </row>
    <row r="46" spans="1:11" ht="15.75" customHeight="1" x14ac:dyDescent="0.3">
      <c r="A46" s="6" t="s">
        <v>62</v>
      </c>
      <c r="B46" s="6">
        <f t="shared" si="11"/>
        <v>20</v>
      </c>
      <c r="C46" s="6">
        <f t="shared" si="12"/>
        <v>3</v>
      </c>
      <c r="D46" s="7">
        <f t="shared" si="13"/>
        <v>0.02</v>
      </c>
      <c r="E46" s="7">
        <f t="shared" si="14"/>
        <v>0.05</v>
      </c>
    </row>
    <row r="47" spans="1:11" ht="15.75" customHeight="1" x14ac:dyDescent="0.3">
      <c r="A47" s="6" t="s">
        <v>74</v>
      </c>
      <c r="B47" s="6">
        <f t="shared" si="11"/>
        <v>1</v>
      </c>
      <c r="C47" s="6">
        <f t="shared" si="12"/>
        <v>4</v>
      </c>
      <c r="D47" s="7">
        <f t="shared" si="13"/>
        <v>0.03</v>
      </c>
      <c r="E47" s="7">
        <f t="shared" si="14"/>
        <v>0.1</v>
      </c>
    </row>
    <row r="48" spans="1:11" ht="15.75" customHeight="1" x14ac:dyDescent="0.3"/>
    <row r="49" spans="1:6" ht="15.75" customHeight="1" x14ac:dyDescent="0.3">
      <c r="A49" s="5" t="s">
        <v>13</v>
      </c>
      <c r="B49" s="5" t="s">
        <v>75</v>
      </c>
      <c r="C49" s="5" t="s">
        <v>76</v>
      </c>
      <c r="E49" s="5" t="s">
        <v>75</v>
      </c>
      <c r="F49" s="5" t="s">
        <v>76</v>
      </c>
    </row>
    <row r="50" spans="1:6" ht="15.75" customHeight="1" x14ac:dyDescent="0.3">
      <c r="A50" s="6" t="s">
        <v>32</v>
      </c>
      <c r="B50" s="8">
        <v>45025</v>
      </c>
      <c r="C50" s="6" t="str">
        <f t="shared" ref="C50:C57" si="15">VLOOKUP(B50,$E$50:$F$53,2,1)</f>
        <v>Giỏi</v>
      </c>
      <c r="E50" s="6">
        <v>0</v>
      </c>
      <c r="F50" s="6" t="s">
        <v>77</v>
      </c>
    </row>
    <row r="51" spans="1:6" ht="15.75" customHeight="1" x14ac:dyDescent="0.3">
      <c r="A51" s="6" t="s">
        <v>34</v>
      </c>
      <c r="B51" s="8">
        <v>44993</v>
      </c>
      <c r="C51" s="6" t="str">
        <f t="shared" si="15"/>
        <v>Giỏi</v>
      </c>
      <c r="E51" s="6">
        <v>5</v>
      </c>
      <c r="F51" s="6" t="s">
        <v>78</v>
      </c>
    </row>
    <row r="52" spans="1:6" ht="15.75" customHeight="1" x14ac:dyDescent="0.3">
      <c r="A52" s="6" t="s">
        <v>79</v>
      </c>
      <c r="B52" s="8">
        <v>45114</v>
      </c>
      <c r="C52" s="6" t="str">
        <f t="shared" si="15"/>
        <v>Giỏi</v>
      </c>
      <c r="E52" s="6">
        <v>7</v>
      </c>
      <c r="F52" s="6" t="s">
        <v>80</v>
      </c>
    </row>
    <row r="53" spans="1:6" ht="15.75" customHeight="1" x14ac:dyDescent="0.3">
      <c r="A53" s="6" t="s">
        <v>81</v>
      </c>
      <c r="B53" s="8">
        <v>45021</v>
      </c>
      <c r="C53" s="6" t="str">
        <f t="shared" si="15"/>
        <v>Giỏi</v>
      </c>
      <c r="E53" s="6">
        <v>8</v>
      </c>
      <c r="F53" s="6" t="s">
        <v>82</v>
      </c>
    </row>
    <row r="54" spans="1:6" ht="15.75" customHeight="1" x14ac:dyDescent="0.3">
      <c r="A54" s="6" t="s">
        <v>83</v>
      </c>
      <c r="B54" s="8">
        <v>45053</v>
      </c>
      <c r="C54" s="6" t="str">
        <f t="shared" si="15"/>
        <v>Giỏi</v>
      </c>
    </row>
    <row r="55" spans="1:6" ht="15.75" customHeight="1" x14ac:dyDescent="0.3">
      <c r="A55" s="6" t="s">
        <v>84</v>
      </c>
      <c r="B55" s="6">
        <v>6</v>
      </c>
      <c r="C55" s="6" t="str">
        <f t="shared" si="15"/>
        <v>TB</v>
      </c>
    </row>
    <row r="56" spans="1:6" ht="15.75" customHeight="1" x14ac:dyDescent="0.3">
      <c r="A56" s="6" t="s">
        <v>85</v>
      </c>
      <c r="B56" s="8">
        <v>45081</v>
      </c>
      <c r="C56" s="6" t="str">
        <f t="shared" si="15"/>
        <v>Giỏi</v>
      </c>
    </row>
    <row r="57" spans="1:6" ht="15.75" customHeight="1" x14ac:dyDescent="0.3">
      <c r="A57" s="6" t="s">
        <v>86</v>
      </c>
      <c r="B57" s="6">
        <v>4</v>
      </c>
      <c r="C57" s="6" t="str">
        <f t="shared" si="15"/>
        <v>Yếu</v>
      </c>
    </row>
    <row r="58" spans="1:6" ht="15.75" customHeight="1" x14ac:dyDescent="0.3"/>
    <row r="59" spans="1:6" ht="15.75" customHeight="1" x14ac:dyDescent="0.3"/>
    <row r="60" spans="1:6" ht="15.75" customHeight="1" x14ac:dyDescent="0.3"/>
    <row r="61" spans="1:6" ht="15.75" customHeight="1" x14ac:dyDescent="0.3"/>
    <row r="62" spans="1:6" ht="15.75" customHeight="1" x14ac:dyDescent="0.3"/>
    <row r="63" spans="1:6" ht="15.75" customHeight="1" x14ac:dyDescent="0.3"/>
    <row r="64" spans="1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  <outlinePr summaryBelow="0" summaryRight="0"/>
  </sheetPr>
  <dimension ref="A1:K136"/>
  <sheetViews>
    <sheetView tabSelected="1" topLeftCell="A96" zoomScale="71" zoomScaleNormal="145" workbookViewId="0">
      <selection activeCell="K104" sqref="K104"/>
    </sheetView>
  </sheetViews>
  <sheetFormatPr defaultColWidth="14.44140625" defaultRowHeight="15" customHeight="1" x14ac:dyDescent="0.3"/>
  <cols>
    <col min="1" max="1" width="25.6640625" bestFit="1" customWidth="1"/>
    <col min="2" max="2" width="15.5546875" bestFit="1" customWidth="1"/>
    <col min="7" max="7" width="15.88671875" bestFit="1" customWidth="1"/>
    <col min="8" max="8" width="16.44140625" bestFit="1" customWidth="1"/>
    <col min="9" max="9" width="16.109375" bestFit="1" customWidth="1"/>
    <col min="10" max="10" width="15.33203125" bestFit="1" customWidth="1"/>
  </cols>
  <sheetData>
    <row r="1" spans="1:9" ht="14.4" x14ac:dyDescent="0.3">
      <c r="A1" s="14" t="s">
        <v>87</v>
      </c>
      <c r="B1" s="14"/>
      <c r="C1" s="14"/>
      <c r="D1" s="14"/>
      <c r="E1" s="14"/>
      <c r="F1" s="14"/>
      <c r="G1" s="14"/>
      <c r="H1" s="14"/>
      <c r="I1" s="14"/>
    </row>
    <row r="2" spans="1:9" ht="15" customHeight="1" x14ac:dyDescent="0.3">
      <c r="A2" s="16" t="s">
        <v>88</v>
      </c>
      <c r="B2" s="17" t="s">
        <v>89</v>
      </c>
      <c r="C2" s="17"/>
      <c r="D2" s="17"/>
      <c r="E2" s="16" t="s">
        <v>90</v>
      </c>
      <c r="F2" s="16"/>
      <c r="G2" s="16"/>
      <c r="H2" s="16"/>
      <c r="I2" s="16"/>
    </row>
    <row r="3" spans="1:9" ht="15" customHeight="1" x14ac:dyDescent="0.3">
      <c r="A3" s="16"/>
      <c r="B3" s="18" t="s">
        <v>45</v>
      </c>
      <c r="C3" s="18" t="s">
        <v>6</v>
      </c>
      <c r="D3" s="18" t="s">
        <v>2</v>
      </c>
      <c r="E3" s="18" t="s">
        <v>46</v>
      </c>
      <c r="F3" s="18" t="s">
        <v>91</v>
      </c>
      <c r="G3" s="18" t="s">
        <v>92</v>
      </c>
      <c r="H3" s="18" t="s">
        <v>93</v>
      </c>
      <c r="I3" s="18" t="s">
        <v>94</v>
      </c>
    </row>
    <row r="4" spans="1:9" ht="15" customHeight="1" x14ac:dyDescent="0.3">
      <c r="A4" s="11">
        <v>1</v>
      </c>
      <c r="B4" s="12" t="s">
        <v>95</v>
      </c>
      <c r="C4" s="11" t="str">
        <f>LEFT(B4,2)</f>
        <v>KB</v>
      </c>
      <c r="D4" s="11" t="str">
        <f>VLOOKUP(C4,$B$18:$D$21,2,0)</f>
        <v>Keyboard</v>
      </c>
      <c r="E4" s="11">
        <v>100</v>
      </c>
      <c r="F4" s="11">
        <f>E4*VLOOKUP(C4,$B$18:$D$21,3,0)</f>
        <v>900</v>
      </c>
      <c r="G4" s="11">
        <f>IF(E4&gt;150,F4*(150/100),IF(E4&gt;=100,F4*(112/100),F4*(120/100)))</f>
        <v>1008.0000000000001</v>
      </c>
      <c r="H4" s="11">
        <f>(10/100)*(G4-F4)</f>
        <v>10.800000000000011</v>
      </c>
      <c r="I4" s="11">
        <f>G4-(F4+H4)</f>
        <v>97.200000000000159</v>
      </c>
    </row>
    <row r="5" spans="1:9" ht="15" customHeight="1" x14ac:dyDescent="0.3">
      <c r="A5" s="11">
        <v>2</v>
      </c>
      <c r="B5" s="12" t="s">
        <v>96</v>
      </c>
      <c r="C5" s="11" t="str">
        <f>LEFT(B5,2)</f>
        <v>KB</v>
      </c>
      <c r="D5" s="11" t="str">
        <f>VLOOKUP(C5,$B$18:$D$21,2,0)</f>
        <v>Keyboard</v>
      </c>
      <c r="E5" s="11">
        <v>200</v>
      </c>
      <c r="F5" s="11">
        <f>E5*VLOOKUP(C5,$B$18:$D$21,3,0)</f>
        <v>1800</v>
      </c>
      <c r="G5" s="11">
        <f t="shared" ref="G5:G11" si="0">IF(E5&gt;150,F5*(150/100),IF(E5&gt;=100,F5*(112/100),F5*(120/100)))</f>
        <v>2700</v>
      </c>
      <c r="H5" s="11">
        <f t="shared" ref="H5:H11" si="1">(10/100)*(G5-F5)</f>
        <v>90</v>
      </c>
      <c r="I5" s="11">
        <f t="shared" ref="I5:I11" si="2">G5-(F5+H5)</f>
        <v>810</v>
      </c>
    </row>
    <row r="6" spans="1:9" ht="15" customHeight="1" x14ac:dyDescent="0.3">
      <c r="A6" s="11">
        <v>3</v>
      </c>
      <c r="B6" s="12" t="s">
        <v>97</v>
      </c>
      <c r="C6" s="11" t="str">
        <f>LEFT(B6,2)</f>
        <v>MO</v>
      </c>
      <c r="D6" s="11" t="str">
        <f>VLOOKUP(C6,$B$18:$D$21,2,0)</f>
        <v>Monitor</v>
      </c>
      <c r="E6" s="11">
        <v>50</v>
      </c>
      <c r="F6" s="11">
        <f>E6*VLOOKUP(C6,$B$18:$D$21,3,0)</f>
        <v>5500</v>
      </c>
      <c r="G6" s="11">
        <f t="shared" si="0"/>
        <v>6600</v>
      </c>
      <c r="H6" s="11">
        <f t="shared" si="1"/>
        <v>110</v>
      </c>
      <c r="I6" s="11">
        <f t="shared" si="2"/>
        <v>990</v>
      </c>
    </row>
    <row r="7" spans="1:9" ht="15" customHeight="1" x14ac:dyDescent="0.3">
      <c r="A7" s="11">
        <v>4</v>
      </c>
      <c r="B7" s="12" t="s">
        <v>98</v>
      </c>
      <c r="C7" s="11" t="str">
        <f>LEFT(B7,2)</f>
        <v>FD</v>
      </c>
      <c r="D7" s="11" t="str">
        <f>VLOOKUP(C7,$B$18:$D$21,2,0)</f>
        <v>Floppy</v>
      </c>
      <c r="E7" s="11">
        <v>500</v>
      </c>
      <c r="F7" s="11">
        <f>E7*VLOOKUP(C7,$B$18:$D$21,3,0)</f>
        <v>4000</v>
      </c>
      <c r="G7" s="11">
        <f t="shared" si="0"/>
        <v>6000</v>
      </c>
      <c r="H7" s="11">
        <f t="shared" si="1"/>
        <v>200</v>
      </c>
      <c r="I7" s="11">
        <f t="shared" si="2"/>
        <v>1800</v>
      </c>
    </row>
    <row r="8" spans="1:9" ht="15" customHeight="1" x14ac:dyDescent="0.3">
      <c r="A8" s="11">
        <v>5</v>
      </c>
      <c r="B8" s="12" t="s">
        <v>99</v>
      </c>
      <c r="C8" s="11" t="str">
        <f>LEFT(B8,2)</f>
        <v>HD</v>
      </c>
      <c r="D8" s="11" t="str">
        <f>VLOOKUP(C8,$B$18:$D$21,2,0)</f>
        <v>Hard Disk</v>
      </c>
      <c r="E8" s="11">
        <v>80</v>
      </c>
      <c r="F8" s="11">
        <f>E8*VLOOKUP(C8,$B$18:$D$21,3,0)</f>
        <v>6400</v>
      </c>
      <c r="G8" s="11">
        <f t="shared" si="0"/>
        <v>7680</v>
      </c>
      <c r="H8" s="11">
        <f t="shared" si="1"/>
        <v>128</v>
      </c>
      <c r="I8" s="11">
        <f t="shared" si="2"/>
        <v>1152</v>
      </c>
    </row>
    <row r="9" spans="1:9" ht="15" customHeight="1" x14ac:dyDescent="0.3">
      <c r="A9" s="11">
        <v>6</v>
      </c>
      <c r="B9" s="12" t="s">
        <v>100</v>
      </c>
      <c r="C9" s="11" t="str">
        <f>LEFT(B9,2)</f>
        <v>MO</v>
      </c>
      <c r="D9" s="11" t="str">
        <f>VLOOKUP(C9,$B$18:$D$21,2,0)</f>
        <v>Monitor</v>
      </c>
      <c r="E9" s="11">
        <v>450</v>
      </c>
      <c r="F9" s="11">
        <f>E9*VLOOKUP(C9,$B$18:$D$21,3,0)</f>
        <v>49500</v>
      </c>
      <c r="G9" s="11">
        <f t="shared" si="0"/>
        <v>74250</v>
      </c>
      <c r="H9" s="11">
        <f t="shared" si="1"/>
        <v>2475</v>
      </c>
      <c r="I9" s="11">
        <f t="shared" si="2"/>
        <v>22275</v>
      </c>
    </row>
    <row r="10" spans="1:9" ht="15" customHeight="1" x14ac:dyDescent="0.3">
      <c r="A10" s="11">
        <v>7</v>
      </c>
      <c r="B10" s="12" t="s">
        <v>101</v>
      </c>
      <c r="C10" s="11" t="str">
        <f>LEFT(B10,2)</f>
        <v>FD</v>
      </c>
      <c r="D10" s="11" t="str">
        <f>VLOOKUP(C10,$B$18:$D$21,2,0)</f>
        <v>Floppy</v>
      </c>
      <c r="E10" s="11">
        <v>50</v>
      </c>
      <c r="F10" s="11">
        <f>E10*VLOOKUP(C10,$B$18:$D$21,3,0)</f>
        <v>400</v>
      </c>
      <c r="G10" s="11">
        <f t="shared" si="0"/>
        <v>480</v>
      </c>
      <c r="H10" s="11">
        <f t="shared" si="1"/>
        <v>8</v>
      </c>
      <c r="I10" s="11">
        <f t="shared" si="2"/>
        <v>72</v>
      </c>
    </row>
    <row r="11" spans="1:9" ht="15" customHeight="1" x14ac:dyDescent="0.3">
      <c r="A11" s="11">
        <v>8</v>
      </c>
      <c r="B11" s="12" t="s">
        <v>102</v>
      </c>
      <c r="C11" s="11" t="str">
        <f>LEFT(B11,2)</f>
        <v>HD</v>
      </c>
      <c r="D11" s="11" t="str">
        <f>VLOOKUP(C11,$B$18:$D$21,2,0)</f>
        <v>Hard Disk</v>
      </c>
      <c r="E11" s="11">
        <v>70</v>
      </c>
      <c r="F11" s="11">
        <f>E11*VLOOKUP(C11,$B$18:$D$21,3,0)</f>
        <v>5600</v>
      </c>
      <c r="G11" s="11">
        <f t="shared" si="0"/>
        <v>6720</v>
      </c>
      <c r="H11" s="11">
        <f t="shared" si="1"/>
        <v>112</v>
      </c>
      <c r="I11" s="11">
        <f t="shared" si="2"/>
        <v>1008</v>
      </c>
    </row>
    <row r="12" spans="1:9" ht="15" customHeight="1" x14ac:dyDescent="0.3">
      <c r="A12" s="15" t="s">
        <v>103</v>
      </c>
      <c r="B12" s="15"/>
      <c r="C12" s="15"/>
      <c r="D12" s="15"/>
      <c r="E12" s="11">
        <f>MIN(E4:E11)</f>
        <v>50</v>
      </c>
      <c r="F12" s="11">
        <f t="shared" ref="F12:I12" si="3">MIN(F4:F11)</f>
        <v>400</v>
      </c>
      <c r="G12" s="11">
        <f t="shared" si="3"/>
        <v>480</v>
      </c>
      <c r="H12" s="11">
        <f t="shared" si="3"/>
        <v>8</v>
      </c>
      <c r="I12" s="11">
        <f t="shared" si="3"/>
        <v>72</v>
      </c>
    </row>
    <row r="13" spans="1:9" ht="15" customHeight="1" x14ac:dyDescent="0.3">
      <c r="A13" s="15" t="s">
        <v>104</v>
      </c>
      <c r="B13" s="15"/>
      <c r="C13" s="15"/>
      <c r="D13" s="15"/>
      <c r="E13" s="11">
        <f>MAX(E4:E11)</f>
        <v>500</v>
      </c>
      <c r="F13" s="11">
        <f t="shared" ref="F13:I13" si="4">MAX(F4:F11)</f>
        <v>49500</v>
      </c>
      <c r="G13" s="11">
        <f t="shared" si="4"/>
        <v>74250</v>
      </c>
      <c r="H13" s="11">
        <f t="shared" si="4"/>
        <v>2475</v>
      </c>
      <c r="I13" s="11">
        <f t="shared" si="4"/>
        <v>22275</v>
      </c>
    </row>
    <row r="14" spans="1:9" ht="15" customHeight="1" x14ac:dyDescent="0.3">
      <c r="A14" s="15" t="s">
        <v>105</v>
      </c>
      <c r="B14" s="15"/>
      <c r="C14" s="15"/>
      <c r="D14" s="15"/>
      <c r="E14" s="11">
        <f>SUM(E4:E11)</f>
        <v>1500</v>
      </c>
      <c r="F14" s="11">
        <f t="shared" ref="F14:I14" si="5">SUM(F4:F11)</f>
        <v>74100</v>
      </c>
      <c r="G14" s="11">
        <f t="shared" si="5"/>
        <v>105438</v>
      </c>
      <c r="H14" s="11">
        <f t="shared" si="5"/>
        <v>3133.8</v>
      </c>
      <c r="I14" s="11">
        <f t="shared" si="5"/>
        <v>28204.2</v>
      </c>
    </row>
    <row r="16" spans="1:9" ht="15" customHeight="1" x14ac:dyDescent="0.3">
      <c r="B16" s="13" t="s">
        <v>112</v>
      </c>
      <c r="C16" s="13"/>
      <c r="D16" s="13"/>
      <c r="F16" s="13" t="s">
        <v>113</v>
      </c>
      <c r="G16" s="13"/>
    </row>
    <row r="17" spans="1:10" ht="15" customHeight="1" x14ac:dyDescent="0.3">
      <c r="B17" s="18" t="s">
        <v>6</v>
      </c>
      <c r="C17" s="18" t="s">
        <v>2</v>
      </c>
      <c r="D17" s="18" t="s">
        <v>106</v>
      </c>
      <c r="F17" s="18" t="s">
        <v>6</v>
      </c>
      <c r="G17" s="18" t="s">
        <v>94</v>
      </c>
    </row>
    <row r="18" spans="1:10" ht="15" customHeight="1" x14ac:dyDescent="0.3">
      <c r="B18" s="12" t="s">
        <v>8</v>
      </c>
      <c r="C18" s="12" t="s">
        <v>108</v>
      </c>
      <c r="D18" s="11">
        <v>9</v>
      </c>
      <c r="F18" s="12" t="s">
        <v>8</v>
      </c>
      <c r="G18" s="11">
        <f>SUMIF($C$4:$C$11,"KB",$I$4:$I$11)</f>
        <v>907.20000000000016</v>
      </c>
    </row>
    <row r="19" spans="1:10" ht="15" customHeight="1" x14ac:dyDescent="0.3">
      <c r="B19" s="12" t="s">
        <v>63</v>
      </c>
      <c r="C19" s="12" t="s">
        <v>109</v>
      </c>
      <c r="D19" s="11">
        <v>80</v>
      </c>
      <c r="F19" s="12" t="s">
        <v>63</v>
      </c>
      <c r="G19" s="11">
        <f>SUMIF($C$4:$C$11,"HD",$I$4:$I$11)</f>
        <v>2160</v>
      </c>
    </row>
    <row r="20" spans="1:10" ht="15" customHeight="1" x14ac:dyDescent="0.3">
      <c r="B20" s="12" t="s">
        <v>7</v>
      </c>
      <c r="C20" s="12" t="s">
        <v>110</v>
      </c>
      <c r="D20" s="11">
        <v>110</v>
      </c>
      <c r="F20" s="12" t="s">
        <v>7</v>
      </c>
      <c r="G20" s="11">
        <f>SUMIF($C$4:$C$11,"MO",$I$4:$I$11)</f>
        <v>23265</v>
      </c>
    </row>
    <row r="21" spans="1:10" ht="15" customHeight="1" x14ac:dyDescent="0.3">
      <c r="B21" s="12" t="s">
        <v>107</v>
      </c>
      <c r="C21" s="12" t="s">
        <v>111</v>
      </c>
      <c r="D21" s="11">
        <v>8</v>
      </c>
      <c r="F21" s="12" t="s">
        <v>107</v>
      </c>
      <c r="G21" s="11">
        <f>SUMIF($C$4:$C$11,"FD",$I$4:$I$11)</f>
        <v>1872</v>
      </c>
    </row>
    <row r="23" spans="1:10" ht="15" customHeight="1" x14ac:dyDescent="0.3">
      <c r="B23" s="13" t="s">
        <v>114</v>
      </c>
      <c r="C23" s="13"/>
      <c r="D23" s="13"/>
      <c r="E23" s="13"/>
      <c r="F23" s="13"/>
      <c r="G23" s="13"/>
      <c r="H23" s="13"/>
      <c r="I23" s="13"/>
    </row>
    <row r="24" spans="1:10" ht="15" customHeight="1" x14ac:dyDescent="0.3">
      <c r="A24" s="18" t="s">
        <v>115</v>
      </c>
      <c r="B24" s="18" t="s">
        <v>116</v>
      </c>
      <c r="C24" s="18" t="s">
        <v>117</v>
      </c>
      <c r="D24" s="18" t="s">
        <v>118</v>
      </c>
      <c r="E24" s="18" t="s">
        <v>119</v>
      </c>
      <c r="F24" s="18" t="s">
        <v>120</v>
      </c>
      <c r="G24" s="18" t="s">
        <v>121</v>
      </c>
      <c r="H24" s="18" t="s">
        <v>122</v>
      </c>
      <c r="I24" s="18" t="s">
        <v>123</v>
      </c>
      <c r="J24" s="18" t="s">
        <v>146</v>
      </c>
    </row>
    <row r="25" spans="1:10" ht="15" customHeight="1" x14ac:dyDescent="0.3">
      <c r="A25" s="12" t="s">
        <v>129</v>
      </c>
      <c r="B25" s="12" t="s">
        <v>136</v>
      </c>
      <c r="C25" s="11" t="str">
        <f>MID(A25,3,1)</f>
        <v>K</v>
      </c>
      <c r="D25" s="11" t="str">
        <f>VLOOKUP(C25,$A$35:$C$37,2,0)</f>
        <v>Tham khảo</v>
      </c>
      <c r="E25" s="12">
        <v>450</v>
      </c>
      <c r="F25" s="11">
        <f>VLOOKUP(C25,$A$35:$C$37,3,0)</f>
        <v>3000</v>
      </c>
      <c r="G25" s="11">
        <f t="shared" ref="G25:G31" si="6">E25*F25</f>
        <v>1350000</v>
      </c>
      <c r="H25" s="11">
        <f t="shared" ref="H25:H31" si="7">HLOOKUP(E25, $G$34:$I$35,2,1)</f>
        <v>50000</v>
      </c>
      <c r="I25" s="11">
        <f>IF(LEFT(A25,1)="A",G25*(8/100),IF(LEFT(A25,1)="B",G25*(5/100),0))</f>
        <v>0</v>
      </c>
      <c r="J25" s="11">
        <f t="shared" ref="J25:J31" si="8">G25-I25+H25</f>
        <v>1400000</v>
      </c>
    </row>
    <row r="26" spans="1:10" ht="15" customHeight="1" x14ac:dyDescent="0.3">
      <c r="A26" s="12" t="s">
        <v>127</v>
      </c>
      <c r="B26" s="12" t="s">
        <v>134</v>
      </c>
      <c r="C26" s="11" t="str">
        <f>MID(A26,3,1)</f>
        <v>K</v>
      </c>
      <c r="D26" s="11" t="str">
        <f>VLOOKUP(C26,$A$35:$C$37,2,0)</f>
        <v>Tham khảo</v>
      </c>
      <c r="E26" s="12">
        <v>600</v>
      </c>
      <c r="F26" s="11">
        <f>VLOOKUP(C26,$A$35:$C$37,3,0)</f>
        <v>3000</v>
      </c>
      <c r="G26" s="11">
        <f t="shared" si="6"/>
        <v>1800000</v>
      </c>
      <c r="H26" s="11">
        <f t="shared" si="7"/>
        <v>50000</v>
      </c>
      <c r="I26" s="11">
        <f>IF(LEFT(A26,1)="A",G26*(8/100),IF(LEFT(A26,1)="B",G26*(5/100),0))</f>
        <v>90000</v>
      </c>
      <c r="J26" s="11">
        <f t="shared" si="8"/>
        <v>1760000</v>
      </c>
    </row>
    <row r="27" spans="1:10" ht="15" customHeight="1" x14ac:dyDescent="0.3">
      <c r="A27" s="12" t="s">
        <v>126</v>
      </c>
      <c r="B27" s="12" t="s">
        <v>133</v>
      </c>
      <c r="C27" s="11" t="str">
        <f>MID(A27,3,1)</f>
        <v>T</v>
      </c>
      <c r="D27" s="11" t="str">
        <f>VLOOKUP(C27,$A$35:$C$37,2,0)</f>
        <v>Truyện</v>
      </c>
      <c r="E27" s="12">
        <v>700</v>
      </c>
      <c r="F27" s="11">
        <f>VLOOKUP(C27,$A$35:$C$37,3,0)</f>
        <v>3500</v>
      </c>
      <c r="G27" s="11">
        <f t="shared" si="6"/>
        <v>2450000</v>
      </c>
      <c r="H27" s="11">
        <f t="shared" si="7"/>
        <v>50000</v>
      </c>
      <c r="I27" s="11">
        <f>IF(LEFT(A27,1)="A",G27*(8/100),IF(LEFT(A27,1)="B",G27*(5/100),0))</f>
        <v>0</v>
      </c>
      <c r="J27" s="11">
        <f t="shared" si="8"/>
        <v>2500000</v>
      </c>
    </row>
    <row r="28" spans="1:10" ht="15" customHeight="1" x14ac:dyDescent="0.3">
      <c r="A28" s="12" t="s">
        <v>124</v>
      </c>
      <c r="B28" s="12" t="s">
        <v>131</v>
      </c>
      <c r="C28" s="11" t="str">
        <f>MID(A28,3,1)</f>
        <v>G</v>
      </c>
      <c r="D28" s="11" t="str">
        <f>VLOOKUP(C28,$A$35:$C$37,2,0)</f>
        <v>Giáo khoa</v>
      </c>
      <c r="E28" s="11">
        <v>1500</v>
      </c>
      <c r="F28" s="11">
        <f>VLOOKUP(C28,$A$35:$C$37,3,0)</f>
        <v>2800</v>
      </c>
      <c r="G28" s="11">
        <f t="shared" si="6"/>
        <v>4200000</v>
      </c>
      <c r="H28" s="11">
        <f t="shared" si="7"/>
        <v>15000</v>
      </c>
      <c r="I28" s="11">
        <f>IF(LEFT(A28,1)="A",G28*(8/100),IF(LEFT(A28,1)="B",G28*(5/100),0))</f>
        <v>336000</v>
      </c>
      <c r="J28" s="11">
        <f t="shared" si="8"/>
        <v>3879000</v>
      </c>
    </row>
    <row r="29" spans="1:10" ht="15" customHeight="1" x14ac:dyDescent="0.3">
      <c r="A29" s="12" t="s">
        <v>130</v>
      </c>
      <c r="B29" s="12" t="s">
        <v>137</v>
      </c>
      <c r="C29" s="11" t="str">
        <f>MID(A29,3,1)</f>
        <v>T</v>
      </c>
      <c r="D29" s="11" t="str">
        <f>VLOOKUP(C29,$A$35:$C$37,2,0)</f>
        <v>Truyện</v>
      </c>
      <c r="E29" s="12">
        <v>1500</v>
      </c>
      <c r="F29" s="11">
        <f>VLOOKUP(C29,$A$35:$C$37,3,0)</f>
        <v>3500</v>
      </c>
      <c r="G29" s="11">
        <f t="shared" si="6"/>
        <v>5250000</v>
      </c>
      <c r="H29" s="11">
        <f t="shared" si="7"/>
        <v>15000</v>
      </c>
      <c r="I29" s="11">
        <f>IF(LEFT(A29,1)="A",G29*(8/100),IF(LEFT(A29,1)="B",G29*(5/100),0))</f>
        <v>0</v>
      </c>
      <c r="J29" s="11">
        <f t="shared" si="8"/>
        <v>5265000</v>
      </c>
    </row>
    <row r="30" spans="1:10" ht="15" customHeight="1" x14ac:dyDescent="0.3">
      <c r="A30" s="12" t="s">
        <v>128</v>
      </c>
      <c r="B30" s="12" t="s">
        <v>135</v>
      </c>
      <c r="C30" s="11" t="str">
        <f>MID(A30,3,1)</f>
        <v>G</v>
      </c>
      <c r="D30" s="11" t="str">
        <f>VLOOKUP(C30,$A$35:$C$37,2,0)</f>
        <v>Giáo khoa</v>
      </c>
      <c r="E30" s="12">
        <v>2000</v>
      </c>
      <c r="F30" s="11">
        <f>VLOOKUP(C30,$A$35:$C$37,3,0)</f>
        <v>2800</v>
      </c>
      <c r="G30" s="11">
        <f t="shared" si="6"/>
        <v>5600000</v>
      </c>
      <c r="H30" s="11">
        <f t="shared" si="7"/>
        <v>15000</v>
      </c>
      <c r="I30" s="11">
        <f>IF(LEFT(A30,1)="A",G30*(8/100),IF(LEFT(A30,1)="B",G30*(5/100),0))</f>
        <v>448000</v>
      </c>
      <c r="J30" s="11">
        <f t="shared" si="8"/>
        <v>5167000</v>
      </c>
    </row>
    <row r="31" spans="1:10" ht="15" customHeight="1" x14ac:dyDescent="0.3">
      <c r="A31" s="12" t="s">
        <v>125</v>
      </c>
      <c r="B31" s="12" t="s">
        <v>132</v>
      </c>
      <c r="C31" s="11" t="str">
        <f>MID(A31,3,1)</f>
        <v>G</v>
      </c>
      <c r="D31" s="11" t="str">
        <f>VLOOKUP(C31,$A$35:$C$37,2,0)</f>
        <v>Giáo khoa</v>
      </c>
      <c r="E31" s="11">
        <v>2100</v>
      </c>
      <c r="F31" s="11">
        <f>VLOOKUP(C31,$A$35:$C$37,3,0)</f>
        <v>2800</v>
      </c>
      <c r="G31" s="11">
        <f t="shared" si="6"/>
        <v>5880000</v>
      </c>
      <c r="H31" s="11">
        <f t="shared" si="7"/>
        <v>15000</v>
      </c>
      <c r="I31" s="11">
        <f>IF(LEFT(A31,1)="A",G31*(8/100),IF(LEFT(A31,1)="B",G31*(5/100),0))</f>
        <v>470400</v>
      </c>
      <c r="J31" s="11">
        <f t="shared" si="8"/>
        <v>5424600</v>
      </c>
    </row>
    <row r="33" spans="1:11" ht="15" customHeight="1" x14ac:dyDescent="0.3">
      <c r="A33" s="13" t="s">
        <v>138</v>
      </c>
      <c r="B33" s="13"/>
      <c r="C33" s="13"/>
      <c r="F33" s="13" t="s">
        <v>140</v>
      </c>
      <c r="G33" s="13"/>
      <c r="H33" s="13"/>
      <c r="I33" s="13"/>
    </row>
    <row r="34" spans="1:11" ht="15" customHeight="1" x14ac:dyDescent="0.3">
      <c r="A34" s="18" t="s">
        <v>117</v>
      </c>
      <c r="B34" s="18" t="s">
        <v>118</v>
      </c>
      <c r="C34" s="18" t="s">
        <v>120</v>
      </c>
      <c r="F34" s="18" t="s">
        <v>119</v>
      </c>
      <c r="G34" s="11">
        <v>0</v>
      </c>
      <c r="H34" s="11">
        <v>1000</v>
      </c>
      <c r="I34" s="11">
        <v>1500</v>
      </c>
    </row>
    <row r="35" spans="1:11" ht="15" customHeight="1" x14ac:dyDescent="0.3">
      <c r="A35" s="12" t="s">
        <v>141</v>
      </c>
      <c r="B35" s="12" t="s">
        <v>143</v>
      </c>
      <c r="C35" s="11">
        <v>2800</v>
      </c>
      <c r="F35" s="18" t="s">
        <v>139</v>
      </c>
      <c r="G35" s="11">
        <v>50000</v>
      </c>
      <c r="H35" s="11">
        <v>30000</v>
      </c>
      <c r="I35" s="11">
        <v>15000</v>
      </c>
    </row>
    <row r="36" spans="1:11" ht="15" customHeight="1" x14ac:dyDescent="0.3">
      <c r="A36" s="12" t="s">
        <v>57</v>
      </c>
      <c r="B36" s="12" t="s">
        <v>144</v>
      </c>
      <c r="C36" s="11">
        <v>3500</v>
      </c>
    </row>
    <row r="37" spans="1:11" ht="15" customHeight="1" x14ac:dyDescent="0.3">
      <c r="A37" s="12" t="s">
        <v>142</v>
      </c>
      <c r="B37" s="12" t="s">
        <v>145</v>
      </c>
      <c r="C37" s="11">
        <v>3000</v>
      </c>
    </row>
    <row r="39" spans="1:11" ht="15" customHeight="1" x14ac:dyDescent="0.3">
      <c r="A39" s="13" t="s">
        <v>147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ht="15" customHeight="1" x14ac:dyDescent="0.3">
      <c r="A40" s="18" t="s">
        <v>148</v>
      </c>
      <c r="B40" s="18" t="s">
        <v>149</v>
      </c>
      <c r="C40" s="18" t="s">
        <v>150</v>
      </c>
      <c r="D40" s="18" t="s">
        <v>151</v>
      </c>
      <c r="E40" s="18" t="s">
        <v>152</v>
      </c>
      <c r="F40" s="18" t="s">
        <v>153</v>
      </c>
      <c r="G40" s="18" t="s">
        <v>154</v>
      </c>
      <c r="H40" s="18" t="s">
        <v>120</v>
      </c>
      <c r="I40" s="18" t="s">
        <v>155</v>
      </c>
      <c r="J40" s="18" t="s">
        <v>156</v>
      </c>
      <c r="K40" s="18" t="s">
        <v>157</v>
      </c>
    </row>
    <row r="41" spans="1:11" ht="15" customHeight="1" x14ac:dyDescent="0.3">
      <c r="A41" s="11" t="s">
        <v>158</v>
      </c>
      <c r="B41" s="11" t="s">
        <v>164</v>
      </c>
      <c r="C41" s="11" t="str">
        <f>LEFT(A41,2)</f>
        <v>ND</v>
      </c>
      <c r="D41" s="11">
        <v>1397</v>
      </c>
      <c r="E41" s="11">
        <v>1500</v>
      </c>
      <c r="F41" s="11">
        <f>IF(E41&gt;=D41,E41-D41,10000-D41+E41)</f>
        <v>103</v>
      </c>
      <c r="G41" s="11">
        <f>VLOOKUP(C41,$A$50:$C$52,2,0)</f>
        <v>100</v>
      </c>
      <c r="H41" s="11">
        <f>VLOOKUP(C41,$A$50:$C$52,3,0)</f>
        <v>50</v>
      </c>
      <c r="I41" s="11">
        <f>IF(F41&gt;G41,F41-G41,0)</f>
        <v>3</v>
      </c>
      <c r="J41" s="11">
        <f>MIN(F41,G41)*H41</f>
        <v>5000</v>
      </c>
      <c r="K41" s="11">
        <f>I41*H41*HLOOKUP(I41,$F$49:$J$50,2,1)</f>
        <v>225</v>
      </c>
    </row>
    <row r="42" spans="1:11" ht="15" customHeight="1" x14ac:dyDescent="0.3">
      <c r="A42" s="11" t="s">
        <v>159</v>
      </c>
      <c r="B42" s="11" t="s">
        <v>165</v>
      </c>
      <c r="C42" s="11" t="str">
        <f t="shared" ref="C42:C46" si="9">LEFT(A42,2)</f>
        <v>ND</v>
      </c>
      <c r="D42" s="11">
        <v>5555</v>
      </c>
      <c r="E42" s="11">
        <v>5580</v>
      </c>
      <c r="F42" s="11">
        <f t="shared" ref="F42:F46" si="10">IF(E42&gt;=D42,E42-D42,10000-D42+E42)</f>
        <v>25</v>
      </c>
      <c r="G42" s="11">
        <f>VLOOKUP(C42,$A$50:$C$52,2,0)</f>
        <v>100</v>
      </c>
      <c r="H42" s="11">
        <f>VLOOKUP(C42,$A$50:$C$52,3,0)</f>
        <v>50</v>
      </c>
      <c r="I42" s="11">
        <f t="shared" ref="I42:I46" si="11">IF(F42&gt;G42,F42-G42,0)</f>
        <v>0</v>
      </c>
      <c r="J42" s="11">
        <f t="shared" ref="J42:J46" si="12">MIN(F42,G42)*H42</f>
        <v>1250</v>
      </c>
      <c r="K42" s="11">
        <f t="shared" ref="K42:K46" si="13">I42*H42*HLOOKUP(I42,$F$49:$J$50,2,1)</f>
        <v>0</v>
      </c>
    </row>
    <row r="43" spans="1:11" ht="15" customHeight="1" x14ac:dyDescent="0.3">
      <c r="A43" s="11" t="s">
        <v>160</v>
      </c>
      <c r="B43" s="11" t="s">
        <v>166</v>
      </c>
      <c r="C43" s="11" t="str">
        <f t="shared" si="9"/>
        <v>SX</v>
      </c>
      <c r="D43" s="11">
        <v>4500</v>
      </c>
      <c r="E43" s="11">
        <v>4700</v>
      </c>
      <c r="F43" s="11">
        <f t="shared" si="10"/>
        <v>200</v>
      </c>
      <c r="G43" s="11">
        <f>VLOOKUP(C43,$A$50:$C$52,2,0)</f>
        <v>300</v>
      </c>
      <c r="H43" s="11">
        <f>VLOOKUP(C43,$A$50:$C$52,3,0)</f>
        <v>60</v>
      </c>
      <c r="I43" s="11">
        <f t="shared" si="11"/>
        <v>0</v>
      </c>
      <c r="J43" s="11">
        <f t="shared" si="12"/>
        <v>12000</v>
      </c>
      <c r="K43" s="11">
        <f t="shared" si="13"/>
        <v>0</v>
      </c>
    </row>
    <row r="44" spans="1:11" ht="15" customHeight="1" x14ac:dyDescent="0.3">
      <c r="A44" s="11" t="s">
        <v>161</v>
      </c>
      <c r="B44" s="11" t="s">
        <v>167</v>
      </c>
      <c r="C44" s="11" t="str">
        <f t="shared" si="9"/>
        <v>SX</v>
      </c>
      <c r="D44" s="11">
        <v>6000</v>
      </c>
      <c r="E44" s="11">
        <v>6400</v>
      </c>
      <c r="F44" s="11">
        <f t="shared" si="10"/>
        <v>400</v>
      </c>
      <c r="G44" s="11">
        <f>VLOOKUP(C44,$A$50:$C$52,2,0)</f>
        <v>300</v>
      </c>
      <c r="H44" s="11">
        <f>VLOOKUP(C44,$A$50:$C$52,3,0)</f>
        <v>60</v>
      </c>
      <c r="I44" s="11">
        <f t="shared" si="11"/>
        <v>100</v>
      </c>
      <c r="J44" s="11">
        <f t="shared" si="12"/>
        <v>18000</v>
      </c>
      <c r="K44" s="11">
        <f t="shared" si="13"/>
        <v>15000</v>
      </c>
    </row>
    <row r="45" spans="1:11" ht="15" customHeight="1" x14ac:dyDescent="0.3">
      <c r="A45" s="11" t="s">
        <v>162</v>
      </c>
      <c r="B45" s="11" t="s">
        <v>168</v>
      </c>
      <c r="C45" s="11" t="str">
        <f t="shared" si="9"/>
        <v>KD</v>
      </c>
      <c r="D45" s="11">
        <v>9950</v>
      </c>
      <c r="E45" s="11">
        <v>150</v>
      </c>
      <c r="F45" s="11">
        <f t="shared" si="10"/>
        <v>200</v>
      </c>
      <c r="G45" s="11">
        <f>VLOOKUP(C45,$A$50:$C$52,2,0)</f>
        <v>500</v>
      </c>
      <c r="H45" s="11">
        <f>VLOOKUP(C45,$A$50:$C$52,3,0)</f>
        <v>80</v>
      </c>
      <c r="I45" s="11">
        <f t="shared" si="11"/>
        <v>0</v>
      </c>
      <c r="J45" s="11">
        <f t="shared" si="12"/>
        <v>16000</v>
      </c>
      <c r="K45" s="11">
        <f t="shared" si="13"/>
        <v>0</v>
      </c>
    </row>
    <row r="46" spans="1:11" ht="15" customHeight="1" x14ac:dyDescent="0.3">
      <c r="A46" s="11" t="s">
        <v>163</v>
      </c>
      <c r="B46" s="11" t="s">
        <v>169</v>
      </c>
      <c r="C46" s="11" t="str">
        <f t="shared" si="9"/>
        <v>KD</v>
      </c>
      <c r="D46" s="11">
        <v>9800</v>
      </c>
      <c r="E46" s="11">
        <v>700</v>
      </c>
      <c r="F46" s="11">
        <f t="shared" si="10"/>
        <v>900</v>
      </c>
      <c r="G46" s="11">
        <f>VLOOKUP(C46,$A$50:$C$52,2,0)</f>
        <v>500</v>
      </c>
      <c r="H46" s="11">
        <f>VLOOKUP(C46,$A$50:$C$52,3,0)</f>
        <v>80</v>
      </c>
      <c r="I46" s="11">
        <f t="shared" si="11"/>
        <v>400</v>
      </c>
      <c r="J46" s="11">
        <f t="shared" si="12"/>
        <v>40000</v>
      </c>
      <c r="K46" s="11">
        <f t="shared" si="13"/>
        <v>96000</v>
      </c>
    </row>
    <row r="48" spans="1:11" ht="15" customHeight="1" x14ac:dyDescent="0.3">
      <c r="A48" s="9" t="s">
        <v>170</v>
      </c>
      <c r="E48" s="9" t="s">
        <v>174</v>
      </c>
    </row>
    <row r="49" spans="1:10" ht="15" customHeight="1" x14ac:dyDescent="0.3">
      <c r="A49" s="18" t="s">
        <v>150</v>
      </c>
      <c r="B49" s="18" t="s">
        <v>154</v>
      </c>
      <c r="C49" s="18" t="s">
        <v>120</v>
      </c>
      <c r="E49" s="18" t="s">
        <v>175</v>
      </c>
      <c r="F49" s="11">
        <v>0</v>
      </c>
      <c r="G49" s="11">
        <v>1</v>
      </c>
      <c r="H49" s="11">
        <v>50</v>
      </c>
      <c r="I49" s="11">
        <v>100</v>
      </c>
      <c r="J49" s="11">
        <v>200</v>
      </c>
    </row>
    <row r="50" spans="1:10" ht="15" customHeight="1" x14ac:dyDescent="0.3">
      <c r="A50" s="11" t="s">
        <v>171</v>
      </c>
      <c r="B50" s="11">
        <v>100</v>
      </c>
      <c r="C50" s="11">
        <v>50</v>
      </c>
      <c r="E50" s="18" t="s">
        <v>176</v>
      </c>
      <c r="F50" s="19">
        <v>0</v>
      </c>
      <c r="G50" s="19">
        <v>1.5</v>
      </c>
      <c r="H50" s="19">
        <v>2</v>
      </c>
      <c r="I50" s="19">
        <v>2.5</v>
      </c>
      <c r="J50" s="19">
        <v>3</v>
      </c>
    </row>
    <row r="51" spans="1:10" ht="15" customHeight="1" x14ac:dyDescent="0.3">
      <c r="A51" s="11" t="s">
        <v>172</v>
      </c>
      <c r="B51" s="11">
        <v>300</v>
      </c>
      <c r="C51" s="11">
        <v>60</v>
      </c>
    </row>
    <row r="52" spans="1:10" ht="15" customHeight="1" x14ac:dyDescent="0.3">
      <c r="A52" s="11" t="s">
        <v>173</v>
      </c>
      <c r="B52" s="11">
        <v>500</v>
      </c>
      <c r="C52" s="11">
        <v>80</v>
      </c>
    </row>
    <row r="53" spans="1:10" ht="15" customHeight="1" x14ac:dyDescent="0.3">
      <c r="A53" s="26"/>
      <c r="B53" s="26"/>
      <c r="C53" s="26"/>
    </row>
    <row r="54" spans="1:10" ht="15" customHeight="1" thickBot="1" x14ac:dyDescent="0.35">
      <c r="G54" s="9" t="s">
        <v>185</v>
      </c>
      <c r="H54" s="9">
        <v>15500</v>
      </c>
    </row>
    <row r="55" spans="1:10" ht="28.2" thickBot="1" x14ac:dyDescent="0.35">
      <c r="A55" s="20" t="s">
        <v>215</v>
      </c>
      <c r="B55" s="20" t="s">
        <v>216</v>
      </c>
      <c r="C55" s="28" t="s">
        <v>180</v>
      </c>
      <c r="D55" s="20" t="s">
        <v>217</v>
      </c>
      <c r="E55" s="20" t="s">
        <v>218</v>
      </c>
      <c r="F55" s="29" t="s">
        <v>181</v>
      </c>
      <c r="G55" s="30" t="s">
        <v>182</v>
      </c>
      <c r="H55" s="29" t="s">
        <v>183</v>
      </c>
      <c r="I55" s="21" t="s">
        <v>219</v>
      </c>
      <c r="J55" s="21" t="s">
        <v>220</v>
      </c>
    </row>
    <row r="56" spans="1:10" thickBot="1" x14ac:dyDescent="0.35">
      <c r="A56" s="31" t="s">
        <v>221</v>
      </c>
      <c r="B56" s="32" t="s">
        <v>177</v>
      </c>
      <c r="C56" s="33" t="str">
        <f>MID(A56,5,4)</f>
        <v>1SAO</v>
      </c>
      <c r="D56" s="34" t="str">
        <f>VLOOKUP(C56,$A$72:$B$75,2,0)</f>
        <v>8</v>
      </c>
      <c r="E56" s="33" t="str">
        <f>VLOOKUP(LEFT(A56,3),$D$72:$G$74,2,0)</f>
        <v>Nha trang</v>
      </c>
      <c r="F56" s="33" t="str">
        <f>VLOOKUP(LEFT(A56,3),$D$72:$G$74,3,0)</f>
        <v>4</v>
      </c>
      <c r="G56" s="33" t="str">
        <f>VLOOKUP(LEFT(A56,3),$D$72:$G$74,4,0)</f>
        <v>22</v>
      </c>
      <c r="H56" s="33">
        <f>IF(E56="Đà Lạt",5,IF(E56="Nha trang",7,10))</f>
        <v>7</v>
      </c>
      <c r="I56" s="33">
        <f>D56*F56+G56+H56</f>
        <v>61</v>
      </c>
      <c r="J56" s="33">
        <f>I56*$H$54</f>
        <v>945500</v>
      </c>
    </row>
    <row r="57" spans="1:10" thickBot="1" x14ac:dyDescent="0.35">
      <c r="A57" s="27" t="s">
        <v>222</v>
      </c>
      <c r="B57" s="27" t="s">
        <v>223</v>
      </c>
      <c r="C57" s="33" t="str">
        <f>MID(A57,5,4)</f>
        <v>MINI</v>
      </c>
      <c r="D57" s="34" t="str">
        <f t="shared" ref="D57:D69" si="14">VLOOKUP(C57,$A$72:$B$75,2,0)</f>
        <v>5</v>
      </c>
      <c r="E57" s="33" t="str">
        <f>VLOOKUP(LEFT(A57,3),$D$72:$G$74,2,0)</f>
        <v>Nha trang</v>
      </c>
      <c r="F57" s="33" t="str">
        <f>VLOOKUP(LEFT(A57,3),$D$72:$G$74,3,0)</f>
        <v>4</v>
      </c>
      <c r="G57" s="33" t="str">
        <f>VLOOKUP(LEFT(A57,3),$D$72:$G$74,4,0)</f>
        <v>22</v>
      </c>
      <c r="H57" s="33">
        <f t="shared" ref="H57:H69" si="15">IF(E57="Đà Lạt",5,IF(E57="Nha trang",7,10))</f>
        <v>7</v>
      </c>
      <c r="I57" s="33">
        <f t="shared" ref="I57:I69" si="16">D57*F57+G57+H57</f>
        <v>49</v>
      </c>
      <c r="J57" s="33">
        <f t="shared" ref="J57:J69" si="17">I57*$H$54</f>
        <v>759500</v>
      </c>
    </row>
    <row r="58" spans="1:10" thickBot="1" x14ac:dyDescent="0.35">
      <c r="A58" s="27" t="s">
        <v>224</v>
      </c>
      <c r="B58" s="27" t="s">
        <v>225</v>
      </c>
      <c r="C58" s="33" t="str">
        <f>MID(A58,5,4)</f>
        <v>1SAO</v>
      </c>
      <c r="D58" s="34" t="str">
        <f t="shared" si="14"/>
        <v>8</v>
      </c>
      <c r="E58" s="33" t="str">
        <f>VLOOKUP(LEFT(A58,3),$D$72:$G$74,2,0)</f>
        <v>Nha trang</v>
      </c>
      <c r="F58" s="33" t="str">
        <f>VLOOKUP(LEFT(A58,3),$D$72:$G$74,3,0)</f>
        <v>4</v>
      </c>
      <c r="G58" s="33" t="str">
        <f>VLOOKUP(LEFT(A58,3),$D$72:$G$74,4,0)</f>
        <v>22</v>
      </c>
      <c r="H58" s="33">
        <f t="shared" si="15"/>
        <v>7</v>
      </c>
      <c r="I58" s="33">
        <f t="shared" si="16"/>
        <v>61</v>
      </c>
      <c r="J58" s="33">
        <f t="shared" si="17"/>
        <v>945500</v>
      </c>
    </row>
    <row r="59" spans="1:10" thickBot="1" x14ac:dyDescent="0.35">
      <c r="A59" s="27" t="s">
        <v>226</v>
      </c>
      <c r="B59" s="27" t="s">
        <v>227</v>
      </c>
      <c r="C59" s="33" t="str">
        <f>MID(A59,5,4)</f>
        <v>2SAO</v>
      </c>
      <c r="D59" s="34" t="str">
        <f t="shared" si="14"/>
        <v>12</v>
      </c>
      <c r="E59" s="33" t="str">
        <f>VLOOKUP(LEFT(A59,3),$D$72:$G$74,2,0)</f>
        <v>Nha trang</v>
      </c>
      <c r="F59" s="33" t="str">
        <f>VLOOKUP(LEFT(A59,3),$D$72:$G$74,3,0)</f>
        <v>4</v>
      </c>
      <c r="G59" s="33" t="str">
        <f>VLOOKUP(LEFT(A59,3),$D$72:$G$74,4,0)</f>
        <v>22</v>
      </c>
      <c r="H59" s="33">
        <f t="shared" si="15"/>
        <v>7</v>
      </c>
      <c r="I59" s="33">
        <f t="shared" si="16"/>
        <v>77</v>
      </c>
      <c r="J59" s="33">
        <f t="shared" si="17"/>
        <v>1193500</v>
      </c>
    </row>
    <row r="60" spans="1:10" thickBot="1" x14ac:dyDescent="0.35">
      <c r="A60" s="33" t="s">
        <v>228</v>
      </c>
      <c r="B60" s="33" t="s">
        <v>229</v>
      </c>
      <c r="C60" s="33" t="str">
        <f>MID(A60,5,4)</f>
        <v>MINI</v>
      </c>
      <c r="D60" s="34" t="str">
        <f t="shared" si="14"/>
        <v>5</v>
      </c>
      <c r="E60" s="33" t="str">
        <f>VLOOKUP(LEFT(A60,3),$D$72:$G$74,2,0)</f>
        <v>Nha trang</v>
      </c>
      <c r="F60" s="33" t="str">
        <f>VLOOKUP(LEFT(A60,3),$D$72:$G$74,3,0)</f>
        <v>4</v>
      </c>
      <c r="G60" s="33" t="str">
        <f>VLOOKUP(LEFT(A60,3),$D$72:$G$74,4,0)</f>
        <v>22</v>
      </c>
      <c r="H60" s="33">
        <f t="shared" si="15"/>
        <v>7</v>
      </c>
      <c r="I60" s="33">
        <f t="shared" si="16"/>
        <v>49</v>
      </c>
      <c r="J60" s="33">
        <f t="shared" si="17"/>
        <v>759500</v>
      </c>
    </row>
    <row r="61" spans="1:10" ht="15" customHeight="1" thickBot="1" x14ac:dyDescent="0.35">
      <c r="A61" s="27" t="s">
        <v>230</v>
      </c>
      <c r="B61" s="27" t="s">
        <v>231</v>
      </c>
      <c r="C61" s="33" t="str">
        <f>MID(A61,5,4)</f>
        <v>MINI</v>
      </c>
      <c r="D61" s="34" t="str">
        <f t="shared" si="14"/>
        <v>5</v>
      </c>
      <c r="E61" s="33" t="str">
        <f>VLOOKUP(LEFT(A61,3),$D$72:$G$74,2,0)</f>
        <v>Đà Lạt</v>
      </c>
      <c r="F61" s="33" t="str">
        <f>VLOOKUP(LEFT(A61,3),$D$72:$G$74,3,0)</f>
        <v>3</v>
      </c>
      <c r="G61" s="33" t="str">
        <f>VLOOKUP(LEFT(A61,3),$D$72:$G$74,4,0)</f>
        <v>15</v>
      </c>
      <c r="H61" s="33">
        <f t="shared" si="15"/>
        <v>5</v>
      </c>
      <c r="I61" s="33">
        <f t="shared" si="16"/>
        <v>35</v>
      </c>
      <c r="J61" s="33">
        <f t="shared" si="17"/>
        <v>542500</v>
      </c>
    </row>
    <row r="62" spans="1:10" ht="15" customHeight="1" thickBot="1" x14ac:dyDescent="0.35">
      <c r="A62" s="27" t="s">
        <v>232</v>
      </c>
      <c r="B62" s="27" t="s">
        <v>233</v>
      </c>
      <c r="C62" s="33" t="str">
        <f>MID(A62,5,4)</f>
        <v>MINI</v>
      </c>
      <c r="D62" s="34" t="str">
        <f t="shared" si="14"/>
        <v>5</v>
      </c>
      <c r="E62" s="33" t="str">
        <f>VLOOKUP(LEFT(A62,3),$D$72:$G$74,2,0)</f>
        <v>Đà Lạt</v>
      </c>
      <c r="F62" s="33" t="str">
        <f>VLOOKUP(LEFT(A62,3),$D$72:$G$74,3,0)</f>
        <v>3</v>
      </c>
      <c r="G62" s="33" t="str">
        <f>VLOOKUP(LEFT(A62,3),$D$72:$G$74,4,0)</f>
        <v>15</v>
      </c>
      <c r="H62" s="33">
        <f t="shared" si="15"/>
        <v>5</v>
      </c>
      <c r="I62" s="33">
        <f t="shared" si="16"/>
        <v>35</v>
      </c>
      <c r="J62" s="33">
        <f t="shared" si="17"/>
        <v>542500</v>
      </c>
    </row>
    <row r="63" spans="1:10" ht="15" customHeight="1" thickBot="1" x14ac:dyDescent="0.35">
      <c r="A63" s="27" t="s">
        <v>234</v>
      </c>
      <c r="B63" s="27" t="s">
        <v>235</v>
      </c>
      <c r="C63" s="33" t="str">
        <f>MID(A63,5,4)</f>
        <v>2SAO</v>
      </c>
      <c r="D63" s="34" t="str">
        <f t="shared" si="14"/>
        <v>12</v>
      </c>
      <c r="E63" s="33" t="str">
        <f>VLOOKUP(LEFT(A63,3),$D$72:$G$74,2,0)</f>
        <v>Đà Lạt</v>
      </c>
      <c r="F63" s="33" t="str">
        <f>VLOOKUP(LEFT(A63,3),$D$72:$G$74,3,0)</f>
        <v>3</v>
      </c>
      <c r="G63" s="33" t="str">
        <f>VLOOKUP(LEFT(A63,3),$D$72:$G$74,4,0)</f>
        <v>15</v>
      </c>
      <c r="H63" s="33">
        <f t="shared" si="15"/>
        <v>5</v>
      </c>
      <c r="I63" s="33">
        <f t="shared" si="16"/>
        <v>56</v>
      </c>
      <c r="J63" s="33">
        <f t="shared" si="17"/>
        <v>868000</v>
      </c>
    </row>
    <row r="64" spans="1:10" ht="15" customHeight="1" thickBot="1" x14ac:dyDescent="0.35">
      <c r="A64" s="27" t="s">
        <v>236</v>
      </c>
      <c r="B64" s="27" t="s">
        <v>237</v>
      </c>
      <c r="C64" s="33" t="str">
        <f>MID(A64,5,4)</f>
        <v>2SAO</v>
      </c>
      <c r="D64" s="34" t="str">
        <f t="shared" si="14"/>
        <v>12</v>
      </c>
      <c r="E64" s="33" t="str">
        <f>VLOOKUP(LEFT(A64,3),$D$72:$G$74,2,0)</f>
        <v>Đà Lạt</v>
      </c>
      <c r="F64" s="33" t="str">
        <f>VLOOKUP(LEFT(A64,3),$D$72:$G$74,3,0)</f>
        <v>3</v>
      </c>
      <c r="G64" s="33" t="str">
        <f>VLOOKUP(LEFT(A64,3),$D$72:$G$74,4,0)</f>
        <v>15</v>
      </c>
      <c r="H64" s="33">
        <f t="shared" si="15"/>
        <v>5</v>
      </c>
      <c r="I64" s="33">
        <f t="shared" si="16"/>
        <v>56</v>
      </c>
      <c r="J64" s="33">
        <f t="shared" si="17"/>
        <v>868000</v>
      </c>
    </row>
    <row r="65" spans="1:10" ht="15" customHeight="1" thickBot="1" x14ac:dyDescent="0.35">
      <c r="A65" s="27" t="s">
        <v>238</v>
      </c>
      <c r="B65" s="27" t="s">
        <v>239</v>
      </c>
      <c r="C65" s="33" t="str">
        <f>MID(A65,5,4)</f>
        <v>3SAO</v>
      </c>
      <c r="D65" s="34" t="str">
        <f t="shared" si="14"/>
        <v>17</v>
      </c>
      <c r="E65" s="33" t="str">
        <f>VLOOKUP(LEFT(A65,3),$D$72:$G$74,2,0)</f>
        <v>Đà Lạt</v>
      </c>
      <c r="F65" s="33" t="str">
        <f>VLOOKUP(LEFT(A65,3),$D$72:$G$74,3,0)</f>
        <v>3</v>
      </c>
      <c r="G65" s="33" t="str">
        <f>VLOOKUP(LEFT(A65,3),$D$72:$G$74,4,0)</f>
        <v>15</v>
      </c>
      <c r="H65" s="33">
        <f t="shared" si="15"/>
        <v>5</v>
      </c>
      <c r="I65" s="33">
        <f t="shared" si="16"/>
        <v>71</v>
      </c>
      <c r="J65" s="33">
        <f t="shared" si="17"/>
        <v>1100500</v>
      </c>
    </row>
    <row r="66" spans="1:10" ht="15" customHeight="1" thickBot="1" x14ac:dyDescent="0.35">
      <c r="A66" s="27" t="s">
        <v>240</v>
      </c>
      <c r="B66" s="27" t="s">
        <v>241</v>
      </c>
      <c r="C66" s="33" t="str">
        <f>MID(A66,5,4)</f>
        <v>1SAO</v>
      </c>
      <c r="D66" s="34" t="str">
        <f t="shared" si="14"/>
        <v>8</v>
      </c>
      <c r="E66" s="33" t="str">
        <f>VLOOKUP(LEFT(A66,3),$D$72:$G$74,2,0)</f>
        <v>Huế</v>
      </c>
      <c r="F66" s="33" t="str">
        <f>VLOOKUP(LEFT(A66,3),$D$72:$G$74,3,0)</f>
        <v>6</v>
      </c>
      <c r="G66" s="33" t="str">
        <f>VLOOKUP(LEFT(A66,3),$D$72:$G$74,4,0)</f>
        <v>27</v>
      </c>
      <c r="H66" s="33">
        <f t="shared" si="15"/>
        <v>10</v>
      </c>
      <c r="I66" s="33">
        <f t="shared" si="16"/>
        <v>85</v>
      </c>
      <c r="J66" s="33">
        <f t="shared" si="17"/>
        <v>1317500</v>
      </c>
    </row>
    <row r="67" spans="1:10" thickBot="1" x14ac:dyDescent="0.35">
      <c r="A67" s="27" t="s">
        <v>242</v>
      </c>
      <c r="B67" s="27" t="s">
        <v>243</v>
      </c>
      <c r="C67" s="33" t="str">
        <f>MID(A67,5,4)</f>
        <v>3SAO</v>
      </c>
      <c r="D67" s="34" t="str">
        <f t="shared" si="14"/>
        <v>17</v>
      </c>
      <c r="E67" s="33" t="str">
        <f>VLOOKUP(LEFT(A67,3),$D$72:$G$74,2,0)</f>
        <v>Huế</v>
      </c>
      <c r="F67" s="33" t="str">
        <f>VLOOKUP(LEFT(A67,3),$D$72:$G$74,3,0)</f>
        <v>6</v>
      </c>
      <c r="G67" s="33" t="str">
        <f>VLOOKUP(LEFT(A67,3),$D$72:$G$74,4,0)</f>
        <v>27</v>
      </c>
      <c r="H67" s="33">
        <f t="shared" si="15"/>
        <v>10</v>
      </c>
      <c r="I67" s="33">
        <f t="shared" si="16"/>
        <v>139</v>
      </c>
      <c r="J67" s="33">
        <f t="shared" si="17"/>
        <v>2154500</v>
      </c>
    </row>
    <row r="68" spans="1:10" thickBot="1" x14ac:dyDescent="0.35">
      <c r="A68" s="27" t="s">
        <v>244</v>
      </c>
      <c r="B68" s="27" t="s">
        <v>245</v>
      </c>
      <c r="C68" s="33" t="str">
        <f>MID(A68,5,4)</f>
        <v>3SAO</v>
      </c>
      <c r="D68" s="34" t="str">
        <f t="shared" si="14"/>
        <v>17</v>
      </c>
      <c r="E68" s="33" t="str">
        <f>VLOOKUP(LEFT(A68,3),$D$72:$G$74,2,0)</f>
        <v>Huế</v>
      </c>
      <c r="F68" s="33" t="str">
        <f>VLOOKUP(LEFT(A68,3),$D$72:$G$74,3,0)</f>
        <v>6</v>
      </c>
      <c r="G68" s="33" t="str">
        <f>VLOOKUP(LEFT(A68,3),$D$72:$G$74,4,0)</f>
        <v>27</v>
      </c>
      <c r="H68" s="33">
        <f t="shared" si="15"/>
        <v>10</v>
      </c>
      <c r="I68" s="33">
        <f t="shared" si="16"/>
        <v>139</v>
      </c>
      <c r="J68" s="33">
        <f t="shared" si="17"/>
        <v>2154500</v>
      </c>
    </row>
    <row r="69" spans="1:10" thickBot="1" x14ac:dyDescent="0.35">
      <c r="A69" s="27" t="s">
        <v>246</v>
      </c>
      <c r="B69" s="27" t="s">
        <v>247</v>
      </c>
      <c r="C69" s="33" t="str">
        <f>MID(A69,5,4)</f>
        <v>2SAO</v>
      </c>
      <c r="D69" s="34" t="str">
        <f t="shared" si="14"/>
        <v>12</v>
      </c>
      <c r="E69" s="33" t="str">
        <f>VLOOKUP(LEFT(A69,3),$D$72:$G$74,2,0)</f>
        <v>Huế</v>
      </c>
      <c r="F69" s="33" t="str">
        <f>VLOOKUP(LEFT(A69,3),$D$72:$G$74,3,0)</f>
        <v>6</v>
      </c>
      <c r="G69" s="33" t="str">
        <f>VLOOKUP(LEFT(A69,3),$D$72:$G$74,4,0)</f>
        <v>27</v>
      </c>
      <c r="H69" s="33">
        <f t="shared" si="15"/>
        <v>10</v>
      </c>
      <c r="I69" s="33">
        <f t="shared" si="16"/>
        <v>109</v>
      </c>
      <c r="J69" s="33">
        <f t="shared" si="17"/>
        <v>1689500</v>
      </c>
    </row>
    <row r="70" spans="1:10" thickBot="1" x14ac:dyDescent="0.35">
      <c r="A70" s="23" t="s">
        <v>248</v>
      </c>
      <c r="B70" s="35"/>
      <c r="C70" s="24" t="s">
        <v>249</v>
      </c>
      <c r="D70" s="24"/>
      <c r="E70" s="24"/>
      <c r="F70" s="36"/>
      <c r="G70" s="36"/>
      <c r="H70" s="37"/>
      <c r="I70" s="37"/>
      <c r="J70" s="37"/>
    </row>
    <row r="71" spans="1:10" thickBot="1" x14ac:dyDescent="0.35">
      <c r="A71" s="20" t="s">
        <v>250</v>
      </c>
      <c r="B71" s="22" t="s">
        <v>251</v>
      </c>
      <c r="C71" s="38"/>
      <c r="D71" s="28" t="s">
        <v>184</v>
      </c>
      <c r="E71" s="20" t="s">
        <v>218</v>
      </c>
      <c r="F71" s="25" t="s">
        <v>252</v>
      </c>
      <c r="G71" s="28" t="s">
        <v>179</v>
      </c>
      <c r="H71" s="39"/>
      <c r="I71" s="40"/>
      <c r="J71" s="40"/>
    </row>
    <row r="72" spans="1:10" ht="16.2" thickBot="1" x14ac:dyDescent="0.4">
      <c r="A72" s="27" t="s">
        <v>253</v>
      </c>
      <c r="B72" s="41" t="s">
        <v>254</v>
      </c>
      <c r="C72" s="38"/>
      <c r="D72" s="42" t="s">
        <v>255</v>
      </c>
      <c r="E72" s="43" t="s">
        <v>178</v>
      </c>
      <c r="F72" s="41" t="s">
        <v>256</v>
      </c>
      <c r="G72" s="41" t="s">
        <v>257</v>
      </c>
      <c r="H72" s="39"/>
      <c r="I72" s="40"/>
      <c r="J72" s="40"/>
    </row>
    <row r="73" spans="1:10" ht="16.2" thickBot="1" x14ac:dyDescent="0.4">
      <c r="A73" s="27" t="s">
        <v>258</v>
      </c>
      <c r="B73" s="41" t="s">
        <v>259</v>
      </c>
      <c r="C73" s="38"/>
      <c r="D73" s="42" t="s">
        <v>260</v>
      </c>
      <c r="E73" s="27" t="s">
        <v>261</v>
      </c>
      <c r="F73" s="41" t="s">
        <v>262</v>
      </c>
      <c r="G73" s="41" t="s">
        <v>263</v>
      </c>
      <c r="H73" s="39"/>
      <c r="I73" s="40"/>
      <c r="J73" s="40"/>
    </row>
    <row r="74" spans="1:10" ht="16.2" thickBot="1" x14ac:dyDescent="0.4">
      <c r="A74" s="33" t="s">
        <v>264</v>
      </c>
      <c r="B74" s="41" t="s">
        <v>265</v>
      </c>
      <c r="C74" s="44"/>
      <c r="D74" s="45" t="s">
        <v>266</v>
      </c>
      <c r="E74" s="33" t="s">
        <v>267</v>
      </c>
      <c r="F74" s="41" t="s">
        <v>268</v>
      </c>
      <c r="G74" s="46" t="s">
        <v>269</v>
      </c>
      <c r="H74" s="39"/>
      <c r="I74" s="40"/>
      <c r="J74" s="40"/>
    </row>
    <row r="75" spans="1:10" ht="16.2" thickBot="1" x14ac:dyDescent="0.35">
      <c r="A75" s="33" t="s">
        <v>270</v>
      </c>
      <c r="B75" s="46" t="s">
        <v>271</v>
      </c>
      <c r="C75" s="47"/>
      <c r="D75" s="37"/>
      <c r="E75" s="48"/>
      <c r="F75" s="49"/>
      <c r="G75" s="49"/>
      <c r="H75" s="40"/>
      <c r="I75" s="40"/>
      <c r="J75" s="40"/>
    </row>
    <row r="77" spans="1:10" ht="15" customHeight="1" x14ac:dyDescent="0.3">
      <c r="A77" s="13" t="s">
        <v>196</v>
      </c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5" customHeight="1" x14ac:dyDescent="0.3">
      <c r="A78" s="18" t="s">
        <v>197</v>
      </c>
      <c r="B78" s="18" t="s">
        <v>198</v>
      </c>
      <c r="C78" s="18" t="s">
        <v>76</v>
      </c>
      <c r="D78" s="18" t="s">
        <v>199</v>
      </c>
      <c r="E78" s="18" t="s">
        <v>186</v>
      </c>
      <c r="F78" s="18" t="s">
        <v>47</v>
      </c>
      <c r="G78" s="18" t="s">
        <v>200</v>
      </c>
      <c r="H78" s="18" t="s">
        <v>187</v>
      </c>
      <c r="I78" s="18" t="s">
        <v>201</v>
      </c>
      <c r="J78" s="18" t="s">
        <v>188</v>
      </c>
    </row>
    <row r="79" spans="1:10" ht="16.8" x14ac:dyDescent="0.4">
      <c r="A79" s="69" t="s">
        <v>209</v>
      </c>
      <c r="B79" s="70" t="s">
        <v>202</v>
      </c>
      <c r="C79" s="70" t="s">
        <v>189</v>
      </c>
      <c r="D79" s="11" t="str">
        <f>LEFT(A79,2)</f>
        <v>LD</v>
      </c>
      <c r="E79" s="11">
        <f>VALUE(MID(A79,3,1))</f>
        <v>3</v>
      </c>
      <c r="F79" s="11" t="str">
        <f>VLOOKUP(D79,$D$89:$G$91,IF(E79=1,2,IF(E79=2,3,4)),0)</f>
        <v>4</v>
      </c>
      <c r="G79" s="11">
        <f>VLOOKUP(C79,$A$89:$B$91,2,0)</f>
        <v>200</v>
      </c>
      <c r="H79" s="11">
        <f>$J$89*F79+G79</f>
        <v>3400</v>
      </c>
      <c r="I79" s="11">
        <f>IF(H79&gt;2000,15%*(H79-2000),0)</f>
        <v>210</v>
      </c>
      <c r="J79" s="11">
        <f>H79-I79</f>
        <v>3190</v>
      </c>
    </row>
    <row r="80" spans="1:10" ht="16.8" x14ac:dyDescent="0.4">
      <c r="A80" s="69" t="s">
        <v>210</v>
      </c>
      <c r="B80" s="71" t="s">
        <v>190</v>
      </c>
      <c r="C80" s="70" t="s">
        <v>189</v>
      </c>
      <c r="D80" s="11" t="str">
        <f t="shared" ref="D80:D85" si="18">LEFT(A80,2)</f>
        <v>LD</v>
      </c>
      <c r="E80" s="11">
        <f>VALUE(MID(A80,3,1))</f>
        <v>2</v>
      </c>
      <c r="F80" s="11" t="str">
        <f t="shared" ref="F80:F85" si="19">VLOOKUP(D80,$D$89:$G$91,IF(E80=1,2,IF(E80=2,3,4)),0)</f>
        <v>3.5</v>
      </c>
      <c r="G80" s="11">
        <f t="shared" ref="G80:G85" si="20">VLOOKUP(C80,$A$89:$B$91,2,0)</f>
        <v>200</v>
      </c>
      <c r="H80" s="11">
        <f t="shared" ref="H80:H85" si="21">$J$89*F80+G80</f>
        <v>3000</v>
      </c>
      <c r="I80" s="11">
        <f t="shared" ref="I80:I85" si="22">IF(H80&gt;2000,15%*(H80-2000),0)</f>
        <v>150</v>
      </c>
      <c r="J80" s="11">
        <f t="shared" ref="J80:J85" si="23">H80-I80</f>
        <v>2850</v>
      </c>
    </row>
    <row r="81" spans="1:10" ht="16.8" x14ac:dyDescent="0.4">
      <c r="A81" s="69" t="s">
        <v>211</v>
      </c>
      <c r="B81" s="71" t="s">
        <v>203</v>
      </c>
      <c r="C81" s="70" t="s">
        <v>208</v>
      </c>
      <c r="D81" s="11" t="str">
        <f t="shared" si="18"/>
        <v>CV</v>
      </c>
      <c r="E81" s="11">
        <f>VALUE(MID(A81,3,1))</f>
        <v>3</v>
      </c>
      <c r="F81" s="11" t="str">
        <f t="shared" si="19"/>
        <v>3</v>
      </c>
      <c r="G81" s="11">
        <f t="shared" si="20"/>
        <v>50</v>
      </c>
      <c r="H81" s="11">
        <f t="shared" si="21"/>
        <v>2450</v>
      </c>
      <c r="I81" s="11">
        <f t="shared" si="22"/>
        <v>67.5</v>
      </c>
      <c r="J81" s="11">
        <f t="shared" si="23"/>
        <v>2382.5</v>
      </c>
    </row>
    <row r="82" spans="1:10" ht="16.8" x14ac:dyDescent="0.4">
      <c r="A82" s="69" t="s">
        <v>212</v>
      </c>
      <c r="B82" s="71" t="s">
        <v>204</v>
      </c>
      <c r="C82" s="70" t="s">
        <v>51</v>
      </c>
      <c r="D82" s="11" t="str">
        <f t="shared" si="18"/>
        <v>CV</v>
      </c>
      <c r="E82" s="11">
        <f>VALUE(MID(A82,3,1))</f>
        <v>1</v>
      </c>
      <c r="F82" s="11" t="str">
        <f t="shared" si="19"/>
        <v>2</v>
      </c>
      <c r="G82" s="11">
        <f t="shared" si="20"/>
        <v>100</v>
      </c>
      <c r="H82" s="11">
        <f t="shared" si="21"/>
        <v>1700</v>
      </c>
      <c r="I82" s="11">
        <f t="shared" si="22"/>
        <v>0</v>
      </c>
      <c r="J82" s="11">
        <f t="shared" si="23"/>
        <v>1700</v>
      </c>
    </row>
    <row r="83" spans="1:10" ht="16.8" x14ac:dyDescent="0.4">
      <c r="A83" s="69" t="s">
        <v>213</v>
      </c>
      <c r="B83" s="71" t="s">
        <v>205</v>
      </c>
      <c r="C83" s="70" t="s">
        <v>189</v>
      </c>
      <c r="D83" s="11" t="str">
        <f t="shared" si="18"/>
        <v>NV</v>
      </c>
      <c r="E83" s="11">
        <f>VALUE(MID(A83,3,1))</f>
        <v>1</v>
      </c>
      <c r="F83" s="11" t="str">
        <f t="shared" si="19"/>
        <v>1</v>
      </c>
      <c r="G83" s="11">
        <f t="shared" si="20"/>
        <v>200</v>
      </c>
      <c r="H83" s="11">
        <f t="shared" si="21"/>
        <v>1000</v>
      </c>
      <c r="I83" s="11">
        <f t="shared" si="22"/>
        <v>0</v>
      </c>
      <c r="J83" s="11">
        <f t="shared" si="23"/>
        <v>1000</v>
      </c>
    </row>
    <row r="84" spans="1:10" ht="16.8" x14ac:dyDescent="0.4">
      <c r="A84" s="69" t="s">
        <v>214</v>
      </c>
      <c r="B84" s="71" t="s">
        <v>206</v>
      </c>
      <c r="C84" s="70" t="s">
        <v>51</v>
      </c>
      <c r="D84" s="11" t="str">
        <f t="shared" si="18"/>
        <v>NV</v>
      </c>
      <c r="E84" s="11">
        <f>VALUE(MID(A84,3,1))</f>
        <v>2</v>
      </c>
      <c r="F84" s="11" t="str">
        <f t="shared" si="19"/>
        <v>1.5</v>
      </c>
      <c r="G84" s="11">
        <f t="shared" si="20"/>
        <v>100</v>
      </c>
      <c r="H84" s="11">
        <f t="shared" si="21"/>
        <v>1300</v>
      </c>
      <c r="I84" s="11">
        <f t="shared" si="22"/>
        <v>0</v>
      </c>
      <c r="J84" s="11">
        <f t="shared" si="23"/>
        <v>1300</v>
      </c>
    </row>
    <row r="85" spans="1:10" ht="16.8" x14ac:dyDescent="0.4">
      <c r="A85" s="72" t="s">
        <v>191</v>
      </c>
      <c r="B85" s="71" t="s">
        <v>207</v>
      </c>
      <c r="C85" s="70" t="s">
        <v>189</v>
      </c>
      <c r="D85" s="11" t="str">
        <f t="shared" si="18"/>
        <v>NV</v>
      </c>
      <c r="E85" s="11">
        <f>VALUE(MID(A85,3,1))</f>
        <v>3</v>
      </c>
      <c r="F85" s="11" t="str">
        <f t="shared" si="19"/>
        <v>2</v>
      </c>
      <c r="G85" s="11">
        <f t="shared" si="20"/>
        <v>200</v>
      </c>
      <c r="H85" s="11">
        <f t="shared" si="21"/>
        <v>1800</v>
      </c>
      <c r="I85" s="11">
        <f t="shared" si="22"/>
        <v>0</v>
      </c>
      <c r="J85" s="11">
        <f t="shared" si="23"/>
        <v>1800</v>
      </c>
    </row>
    <row r="87" spans="1:10" ht="15" customHeight="1" x14ac:dyDescent="0.3">
      <c r="A87" s="50" t="s">
        <v>275</v>
      </c>
      <c r="B87" s="51"/>
      <c r="D87" s="56" t="s">
        <v>284</v>
      </c>
      <c r="E87" s="57"/>
      <c r="F87" s="57"/>
      <c r="G87" s="57"/>
      <c r="H87" s="52"/>
      <c r="I87" s="52"/>
      <c r="J87" s="52"/>
    </row>
    <row r="88" spans="1:10" ht="15" customHeight="1" x14ac:dyDescent="0.4">
      <c r="A88" s="68" t="s">
        <v>76</v>
      </c>
      <c r="B88" s="68" t="s">
        <v>276</v>
      </c>
      <c r="D88" s="62"/>
      <c r="E88" s="65" t="s">
        <v>288</v>
      </c>
      <c r="F88" s="65" t="s">
        <v>289</v>
      </c>
      <c r="G88" s="66" t="s">
        <v>290</v>
      </c>
      <c r="H88" s="55"/>
      <c r="I88" s="55"/>
      <c r="J88" s="59" t="s">
        <v>287</v>
      </c>
    </row>
    <row r="89" spans="1:10" ht="15" customHeight="1" x14ac:dyDescent="0.4">
      <c r="A89" s="61" t="s">
        <v>272</v>
      </c>
      <c r="B89" s="67">
        <v>200</v>
      </c>
      <c r="D89" s="63" t="s">
        <v>19</v>
      </c>
      <c r="E89" s="58" t="s">
        <v>278</v>
      </c>
      <c r="F89" s="60" t="s">
        <v>280</v>
      </c>
      <c r="G89" s="60" t="s">
        <v>279</v>
      </c>
      <c r="H89" s="55"/>
      <c r="I89" s="55"/>
      <c r="J89" s="118" t="s">
        <v>369</v>
      </c>
    </row>
    <row r="90" spans="1:10" ht="15" customHeight="1" x14ac:dyDescent="0.3">
      <c r="A90" s="61" t="s">
        <v>273</v>
      </c>
      <c r="B90" s="67">
        <v>100</v>
      </c>
      <c r="D90" s="64" t="s">
        <v>285</v>
      </c>
      <c r="E90" s="60" t="s">
        <v>279</v>
      </c>
      <c r="F90" s="60" t="s">
        <v>281</v>
      </c>
      <c r="G90" s="60" t="s">
        <v>282</v>
      </c>
      <c r="H90" s="53"/>
      <c r="I90" s="53"/>
      <c r="J90" s="54"/>
    </row>
    <row r="91" spans="1:10" ht="15" customHeight="1" x14ac:dyDescent="0.4">
      <c r="A91" s="61" t="s">
        <v>274</v>
      </c>
      <c r="B91" s="67">
        <v>50</v>
      </c>
      <c r="D91" s="64" t="s">
        <v>286</v>
      </c>
      <c r="E91" s="58" t="s">
        <v>277</v>
      </c>
      <c r="F91" s="60" t="s">
        <v>283</v>
      </c>
      <c r="G91" s="58" t="s">
        <v>278</v>
      </c>
      <c r="H91" s="55"/>
      <c r="I91" s="55"/>
      <c r="J91" s="55"/>
    </row>
    <row r="93" spans="1:10" ht="15" customHeight="1" thickBot="1" x14ac:dyDescent="0.35">
      <c r="A93" s="88" t="s">
        <v>310</v>
      </c>
      <c r="B93" s="88"/>
      <c r="C93" s="88"/>
      <c r="D93" s="88"/>
      <c r="E93" s="88"/>
      <c r="F93" s="88"/>
      <c r="G93" s="88"/>
      <c r="H93" s="88"/>
      <c r="I93" s="88"/>
      <c r="J93" s="88"/>
    </row>
    <row r="94" spans="1:10" ht="15" customHeight="1" thickBot="1" x14ac:dyDescent="0.35">
      <c r="A94" s="92" t="s">
        <v>88</v>
      </c>
      <c r="B94" s="90" t="s">
        <v>311</v>
      </c>
      <c r="C94" s="90" t="s">
        <v>312</v>
      </c>
      <c r="D94" s="90" t="s">
        <v>291</v>
      </c>
      <c r="E94" s="90" t="s">
        <v>313</v>
      </c>
      <c r="F94" s="92" t="s">
        <v>292</v>
      </c>
      <c r="G94" s="90" t="s">
        <v>120</v>
      </c>
      <c r="H94" s="90" t="s">
        <v>121</v>
      </c>
      <c r="I94" s="92" t="s">
        <v>314</v>
      </c>
      <c r="J94" s="90" t="s">
        <v>146</v>
      </c>
    </row>
    <row r="95" spans="1:10" ht="15" customHeight="1" thickBot="1" x14ac:dyDescent="0.35">
      <c r="A95" s="75" t="s">
        <v>192</v>
      </c>
      <c r="B95" s="74" t="s">
        <v>293</v>
      </c>
      <c r="C95" s="76" t="str">
        <f>LEFT(B95,2)</f>
        <v>SB</v>
      </c>
      <c r="D95" s="77" t="str">
        <f>VLOOKUP(C95,$A$112:$C$116,2,0)</f>
        <v>Sữa bột</v>
      </c>
      <c r="E95" s="76">
        <f>VALUE(MID(B95,3,1))</f>
        <v>2</v>
      </c>
      <c r="F95" s="78">
        <v>50</v>
      </c>
      <c r="G95" s="79">
        <f>VLOOKUP(C95,$A$112:$C$116,3,0)</f>
        <v>25000</v>
      </c>
      <c r="H95" s="76">
        <f>F95*G95</f>
        <v>1250000</v>
      </c>
      <c r="I95" s="76">
        <f>IF(C95="TL",H95*20%,IF(C95="RU",10%*H95,0))</f>
        <v>0</v>
      </c>
      <c r="J95" s="77">
        <f>H95+I95</f>
        <v>1250000</v>
      </c>
    </row>
    <row r="96" spans="1:10" ht="15" customHeight="1" thickBot="1" x14ac:dyDescent="0.35">
      <c r="A96" s="75" t="s">
        <v>193</v>
      </c>
      <c r="B96" s="74" t="s">
        <v>294</v>
      </c>
      <c r="C96" s="76" t="str">
        <f t="shared" ref="C96:C104" si="24">LEFT(B96,2)</f>
        <v>TL</v>
      </c>
      <c r="D96" s="77" t="str">
        <f>VLOOKUP(C96,$A$112:$C$116,2,0)</f>
        <v>Thuồc lá</v>
      </c>
      <c r="E96" s="76">
        <f>VALUE(MID(B96,3,1))</f>
        <v>4</v>
      </c>
      <c r="F96" s="80">
        <v>100</v>
      </c>
      <c r="G96" s="79">
        <f>VLOOKUP(C96,$A$112:$C$116,3,0)</f>
        <v>10000</v>
      </c>
      <c r="H96" s="76">
        <f t="shared" ref="H96:H104" si="25">F96*G96</f>
        <v>1000000</v>
      </c>
      <c r="I96" s="76">
        <f t="shared" ref="I96:I104" si="26">IF(C96="TL",H96*20%,IF(C96="RU",10%*H96,0))</f>
        <v>200000</v>
      </c>
      <c r="J96" s="77">
        <f t="shared" ref="J96:J104" si="27">H96+I96</f>
        <v>1200000</v>
      </c>
    </row>
    <row r="97" spans="1:10" ht="15" customHeight="1" thickBot="1" x14ac:dyDescent="0.35">
      <c r="A97" s="75" t="s">
        <v>194</v>
      </c>
      <c r="B97" s="81" t="s">
        <v>295</v>
      </c>
      <c r="C97" s="76" t="str">
        <f t="shared" si="24"/>
        <v>SB</v>
      </c>
      <c r="D97" s="77" t="str">
        <f>VLOOKUP(C97,$A$112:$C$116,2,0)</f>
        <v>Sữa bột</v>
      </c>
      <c r="E97" s="76">
        <f>VALUE(MID(B97,3,1))</f>
        <v>4</v>
      </c>
      <c r="F97" s="80">
        <v>125</v>
      </c>
      <c r="G97" s="79">
        <f>VLOOKUP(C97,$A$112:$C$116,3,0)</f>
        <v>25000</v>
      </c>
      <c r="H97" s="76">
        <f t="shared" si="25"/>
        <v>3125000</v>
      </c>
      <c r="I97" s="76">
        <f t="shared" si="26"/>
        <v>0</v>
      </c>
      <c r="J97" s="77">
        <f t="shared" si="27"/>
        <v>3125000</v>
      </c>
    </row>
    <row r="98" spans="1:10" ht="15" customHeight="1" thickBot="1" x14ac:dyDescent="0.35">
      <c r="A98" s="75" t="s">
        <v>195</v>
      </c>
      <c r="B98" s="81" t="s">
        <v>296</v>
      </c>
      <c r="C98" s="76" t="str">
        <f t="shared" si="24"/>
        <v>DG</v>
      </c>
      <c r="D98" s="77" t="str">
        <f>VLOOKUP(C98,$A$112:$C$116,2,0)</f>
        <v>Đường</v>
      </c>
      <c r="E98" s="76">
        <f>VALUE(MID(B98,3,1))</f>
        <v>1</v>
      </c>
      <c r="F98" s="80">
        <v>47</v>
      </c>
      <c r="G98" s="79">
        <f>VLOOKUP(C98,$A$112:$C$116,3,0)</f>
        <v>5000</v>
      </c>
      <c r="H98" s="76">
        <f t="shared" si="25"/>
        <v>235000</v>
      </c>
      <c r="I98" s="76">
        <f t="shared" si="26"/>
        <v>0</v>
      </c>
      <c r="J98" s="77">
        <f t="shared" si="27"/>
        <v>235000</v>
      </c>
    </row>
    <row r="99" spans="1:10" ht="15" customHeight="1" thickBot="1" x14ac:dyDescent="0.35">
      <c r="A99" s="73" t="s">
        <v>297</v>
      </c>
      <c r="B99" s="74" t="s">
        <v>298</v>
      </c>
      <c r="C99" s="76" t="str">
        <f t="shared" si="24"/>
        <v>DG</v>
      </c>
      <c r="D99" s="77" t="str">
        <f>VLOOKUP(C99,$A$112:$C$116,2,0)</f>
        <v>Đường</v>
      </c>
      <c r="E99" s="76">
        <f>VALUE(MID(B99,3,1))</f>
        <v>2</v>
      </c>
      <c r="F99" s="80">
        <v>80</v>
      </c>
      <c r="G99" s="79">
        <f>VLOOKUP(C99,$A$112:$C$116,3,0)</f>
        <v>5000</v>
      </c>
      <c r="H99" s="76">
        <f t="shared" si="25"/>
        <v>400000</v>
      </c>
      <c r="I99" s="76">
        <f t="shared" si="26"/>
        <v>0</v>
      </c>
      <c r="J99" s="77">
        <f t="shared" si="27"/>
        <v>400000</v>
      </c>
    </row>
    <row r="100" spans="1:10" ht="15" customHeight="1" thickBot="1" x14ac:dyDescent="0.35">
      <c r="A100" s="73" t="s">
        <v>299</v>
      </c>
      <c r="B100" s="74" t="s">
        <v>330</v>
      </c>
      <c r="C100" s="76" t="str">
        <f t="shared" si="24"/>
        <v>RU</v>
      </c>
      <c r="D100" s="77" t="str">
        <f>VLOOKUP(C100,$A$112:$C$116,2,0)</f>
        <v>Rượu</v>
      </c>
      <c r="E100" s="76">
        <f>VALUE(MID(B100,3,1))</f>
        <v>1</v>
      </c>
      <c r="F100" s="78">
        <v>90</v>
      </c>
      <c r="G100" s="79">
        <f>VLOOKUP(C100,$A$112:$C$116,3,0)</f>
        <v>150000</v>
      </c>
      <c r="H100" s="76">
        <f t="shared" si="25"/>
        <v>13500000</v>
      </c>
      <c r="I100" s="76">
        <f t="shared" si="26"/>
        <v>1350000</v>
      </c>
      <c r="J100" s="77">
        <f t="shared" si="27"/>
        <v>14850000</v>
      </c>
    </row>
    <row r="101" spans="1:10" ht="15" customHeight="1" thickBot="1" x14ac:dyDescent="0.35">
      <c r="A101" s="73" t="s">
        <v>300</v>
      </c>
      <c r="B101" s="74" t="s">
        <v>301</v>
      </c>
      <c r="C101" s="76" t="str">
        <f t="shared" si="24"/>
        <v>BN</v>
      </c>
      <c r="D101" s="77" t="str">
        <f>VLOOKUP(C101,$A$112:$C$116,2,0)</f>
        <v>Bột ngọt</v>
      </c>
      <c r="E101" s="76">
        <f>VALUE(MID(B101,3,1))</f>
        <v>5</v>
      </c>
      <c r="F101" s="80">
        <v>120</v>
      </c>
      <c r="G101" s="79">
        <f>VLOOKUP(C101,$A$112:$C$116,3,0)</f>
        <v>20000</v>
      </c>
      <c r="H101" s="76">
        <f t="shared" si="25"/>
        <v>2400000</v>
      </c>
      <c r="I101" s="76">
        <f t="shared" si="26"/>
        <v>0</v>
      </c>
      <c r="J101" s="77">
        <f t="shared" si="27"/>
        <v>2400000</v>
      </c>
    </row>
    <row r="102" spans="1:10" ht="15" customHeight="1" thickBot="1" x14ac:dyDescent="0.35">
      <c r="A102" s="75" t="s">
        <v>302</v>
      </c>
      <c r="B102" s="74" t="s">
        <v>303</v>
      </c>
      <c r="C102" s="76" t="str">
        <f t="shared" si="24"/>
        <v>SB</v>
      </c>
      <c r="D102" s="77" t="str">
        <f>VLOOKUP(C102,$A$112:$C$116,2,0)</f>
        <v>Sữa bột</v>
      </c>
      <c r="E102" s="76">
        <f>VALUE(MID(B102,3,1))</f>
        <v>3</v>
      </c>
      <c r="F102" s="78">
        <v>48</v>
      </c>
      <c r="G102" s="79">
        <f>VLOOKUP(C102,$A$112:$C$116,3,0)</f>
        <v>25000</v>
      </c>
      <c r="H102" s="76">
        <f t="shared" si="25"/>
        <v>1200000</v>
      </c>
      <c r="I102" s="76">
        <f t="shared" si="26"/>
        <v>0</v>
      </c>
      <c r="J102" s="77">
        <f t="shared" si="27"/>
        <v>1200000</v>
      </c>
    </row>
    <row r="103" spans="1:10" ht="15" customHeight="1" thickBot="1" x14ac:dyDescent="0.35">
      <c r="A103" s="75" t="s">
        <v>304</v>
      </c>
      <c r="B103" s="81" t="s">
        <v>331</v>
      </c>
      <c r="C103" s="76" t="str">
        <f t="shared" si="24"/>
        <v>RU</v>
      </c>
      <c r="D103" s="77" t="str">
        <f>VLOOKUP(C103,$A$112:$C$116,2,0)</f>
        <v>Rượu</v>
      </c>
      <c r="E103" s="76">
        <f>VALUE(MID(B103,3,1))</f>
        <v>2</v>
      </c>
      <c r="F103" s="80">
        <v>50</v>
      </c>
      <c r="G103" s="79">
        <f>VLOOKUP(C103,$A$112:$C$116,3,0)</f>
        <v>150000</v>
      </c>
      <c r="H103" s="76">
        <f t="shared" si="25"/>
        <v>7500000</v>
      </c>
      <c r="I103" s="76">
        <f t="shared" si="26"/>
        <v>750000</v>
      </c>
      <c r="J103" s="77">
        <f t="shared" si="27"/>
        <v>8250000</v>
      </c>
    </row>
    <row r="104" spans="1:10" ht="15" customHeight="1" thickBot="1" x14ac:dyDescent="0.35">
      <c r="A104" s="75" t="s">
        <v>305</v>
      </c>
      <c r="B104" s="74" t="s">
        <v>306</v>
      </c>
      <c r="C104" s="76" t="str">
        <f t="shared" si="24"/>
        <v>SB</v>
      </c>
      <c r="D104" s="77" t="str">
        <f>VLOOKUP(C104,$A$112:$C$116,2,0)</f>
        <v>Sữa bột</v>
      </c>
      <c r="E104" s="76">
        <f>VALUE(MID(B104,3,1))</f>
        <v>5</v>
      </c>
      <c r="F104" s="80">
        <v>60</v>
      </c>
      <c r="G104" s="79">
        <f>VLOOKUP(C104,$A$112:$C$116,3,0)</f>
        <v>25000</v>
      </c>
      <c r="H104" s="76">
        <f t="shared" si="25"/>
        <v>1500000</v>
      </c>
      <c r="I104" s="76">
        <f t="shared" si="26"/>
        <v>0</v>
      </c>
      <c r="J104" s="77">
        <f t="shared" si="27"/>
        <v>1500000</v>
      </c>
    </row>
    <row r="105" spans="1:10" ht="15" customHeight="1" thickBot="1" x14ac:dyDescent="0.35">
      <c r="A105" s="82" t="s">
        <v>307</v>
      </c>
      <c r="B105" s="83"/>
      <c r="C105" s="83"/>
      <c r="D105" s="83"/>
      <c r="E105" s="84"/>
      <c r="F105" s="77">
        <f>SUM(F95:F104)</f>
        <v>770</v>
      </c>
      <c r="G105" s="77">
        <f t="shared" ref="G105:J105" si="28">SUM(G95:G104)</f>
        <v>440000</v>
      </c>
      <c r="H105" s="77">
        <f t="shared" si="28"/>
        <v>32110000</v>
      </c>
      <c r="I105" s="77">
        <f t="shared" si="28"/>
        <v>2300000</v>
      </c>
      <c r="J105" s="77">
        <f t="shared" si="28"/>
        <v>34410000</v>
      </c>
    </row>
    <row r="106" spans="1:10" ht="15" customHeight="1" thickBot="1" x14ac:dyDescent="0.35">
      <c r="A106" s="82" t="s">
        <v>308</v>
      </c>
      <c r="B106" s="83"/>
      <c r="C106" s="83"/>
      <c r="D106" s="83"/>
      <c r="E106" s="84"/>
      <c r="F106" s="77">
        <f>AVERAGE(F95:F104)</f>
        <v>77</v>
      </c>
      <c r="G106" s="77">
        <f t="shared" ref="G106:J106" si="29">AVERAGE(G95:G104)</f>
        <v>44000</v>
      </c>
      <c r="H106" s="77">
        <f t="shared" si="29"/>
        <v>3211000</v>
      </c>
      <c r="I106" s="77">
        <f t="shared" si="29"/>
        <v>230000</v>
      </c>
      <c r="J106" s="77">
        <f t="shared" si="29"/>
        <v>3441000</v>
      </c>
    </row>
    <row r="107" spans="1:10" ht="15" customHeight="1" thickBot="1" x14ac:dyDescent="0.35">
      <c r="A107" s="85" t="s">
        <v>309</v>
      </c>
      <c r="B107" s="86"/>
      <c r="C107" s="86"/>
      <c r="D107" s="86"/>
      <c r="E107" s="87"/>
      <c r="F107" s="77">
        <f>MIN(F95:F104)</f>
        <v>47</v>
      </c>
      <c r="G107" s="77">
        <f t="shared" ref="G107:J107" si="30">MIN(G95:G104)</f>
        <v>5000</v>
      </c>
      <c r="H107" s="77">
        <f t="shared" si="30"/>
        <v>235000</v>
      </c>
      <c r="I107" s="77">
        <f t="shared" si="30"/>
        <v>0</v>
      </c>
      <c r="J107" s="77">
        <f t="shared" si="30"/>
        <v>235000</v>
      </c>
    </row>
    <row r="108" spans="1:10" ht="15" customHeight="1" thickBot="1" x14ac:dyDescent="0.35">
      <c r="A108" s="89" t="s">
        <v>315</v>
      </c>
      <c r="B108" s="86"/>
      <c r="C108" s="86"/>
      <c r="D108" s="86"/>
      <c r="E108" s="87"/>
      <c r="F108" s="77">
        <f>MAX(F95:F104)</f>
        <v>125</v>
      </c>
      <c r="G108" s="77">
        <f t="shared" ref="G108:J108" si="31">MAX(G95:G104)</f>
        <v>150000</v>
      </c>
      <c r="H108" s="77">
        <f t="shared" si="31"/>
        <v>13500000</v>
      </c>
      <c r="I108" s="77">
        <f t="shared" si="31"/>
        <v>1350000</v>
      </c>
      <c r="J108" s="77">
        <f t="shared" si="31"/>
        <v>14850000</v>
      </c>
    </row>
    <row r="110" spans="1:10" ht="15" customHeight="1" thickBot="1" x14ac:dyDescent="0.35">
      <c r="A110" s="9" t="s">
        <v>316</v>
      </c>
      <c r="E110" s="9" t="s">
        <v>328</v>
      </c>
    </row>
    <row r="111" spans="1:10" ht="15" customHeight="1" thickBot="1" x14ac:dyDescent="0.35">
      <c r="A111" s="18" t="s">
        <v>317</v>
      </c>
      <c r="B111" s="18" t="s">
        <v>291</v>
      </c>
      <c r="C111" s="18" t="s">
        <v>120</v>
      </c>
      <c r="E111" s="99"/>
      <c r="F111" s="91" t="s">
        <v>327</v>
      </c>
      <c r="G111" s="91" t="s">
        <v>322</v>
      </c>
      <c r="H111" s="91" t="s">
        <v>326</v>
      </c>
    </row>
    <row r="112" spans="1:10" ht="15" customHeight="1" thickBot="1" x14ac:dyDescent="0.35">
      <c r="A112" s="93" t="s">
        <v>318</v>
      </c>
      <c r="B112" s="94" t="s">
        <v>327</v>
      </c>
      <c r="C112" s="101">
        <v>25000</v>
      </c>
      <c r="E112" s="100" t="s">
        <v>329</v>
      </c>
      <c r="F112" s="76">
        <f>COUNTIF($D$95:$D$104,"Sữa bột")</f>
        <v>4</v>
      </c>
      <c r="G112" s="76">
        <f>COUNTIF($D$95:$D$104,"Đường")</f>
        <v>2</v>
      </c>
      <c r="H112" s="76">
        <f>COUNTIF($D$95:$D$104,"Bột ngọt")</f>
        <v>1</v>
      </c>
    </row>
    <row r="113" spans="1:8" ht="15" customHeight="1" x14ac:dyDescent="0.3">
      <c r="A113" s="96" t="s">
        <v>319</v>
      </c>
      <c r="B113" s="97" t="s">
        <v>320</v>
      </c>
      <c r="C113" s="101">
        <v>10000</v>
      </c>
    </row>
    <row r="114" spans="1:8" ht="15" customHeight="1" x14ac:dyDescent="0.3">
      <c r="A114" s="93" t="s">
        <v>321</v>
      </c>
      <c r="B114" s="94" t="s">
        <v>322</v>
      </c>
      <c r="C114" s="101">
        <v>5000</v>
      </c>
    </row>
    <row r="115" spans="1:8" ht="15" customHeight="1" x14ac:dyDescent="0.3">
      <c r="A115" s="93" t="s">
        <v>323</v>
      </c>
      <c r="B115" s="98" t="s">
        <v>324</v>
      </c>
      <c r="C115" s="101">
        <v>150000</v>
      </c>
    </row>
    <row r="116" spans="1:8" ht="15" customHeight="1" x14ac:dyDescent="0.3">
      <c r="A116" s="96" t="s">
        <v>325</v>
      </c>
      <c r="B116" s="97" t="s">
        <v>326</v>
      </c>
      <c r="C116" s="102">
        <v>20000</v>
      </c>
    </row>
    <row r="118" spans="1:8" ht="15" customHeight="1" x14ac:dyDescent="0.3">
      <c r="A118" s="113" t="s">
        <v>88</v>
      </c>
      <c r="B118" s="113" t="s">
        <v>332</v>
      </c>
      <c r="C118" s="115" t="s">
        <v>363</v>
      </c>
      <c r="D118" s="115" t="s">
        <v>366</v>
      </c>
      <c r="E118" s="113" t="s">
        <v>333</v>
      </c>
      <c r="F118" s="113" t="s">
        <v>334</v>
      </c>
      <c r="G118" s="113" t="s">
        <v>201</v>
      </c>
      <c r="H118" s="113" t="s">
        <v>344</v>
      </c>
    </row>
    <row r="119" spans="1:8" ht="15" customHeight="1" x14ac:dyDescent="0.3">
      <c r="A119" s="105">
        <v>1</v>
      </c>
      <c r="B119" s="105" t="s">
        <v>335</v>
      </c>
      <c r="C119" s="11" t="str">
        <f>VLOOKUP(LEFT(B119),$D$132:$G$134,2,0)</f>
        <v>dầu</v>
      </c>
      <c r="D119" s="11" t="str">
        <f t="shared" ref="D119:D122" si="32">IF(RIGHT(B119,2)="TN", "Nội địa",VLOOKUP(RIGHT(B119,2),$A$132:$B$136,2,0))</f>
        <v>British Petro</v>
      </c>
      <c r="E119" s="106">
        <f>VLOOKUP(LEFT(B119),$D$132:$G$134,3,0)</f>
        <v>1500</v>
      </c>
      <c r="F119" s="107">
        <v>1500</v>
      </c>
      <c r="G119" s="108">
        <f>F119*E119*IF(D119="Nội địa",0,VLOOKUP(LEFT(B119),$D$132:$G$134,4,0))</f>
        <v>56250</v>
      </c>
      <c r="H119" s="109">
        <f>F119*E119+G119</f>
        <v>2306250</v>
      </c>
    </row>
    <row r="120" spans="1:8" ht="15" customHeight="1" x14ac:dyDescent="0.3">
      <c r="A120" s="105">
        <v>2</v>
      </c>
      <c r="B120" s="110" t="s">
        <v>336</v>
      </c>
      <c r="C120" s="11" t="str">
        <f t="shared" ref="C120:C128" si="33">VLOOKUP(LEFT(B120),$D$132:$G$134,2,0)</f>
        <v>dầu</v>
      </c>
      <c r="D120" s="11" t="str">
        <f t="shared" si="32"/>
        <v>Esso</v>
      </c>
      <c r="E120" s="106">
        <f t="shared" ref="E120:E128" si="34">VLOOKUP(LEFT(B120),$D$132:$G$134,3,0)</f>
        <v>1500</v>
      </c>
      <c r="F120" s="95">
        <v>2800</v>
      </c>
      <c r="G120" s="108">
        <f t="shared" ref="G120:G128" si="35">F120*E120*IF(D120="Nội địa",0,VLOOKUP(LEFT(B120),$D$132:$G$134,4,0))</f>
        <v>105000</v>
      </c>
      <c r="H120" s="109">
        <f t="shared" ref="H120:H128" si="36">F120*E120+G120</f>
        <v>4305000</v>
      </c>
    </row>
    <row r="121" spans="1:8" ht="15" customHeight="1" x14ac:dyDescent="0.3">
      <c r="A121" s="105">
        <v>3</v>
      </c>
      <c r="B121" s="105" t="s">
        <v>337</v>
      </c>
      <c r="C121" s="11" t="str">
        <f t="shared" si="33"/>
        <v>xăng</v>
      </c>
      <c r="D121" s="11" t="str">
        <f t="shared" si="32"/>
        <v>Shell</v>
      </c>
      <c r="E121" s="106">
        <f t="shared" si="34"/>
        <v>300</v>
      </c>
      <c r="F121" s="107">
        <v>3500</v>
      </c>
      <c r="G121" s="108">
        <f t="shared" si="35"/>
        <v>31500</v>
      </c>
      <c r="H121" s="109">
        <f t="shared" si="36"/>
        <v>1081500</v>
      </c>
    </row>
    <row r="122" spans="1:8" ht="15" customHeight="1" x14ac:dyDescent="0.3">
      <c r="A122" s="105">
        <v>4</v>
      </c>
      <c r="B122" s="110" t="s">
        <v>338</v>
      </c>
      <c r="C122" s="11" t="str">
        <f t="shared" si="33"/>
        <v>Nhớt</v>
      </c>
      <c r="D122" s="11" t="str">
        <f t="shared" si="32"/>
        <v>Castrol</v>
      </c>
      <c r="E122" s="106">
        <f t="shared" si="34"/>
        <v>400</v>
      </c>
      <c r="F122" s="95">
        <v>1000</v>
      </c>
      <c r="G122" s="108">
        <f t="shared" si="35"/>
        <v>8000</v>
      </c>
      <c r="H122" s="109">
        <f t="shared" si="36"/>
        <v>408000</v>
      </c>
    </row>
    <row r="123" spans="1:8" ht="15" customHeight="1" x14ac:dyDescent="0.3">
      <c r="A123" s="105">
        <v>5</v>
      </c>
      <c r="B123" s="105" t="s">
        <v>368</v>
      </c>
      <c r="C123" s="11" t="str">
        <f t="shared" si="33"/>
        <v>dầu</v>
      </c>
      <c r="D123" s="11" t="str">
        <f>IF(RIGHT(B123,2)="TN", "Nội địa",VLOOKUP(RIGHT(B123,2),$A$132:$B$136,2,0))</f>
        <v>Nội địa</v>
      </c>
      <c r="E123" s="106">
        <f t="shared" si="34"/>
        <v>1500</v>
      </c>
      <c r="F123" s="107">
        <v>2500</v>
      </c>
      <c r="G123" s="108">
        <f t="shared" si="35"/>
        <v>0</v>
      </c>
      <c r="H123" s="109">
        <f t="shared" si="36"/>
        <v>3750000</v>
      </c>
    </row>
    <row r="124" spans="1:8" ht="15" customHeight="1" x14ac:dyDescent="0.3">
      <c r="A124" s="105">
        <v>6</v>
      </c>
      <c r="B124" s="105" t="s">
        <v>339</v>
      </c>
      <c r="C124" s="11" t="str">
        <f t="shared" si="33"/>
        <v>Nhớt</v>
      </c>
      <c r="D124" s="11" t="str">
        <f t="shared" ref="D124:D128" si="37">IF(RIGHT(B124,2)="TN", "Nội địa",VLOOKUP(RIGHT(B124,2),$A$132:$B$136,2,0))</f>
        <v>Mobil</v>
      </c>
      <c r="E124" s="106">
        <f t="shared" si="34"/>
        <v>400</v>
      </c>
      <c r="F124" s="107">
        <v>5200</v>
      </c>
      <c r="G124" s="108">
        <f t="shared" si="35"/>
        <v>41600</v>
      </c>
      <c r="H124" s="109">
        <f t="shared" si="36"/>
        <v>2121600</v>
      </c>
    </row>
    <row r="125" spans="1:8" ht="15" customHeight="1" x14ac:dyDescent="0.3">
      <c r="A125" s="105">
        <v>7</v>
      </c>
      <c r="B125" s="110" t="s">
        <v>340</v>
      </c>
      <c r="C125" s="11" t="str">
        <f t="shared" si="33"/>
        <v>Nhớt</v>
      </c>
      <c r="D125" s="11" t="str">
        <f t="shared" si="37"/>
        <v>British Petro</v>
      </c>
      <c r="E125" s="106">
        <f t="shared" si="34"/>
        <v>400</v>
      </c>
      <c r="F125" s="95">
        <v>1200</v>
      </c>
      <c r="G125" s="108">
        <f t="shared" si="35"/>
        <v>9600</v>
      </c>
      <c r="H125" s="109">
        <f t="shared" si="36"/>
        <v>489600</v>
      </c>
    </row>
    <row r="126" spans="1:8" ht="15" customHeight="1" x14ac:dyDescent="0.3">
      <c r="A126" s="105">
        <v>8</v>
      </c>
      <c r="B126" s="105" t="s">
        <v>341</v>
      </c>
      <c r="C126" s="11" t="str">
        <f t="shared" si="33"/>
        <v>xăng</v>
      </c>
      <c r="D126" s="11" t="str">
        <f t="shared" si="37"/>
        <v>Shell</v>
      </c>
      <c r="E126" s="106">
        <f t="shared" si="34"/>
        <v>300</v>
      </c>
      <c r="F126" s="107">
        <v>2400</v>
      </c>
      <c r="G126" s="108">
        <f t="shared" si="35"/>
        <v>21600</v>
      </c>
      <c r="H126" s="109">
        <f t="shared" si="36"/>
        <v>741600</v>
      </c>
    </row>
    <row r="127" spans="1:8" ht="15" customHeight="1" x14ac:dyDescent="0.3">
      <c r="A127" s="105">
        <v>9</v>
      </c>
      <c r="B127" s="105" t="s">
        <v>342</v>
      </c>
      <c r="C127" s="11" t="str">
        <f t="shared" si="33"/>
        <v>xăng</v>
      </c>
      <c r="D127" s="11" t="str">
        <f t="shared" si="37"/>
        <v>Castrol</v>
      </c>
      <c r="E127" s="106">
        <f t="shared" si="34"/>
        <v>300</v>
      </c>
      <c r="F127" s="107">
        <v>3200</v>
      </c>
      <c r="G127" s="108">
        <f t="shared" si="35"/>
        <v>28800</v>
      </c>
      <c r="H127" s="109">
        <f t="shared" si="36"/>
        <v>988800</v>
      </c>
    </row>
    <row r="128" spans="1:8" ht="15" customHeight="1" x14ac:dyDescent="0.3">
      <c r="A128" s="105">
        <v>10</v>
      </c>
      <c r="B128" s="105" t="s">
        <v>343</v>
      </c>
      <c r="C128" s="11" t="str">
        <f t="shared" si="33"/>
        <v>Nhớt</v>
      </c>
      <c r="D128" s="11" t="str">
        <f t="shared" si="37"/>
        <v>Esso</v>
      </c>
      <c r="E128" s="106">
        <f t="shared" si="34"/>
        <v>400</v>
      </c>
      <c r="F128" s="107">
        <v>1300</v>
      </c>
      <c r="G128" s="108">
        <f t="shared" si="35"/>
        <v>10400</v>
      </c>
      <c r="H128" s="109">
        <f t="shared" si="36"/>
        <v>530400</v>
      </c>
    </row>
    <row r="130" spans="1:7" ht="15" customHeight="1" x14ac:dyDescent="0.3">
      <c r="A130" s="9" t="s">
        <v>345</v>
      </c>
      <c r="D130" s="9" t="s">
        <v>357</v>
      </c>
    </row>
    <row r="131" spans="1:7" ht="28.8" x14ac:dyDescent="0.3">
      <c r="A131" s="114" t="s">
        <v>354</v>
      </c>
      <c r="B131" s="114" t="s">
        <v>355</v>
      </c>
      <c r="D131" s="116" t="s">
        <v>362</v>
      </c>
      <c r="E131" s="116" t="s">
        <v>363</v>
      </c>
      <c r="F131" s="117" t="s">
        <v>364</v>
      </c>
      <c r="G131" s="116" t="s">
        <v>365</v>
      </c>
    </row>
    <row r="132" spans="1:7" ht="15" customHeight="1" x14ac:dyDescent="0.3">
      <c r="A132" s="104" t="s">
        <v>7</v>
      </c>
      <c r="B132" s="103" t="s">
        <v>346</v>
      </c>
      <c r="D132" s="11" t="s">
        <v>358</v>
      </c>
      <c r="E132" s="11" t="s">
        <v>359</v>
      </c>
      <c r="F132" s="11">
        <v>300</v>
      </c>
      <c r="G132" s="112">
        <v>0.03</v>
      </c>
    </row>
    <row r="133" spans="1:7" ht="15" customHeight="1" x14ac:dyDescent="0.3">
      <c r="A133" s="104" t="s">
        <v>347</v>
      </c>
      <c r="B133" s="103" t="s">
        <v>348</v>
      </c>
      <c r="D133" s="11" t="s">
        <v>360</v>
      </c>
      <c r="E133" s="11" t="s">
        <v>361</v>
      </c>
      <c r="F133" s="11">
        <v>1500</v>
      </c>
      <c r="G133" s="112">
        <v>2.5000000000000001E-2</v>
      </c>
    </row>
    <row r="134" spans="1:7" ht="15" customHeight="1" x14ac:dyDescent="0.3">
      <c r="A134" s="111" t="s">
        <v>349</v>
      </c>
      <c r="B134" s="105" t="s">
        <v>350</v>
      </c>
      <c r="D134" s="11" t="s">
        <v>54</v>
      </c>
      <c r="E134" s="70" t="s">
        <v>367</v>
      </c>
      <c r="F134" s="11">
        <v>400</v>
      </c>
      <c r="G134" s="112">
        <v>0.02</v>
      </c>
    </row>
    <row r="135" spans="1:7" ht="15" customHeight="1" x14ac:dyDescent="0.3">
      <c r="A135" s="104" t="s">
        <v>351</v>
      </c>
      <c r="B135" s="103" t="s">
        <v>352</v>
      </c>
    </row>
    <row r="136" spans="1:7" ht="15" customHeight="1" x14ac:dyDescent="0.3">
      <c r="A136" s="111" t="s">
        <v>353</v>
      </c>
      <c r="B136" s="105" t="s">
        <v>356</v>
      </c>
    </row>
  </sheetData>
  <sortState xmlns:xlrd2="http://schemas.microsoft.com/office/spreadsheetml/2017/richdata2" ref="A25:J31">
    <sortCondition ref="E25:E31"/>
  </sortState>
  <mergeCells count="31">
    <mergeCell ref="A105:E105"/>
    <mergeCell ref="A106:E106"/>
    <mergeCell ref="A107:E107"/>
    <mergeCell ref="A108:E108"/>
    <mergeCell ref="A93:J93"/>
    <mergeCell ref="A87:B87"/>
    <mergeCell ref="D87:G87"/>
    <mergeCell ref="H87:J87"/>
    <mergeCell ref="H90:I90"/>
    <mergeCell ref="H73:J73"/>
    <mergeCell ref="H74:J74"/>
    <mergeCell ref="C75:D75"/>
    <mergeCell ref="H75:J75"/>
    <mergeCell ref="A77:J77"/>
    <mergeCell ref="A13:D13"/>
    <mergeCell ref="C70:E70"/>
    <mergeCell ref="H70:J70"/>
    <mergeCell ref="H71:J71"/>
    <mergeCell ref="H72:J72"/>
    <mergeCell ref="A1:I1"/>
    <mergeCell ref="A2:A3"/>
    <mergeCell ref="B2:D2"/>
    <mergeCell ref="E2:I2"/>
    <mergeCell ref="A12:D12"/>
    <mergeCell ref="A39:K39"/>
    <mergeCell ref="A14:D14"/>
    <mergeCell ref="B16:D16"/>
    <mergeCell ref="F16:G16"/>
    <mergeCell ref="B23:I23"/>
    <mergeCell ref="A33:C33"/>
    <mergeCell ref="F33:I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8"/>
  <sheetViews>
    <sheetView workbookViewId="0">
      <selection activeCell="A10" sqref="A10:K16"/>
    </sheetView>
  </sheetViews>
  <sheetFormatPr defaultRowHeight="14.4" x14ac:dyDescent="0.3"/>
  <cols>
    <col min="2" max="2" width="12.6640625" bestFit="1" customWidth="1"/>
    <col min="4" max="4" width="10.5546875" bestFit="1" customWidth="1"/>
    <col min="5" max="5" width="10.44140625" bestFit="1" customWidth="1"/>
    <col min="7" max="7" width="11.6640625" bestFit="1" customWidth="1"/>
    <col min="8" max="8" width="16.109375" bestFit="1" customWidth="1"/>
    <col min="9" max="9" width="16" bestFit="1" customWidth="1"/>
    <col min="10" max="10" width="15" bestFit="1" customWidth="1"/>
    <col min="11" max="11" width="14.21875" bestFit="1" customWidth="1"/>
  </cols>
  <sheetData>
    <row r="1" spans="1:10" x14ac:dyDescent="0.3">
      <c r="A1" s="10" t="s">
        <v>115</v>
      </c>
      <c r="B1" s="10" t="s">
        <v>116</v>
      </c>
      <c r="C1" s="10" t="s">
        <v>117</v>
      </c>
      <c r="D1" s="10" t="s">
        <v>118</v>
      </c>
      <c r="E1" s="10" t="s">
        <v>119</v>
      </c>
      <c r="F1" s="10" t="s">
        <v>120</v>
      </c>
      <c r="G1" s="10" t="s">
        <v>121</v>
      </c>
      <c r="H1" s="10" t="s">
        <v>122</v>
      </c>
      <c r="I1" s="10" t="s">
        <v>123</v>
      </c>
      <c r="J1" s="10" t="s">
        <v>146</v>
      </c>
    </row>
    <row r="2" spans="1:10" hidden="1" x14ac:dyDescent="0.3">
      <c r="A2" s="11" t="s">
        <v>129</v>
      </c>
      <c r="B2" s="11" t="s">
        <v>136</v>
      </c>
      <c r="C2" s="11" t="s">
        <v>142</v>
      </c>
      <c r="D2" s="11" t="s">
        <v>145</v>
      </c>
      <c r="E2" s="11">
        <v>450</v>
      </c>
      <c r="F2" s="11">
        <v>3000</v>
      </c>
      <c r="G2" s="11">
        <v>1350000</v>
      </c>
      <c r="H2" s="11">
        <v>50000</v>
      </c>
      <c r="I2" s="11">
        <v>0</v>
      </c>
      <c r="J2" s="11">
        <v>1400000</v>
      </c>
    </row>
    <row r="3" spans="1:10" hidden="1" x14ac:dyDescent="0.3">
      <c r="A3" s="11" t="s">
        <v>127</v>
      </c>
      <c r="B3" s="11" t="s">
        <v>134</v>
      </c>
      <c r="C3" s="11" t="s">
        <v>142</v>
      </c>
      <c r="D3" s="11" t="s">
        <v>145</v>
      </c>
      <c r="E3" s="11">
        <v>600</v>
      </c>
      <c r="F3" s="11">
        <v>3000</v>
      </c>
      <c r="G3" s="11">
        <v>1800000</v>
      </c>
      <c r="H3" s="11">
        <v>50000</v>
      </c>
      <c r="I3" s="11">
        <v>90000</v>
      </c>
      <c r="J3" s="11">
        <v>1760000</v>
      </c>
    </row>
    <row r="4" spans="1:10" hidden="1" x14ac:dyDescent="0.3">
      <c r="A4" s="11" t="s">
        <v>126</v>
      </c>
      <c r="B4" s="11" t="s">
        <v>133</v>
      </c>
      <c r="C4" s="11" t="s">
        <v>57</v>
      </c>
      <c r="D4" s="11" t="s">
        <v>144</v>
      </c>
      <c r="E4" s="11">
        <v>700</v>
      </c>
      <c r="F4" s="11">
        <v>3500</v>
      </c>
      <c r="G4" s="11">
        <v>2450000</v>
      </c>
      <c r="H4" s="11">
        <v>50000</v>
      </c>
      <c r="I4" s="11">
        <v>0</v>
      </c>
      <c r="J4" s="11">
        <v>2500000</v>
      </c>
    </row>
    <row r="5" spans="1:10" x14ac:dyDescent="0.3">
      <c r="A5" s="11" t="s">
        <v>124</v>
      </c>
      <c r="B5" s="11" t="s">
        <v>131</v>
      </c>
      <c r="C5" s="11" t="s">
        <v>141</v>
      </c>
      <c r="D5" s="11" t="s">
        <v>143</v>
      </c>
      <c r="E5" s="11">
        <v>1500</v>
      </c>
      <c r="F5" s="11">
        <v>2800</v>
      </c>
      <c r="G5" s="11">
        <v>4200000</v>
      </c>
      <c r="H5" s="11">
        <v>15000</v>
      </c>
      <c r="I5" s="11">
        <v>336000</v>
      </c>
      <c r="J5" s="11">
        <v>3879000</v>
      </c>
    </row>
    <row r="6" spans="1:10" hidden="1" x14ac:dyDescent="0.3">
      <c r="A6" s="11" t="s">
        <v>130</v>
      </c>
      <c r="B6" s="11" t="s">
        <v>137</v>
      </c>
      <c r="C6" s="11" t="s">
        <v>57</v>
      </c>
      <c r="D6" s="11" t="s">
        <v>144</v>
      </c>
      <c r="E6" s="11">
        <v>1500</v>
      </c>
      <c r="F6" s="11">
        <v>3500</v>
      </c>
      <c r="G6" s="11">
        <v>5250000</v>
      </c>
      <c r="H6" s="11">
        <v>15000</v>
      </c>
      <c r="I6" s="11">
        <v>0</v>
      </c>
      <c r="J6" s="11">
        <v>5265000</v>
      </c>
    </row>
    <row r="7" spans="1:10" x14ac:dyDescent="0.3">
      <c r="A7" s="11" t="s">
        <v>128</v>
      </c>
      <c r="B7" s="11" t="s">
        <v>135</v>
      </c>
      <c r="C7" s="11" t="s">
        <v>141</v>
      </c>
      <c r="D7" s="11" t="s">
        <v>143</v>
      </c>
      <c r="E7" s="11">
        <v>2000</v>
      </c>
      <c r="F7" s="11">
        <v>2800</v>
      </c>
      <c r="G7" s="11">
        <v>5600000</v>
      </c>
      <c r="H7" s="11">
        <v>15000</v>
      </c>
      <c r="I7" s="11">
        <v>448000</v>
      </c>
      <c r="J7" s="11">
        <v>5167000</v>
      </c>
    </row>
    <row r="8" spans="1:10" x14ac:dyDescent="0.3">
      <c r="A8" s="11" t="s">
        <v>125</v>
      </c>
      <c r="B8" s="11" t="s">
        <v>132</v>
      </c>
      <c r="C8" s="11" t="s">
        <v>141</v>
      </c>
      <c r="D8" s="11" t="s">
        <v>143</v>
      </c>
      <c r="E8" s="11">
        <v>2100</v>
      </c>
      <c r="F8" s="11">
        <v>2800</v>
      </c>
      <c r="G8" s="11">
        <v>5880000</v>
      </c>
      <c r="H8" s="11">
        <v>15000</v>
      </c>
      <c r="I8" s="11">
        <v>470400</v>
      </c>
      <c r="J8" s="11">
        <v>5424600</v>
      </c>
    </row>
  </sheetData>
  <autoFilter ref="A1:J8" xr:uid="{00000000-0009-0000-0000-000002000000}">
    <filterColumn colId="3">
      <filters>
        <filter val="Giáo kho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3A3A-EAF5-45C6-9FE8-96C5707A39BA}">
  <sheetPr filterMode="1"/>
  <dimension ref="A1:K7"/>
  <sheetViews>
    <sheetView workbookViewId="0">
      <selection activeCell="C24" sqref="C24"/>
    </sheetView>
  </sheetViews>
  <sheetFormatPr defaultRowHeight="14.4" x14ac:dyDescent="0.3"/>
  <cols>
    <col min="5" max="5" width="7.33203125" bestFit="1" customWidth="1"/>
    <col min="7" max="7" width="10.33203125" bestFit="1" customWidth="1"/>
    <col min="9" max="9" width="16" bestFit="1" customWidth="1"/>
    <col min="10" max="10" width="15" bestFit="1" customWidth="1"/>
    <col min="11" max="11" width="14.21875" bestFit="1" customWidth="1"/>
  </cols>
  <sheetData>
    <row r="1" spans="1:11" x14ac:dyDescent="0.3">
      <c r="A1" s="18" t="s">
        <v>148</v>
      </c>
      <c r="B1" s="18" t="s">
        <v>149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120</v>
      </c>
      <c r="I1" s="18" t="s">
        <v>155</v>
      </c>
      <c r="J1" s="18" t="s">
        <v>156</v>
      </c>
      <c r="K1" s="18" t="s">
        <v>157</v>
      </c>
    </row>
    <row r="2" spans="1:11" hidden="1" x14ac:dyDescent="0.3">
      <c r="A2" s="11" t="s">
        <v>158</v>
      </c>
      <c r="B2" s="11" t="s">
        <v>164</v>
      </c>
      <c r="C2" s="11" t="s">
        <v>171</v>
      </c>
      <c r="D2" s="11">
        <v>1397</v>
      </c>
      <c r="E2" s="11">
        <v>1500</v>
      </c>
      <c r="F2" s="11">
        <v>103</v>
      </c>
      <c r="G2" s="11">
        <v>100</v>
      </c>
      <c r="H2" s="11">
        <v>50</v>
      </c>
      <c r="I2" s="11">
        <v>3</v>
      </c>
      <c r="J2" s="11">
        <v>5000</v>
      </c>
      <c r="K2" s="11">
        <v>225</v>
      </c>
    </row>
    <row r="3" spans="1:11" hidden="1" x14ac:dyDescent="0.3">
      <c r="A3" s="11" t="s">
        <v>159</v>
      </c>
      <c r="B3" s="11" t="s">
        <v>165</v>
      </c>
      <c r="C3" s="11" t="s">
        <v>171</v>
      </c>
      <c r="D3" s="11">
        <v>5555</v>
      </c>
      <c r="E3" s="11">
        <v>5580</v>
      </c>
      <c r="F3" s="11">
        <v>25</v>
      </c>
      <c r="G3" s="11">
        <v>100</v>
      </c>
      <c r="H3" s="11">
        <v>50</v>
      </c>
      <c r="I3" s="11">
        <v>0</v>
      </c>
      <c r="J3" s="11">
        <v>1250</v>
      </c>
      <c r="K3" s="11">
        <v>0</v>
      </c>
    </row>
    <row r="4" spans="1:11" hidden="1" x14ac:dyDescent="0.3">
      <c r="A4" s="11" t="s">
        <v>160</v>
      </c>
      <c r="B4" s="11" t="s">
        <v>166</v>
      </c>
      <c r="C4" s="11" t="s">
        <v>172</v>
      </c>
      <c r="D4" s="11">
        <v>4500</v>
      </c>
      <c r="E4" s="11">
        <v>4700</v>
      </c>
      <c r="F4" s="11">
        <v>200</v>
      </c>
      <c r="G4" s="11">
        <v>300</v>
      </c>
      <c r="H4" s="11">
        <v>60</v>
      </c>
      <c r="I4" s="11">
        <v>0</v>
      </c>
      <c r="J4" s="11">
        <v>12000</v>
      </c>
      <c r="K4" s="11">
        <v>0</v>
      </c>
    </row>
    <row r="5" spans="1:11" x14ac:dyDescent="0.3">
      <c r="A5" s="11" t="s">
        <v>161</v>
      </c>
      <c r="B5" s="11" t="s">
        <v>167</v>
      </c>
      <c r="C5" s="11" t="s">
        <v>172</v>
      </c>
      <c r="D5" s="11">
        <v>6000</v>
      </c>
      <c r="E5" s="11">
        <v>6400</v>
      </c>
      <c r="F5" s="11">
        <v>400</v>
      </c>
      <c r="G5" s="11">
        <v>300</v>
      </c>
      <c r="H5" s="11">
        <v>60</v>
      </c>
      <c r="I5" s="11">
        <v>100</v>
      </c>
      <c r="J5" s="11">
        <v>18000</v>
      </c>
      <c r="K5" s="11">
        <v>15000</v>
      </c>
    </row>
    <row r="6" spans="1:11" hidden="1" x14ac:dyDescent="0.3">
      <c r="A6" s="11" t="s">
        <v>162</v>
      </c>
      <c r="B6" s="11" t="s">
        <v>168</v>
      </c>
      <c r="C6" s="11" t="s">
        <v>173</v>
      </c>
      <c r="D6" s="11">
        <v>9950</v>
      </c>
      <c r="E6" s="11">
        <v>150</v>
      </c>
      <c r="F6" s="11">
        <v>200</v>
      </c>
      <c r="G6" s="11">
        <v>500</v>
      </c>
      <c r="H6" s="11">
        <v>80</v>
      </c>
      <c r="I6" s="11">
        <v>0</v>
      </c>
      <c r="J6" s="11">
        <v>16000</v>
      </c>
      <c r="K6" s="11">
        <v>0</v>
      </c>
    </row>
    <row r="7" spans="1:11" x14ac:dyDescent="0.3">
      <c r="A7" s="11" t="s">
        <v>163</v>
      </c>
      <c r="B7" s="11" t="s">
        <v>169</v>
      </c>
      <c r="C7" s="11" t="s">
        <v>173</v>
      </c>
      <c r="D7" s="11">
        <v>9800</v>
      </c>
      <c r="E7" s="11">
        <v>700</v>
      </c>
      <c r="F7" s="11">
        <v>900</v>
      </c>
      <c r="G7" s="11">
        <v>500</v>
      </c>
      <c r="H7" s="11">
        <v>80</v>
      </c>
      <c r="I7" s="11">
        <v>400</v>
      </c>
      <c r="J7" s="11">
        <v>40000</v>
      </c>
      <c r="K7" s="11">
        <v>96000</v>
      </c>
    </row>
  </sheetData>
  <autoFilter ref="A1:K7" xr:uid="{1AD73A3A-EAF5-45C6-9FE8-96C5707A39BA}">
    <filterColumn colId="8">
      <filters>
        <filter val="100"/>
        <filter val="4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ví dụ</vt:lpstr>
      <vt:lpstr>bài tập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TEST</dc:creator>
  <cp:lastModifiedBy>PC</cp:lastModifiedBy>
  <dcterms:created xsi:type="dcterms:W3CDTF">2023-04-04T03:20:39Z</dcterms:created>
  <dcterms:modified xsi:type="dcterms:W3CDTF">2023-04-07T02:37:28Z</dcterms:modified>
</cp:coreProperties>
</file>