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TEST\Downloads\"/>
    </mc:Choice>
  </mc:AlternateContent>
  <bookViews>
    <workbookView xWindow="0" yWindow="0" windowWidth="20490" windowHeight="7500" activeTab="2"/>
  </bookViews>
  <sheets>
    <sheet name="if and or" sheetId="1" r:id="rId1"/>
    <sheet name="hàm thống kê + tg" sheetId="2" r:id="rId2"/>
    <sheet name="chuỗi" sheetId="3" r:id="rId3"/>
  </sheets>
  <calcPr calcId="162913"/>
  <extLst>
    <ext uri="GoogleSheetsCustomDataVersion1">
      <go:sheetsCustomData xmlns:go="http://customooxmlschemas.google.com/" r:id="rId6" roundtripDataSignature="AMtx7mgjyRfN4YierJY2kBzjbM0pX7ZaUA=="/>
    </ext>
  </extLst>
</workbook>
</file>

<file path=xl/calcChain.xml><?xml version="1.0" encoding="utf-8"?>
<calcChain xmlns="http://schemas.openxmlformats.org/spreadsheetml/2006/main">
  <c r="F30" i="2" l="1"/>
  <c r="E30" i="2"/>
  <c r="G26" i="2"/>
  <c r="F26" i="2"/>
  <c r="E26" i="2"/>
  <c r="E49" i="3"/>
  <c r="F49" i="3"/>
  <c r="F50" i="3"/>
  <c r="F51" i="3"/>
  <c r="F52" i="3"/>
  <c r="F53" i="3"/>
  <c r="F54" i="3"/>
  <c r="F55" i="3"/>
  <c r="F56" i="3"/>
  <c r="E50" i="3"/>
  <c r="E51" i="3"/>
  <c r="E52" i="3"/>
  <c r="E53" i="3"/>
  <c r="E54" i="3"/>
  <c r="E55" i="3"/>
  <c r="E56" i="3"/>
  <c r="B50" i="3"/>
  <c r="B51" i="3"/>
  <c r="B52" i="3"/>
  <c r="B53" i="3"/>
  <c r="B54" i="3"/>
  <c r="B55" i="3"/>
  <c r="B56" i="3"/>
  <c r="B49" i="3"/>
  <c r="H38" i="3"/>
  <c r="H39" i="3"/>
  <c r="H40" i="3"/>
  <c r="H41" i="3"/>
  <c r="H42" i="3"/>
  <c r="H43" i="3"/>
  <c r="H44" i="3"/>
  <c r="H45" i="3"/>
  <c r="H37" i="3"/>
  <c r="G38" i="3"/>
  <c r="G39" i="3"/>
  <c r="G40" i="3"/>
  <c r="G41" i="3"/>
  <c r="G42" i="3"/>
  <c r="G43" i="3"/>
  <c r="G44" i="3"/>
  <c r="G45" i="3"/>
  <c r="G37" i="3"/>
  <c r="D38" i="3"/>
  <c r="D39" i="3"/>
  <c r="D40" i="3"/>
  <c r="D41" i="3"/>
  <c r="D42" i="3"/>
  <c r="D43" i="3"/>
  <c r="D44" i="3"/>
  <c r="D45" i="3"/>
  <c r="D37" i="3"/>
  <c r="C38" i="3"/>
  <c r="C39" i="3"/>
  <c r="C40" i="3"/>
  <c r="C41" i="3"/>
  <c r="C42" i="3"/>
  <c r="C43" i="3"/>
  <c r="C44" i="3"/>
  <c r="C45" i="3"/>
  <c r="C37" i="3"/>
  <c r="H27" i="3"/>
  <c r="H28" i="3"/>
  <c r="H29" i="3"/>
  <c r="H30" i="3"/>
  <c r="H31" i="3"/>
  <c r="H32" i="3"/>
  <c r="H33" i="3"/>
  <c r="H26" i="3"/>
  <c r="H21" i="1"/>
  <c r="H22" i="1"/>
  <c r="L22" i="1" s="1"/>
  <c r="H23" i="1"/>
  <c r="L23" i="1" s="1"/>
  <c r="H24" i="1"/>
  <c r="L24" i="1" s="1"/>
  <c r="H25" i="1"/>
  <c r="H26" i="1"/>
  <c r="H27" i="1"/>
  <c r="H28" i="1"/>
  <c r="L28" i="1" s="1"/>
  <c r="G27" i="3"/>
  <c r="G28" i="3"/>
  <c r="G29" i="3"/>
  <c r="G30" i="3"/>
  <c r="G31" i="3"/>
  <c r="G32" i="3"/>
  <c r="G33" i="3"/>
  <c r="G26" i="3"/>
  <c r="F27" i="3"/>
  <c r="F28" i="3"/>
  <c r="F29" i="3"/>
  <c r="F30" i="3"/>
  <c r="F31" i="3"/>
  <c r="F32" i="3"/>
  <c r="F33" i="3"/>
  <c r="F26" i="3"/>
  <c r="E18" i="3"/>
  <c r="E19" i="3"/>
  <c r="E20" i="3"/>
  <c r="E21" i="3"/>
  <c r="E17" i="3"/>
  <c r="D18" i="3"/>
  <c r="D19" i="3"/>
  <c r="D20" i="3"/>
  <c r="D21" i="3"/>
  <c r="D22" i="3"/>
  <c r="D17" i="3"/>
  <c r="C18" i="3"/>
  <c r="C19" i="3"/>
  <c r="C20" i="3"/>
  <c r="C21" i="3"/>
  <c r="C22" i="3"/>
  <c r="C17" i="3"/>
  <c r="D4" i="3"/>
  <c r="D5" i="3"/>
  <c r="D6" i="3"/>
  <c r="D7" i="3"/>
  <c r="D3" i="3"/>
  <c r="C4" i="3"/>
  <c r="C5" i="3"/>
  <c r="C6" i="3"/>
  <c r="C7" i="3"/>
  <c r="C3" i="3"/>
  <c r="B4" i="3"/>
  <c r="B5" i="3"/>
  <c r="B6" i="3"/>
  <c r="B7" i="3"/>
  <c r="B3" i="3"/>
  <c r="G18" i="2"/>
  <c r="G19" i="2"/>
  <c r="G20" i="2"/>
  <c r="G21" i="2"/>
  <c r="G17" i="2"/>
  <c r="F18" i="2"/>
  <c r="F19" i="2"/>
  <c r="F20" i="2"/>
  <c r="F21" i="2"/>
  <c r="F17" i="2"/>
  <c r="E17" i="2"/>
  <c r="E18" i="2"/>
  <c r="E19" i="2"/>
  <c r="E20" i="2"/>
  <c r="E21" i="2"/>
  <c r="D18" i="2"/>
  <c r="D19" i="2"/>
  <c r="D20" i="2"/>
  <c r="D21" i="2"/>
  <c r="D17" i="2"/>
  <c r="C18" i="2"/>
  <c r="C19" i="2"/>
  <c r="C20" i="2"/>
  <c r="C21" i="2"/>
  <c r="C17" i="2"/>
  <c r="J5" i="2"/>
  <c r="J6" i="2"/>
  <c r="J7" i="2"/>
  <c r="J4" i="2"/>
  <c r="I7" i="2"/>
  <c r="I6" i="2"/>
  <c r="I5" i="2"/>
  <c r="I4" i="2"/>
  <c r="H7" i="2"/>
  <c r="H6" i="2"/>
  <c r="H5" i="2"/>
  <c r="H4" i="2"/>
  <c r="F31" i="1"/>
  <c r="E31" i="1"/>
  <c r="F30" i="1"/>
  <c r="E30" i="1"/>
  <c r="F29" i="1"/>
  <c r="E29" i="1"/>
  <c r="J28" i="1"/>
  <c r="I28" i="1"/>
  <c r="G28" i="1"/>
  <c r="K28" i="1" s="1"/>
  <c r="L27" i="1"/>
  <c r="J27" i="1"/>
  <c r="I27" i="1"/>
  <c r="G27" i="1"/>
  <c r="J26" i="1"/>
  <c r="I26" i="1"/>
  <c r="L26" i="1"/>
  <c r="G26" i="1"/>
  <c r="K26" i="1" s="1"/>
  <c r="J25" i="1"/>
  <c r="I25" i="1"/>
  <c r="L25" i="1"/>
  <c r="G25" i="1"/>
  <c r="J24" i="1"/>
  <c r="I24" i="1"/>
  <c r="G24" i="1"/>
  <c r="J23" i="1"/>
  <c r="I23" i="1"/>
  <c r="G23" i="1"/>
  <c r="K23" i="1" s="1"/>
  <c r="J22" i="1"/>
  <c r="I22" i="1"/>
  <c r="G22" i="1"/>
  <c r="J21" i="1"/>
  <c r="I21" i="1"/>
  <c r="I31" i="1" s="1"/>
  <c r="G21" i="1"/>
  <c r="G29" i="1" s="1"/>
  <c r="F17" i="1"/>
  <c r="E17" i="1"/>
  <c r="F16" i="1"/>
  <c r="E16" i="1"/>
  <c r="F15" i="1"/>
  <c r="E15" i="1"/>
  <c r="F14" i="1"/>
  <c r="E14" i="1"/>
  <c r="C11" i="1"/>
  <c r="D11" i="1" s="1"/>
  <c r="C10" i="1"/>
  <c r="D10" i="1" s="1"/>
  <c r="C9" i="1"/>
  <c r="D9" i="1" s="1"/>
  <c r="C8" i="1"/>
  <c r="D8" i="1" s="1"/>
  <c r="E5" i="1"/>
  <c r="F5" i="1" s="1"/>
  <c r="D5" i="1"/>
  <c r="E4" i="1"/>
  <c r="F4" i="1" s="1"/>
  <c r="D4" i="1"/>
  <c r="E3" i="1"/>
  <c r="F3" i="1" s="1"/>
  <c r="D3" i="1"/>
  <c r="E2" i="1"/>
  <c r="F2" i="1" s="1"/>
  <c r="D2" i="1"/>
  <c r="M23" i="1" l="1"/>
  <c r="H31" i="1"/>
  <c r="K24" i="1"/>
  <c r="M24" i="1" s="1"/>
  <c r="K22" i="1"/>
  <c r="M22" i="1" s="1"/>
  <c r="K21" i="1"/>
  <c r="L21" i="1"/>
  <c r="L31" i="1" s="1"/>
  <c r="K25" i="1"/>
  <c r="M25" i="1" s="1"/>
  <c r="M28" i="1"/>
  <c r="K27" i="1"/>
  <c r="M27" i="1" s="1"/>
  <c r="M26" i="1"/>
  <c r="H29" i="1"/>
  <c r="G30" i="1"/>
  <c r="I29" i="1"/>
  <c r="H30" i="1"/>
  <c r="G31" i="1"/>
  <c r="J29" i="1"/>
  <c r="I30" i="1"/>
  <c r="J30" i="1"/>
  <c r="J31" i="1"/>
  <c r="K30" i="1" l="1"/>
  <c r="M21" i="1"/>
  <c r="M30" i="1" s="1"/>
  <c r="L29" i="1"/>
  <c r="L30" i="1"/>
  <c r="K29" i="1"/>
  <c r="K31" i="1"/>
  <c r="M29" i="1" l="1"/>
  <c r="M31" i="1"/>
</calcChain>
</file>

<file path=xl/sharedStrings.xml><?xml version="1.0" encoding="utf-8"?>
<sst xmlns="http://schemas.openxmlformats.org/spreadsheetml/2006/main" count="278" uniqueCount="204">
  <si>
    <t>Tên</t>
  </si>
  <si>
    <t>ĐTB</t>
  </si>
  <si>
    <t>Hạnh kiểm</t>
  </si>
  <si>
    <t>Xếp loại</t>
  </si>
  <si>
    <t>Kết quả</t>
  </si>
  <si>
    <t>Học bổng</t>
  </si>
  <si>
    <t>Minh</t>
  </si>
  <si>
    <t>A</t>
  </si>
  <si>
    <t>Lan</t>
  </si>
  <si>
    <t>B</t>
  </si>
  <si>
    <t>Hùng</t>
  </si>
  <si>
    <t>C</t>
  </si>
  <si>
    <t>Phương</t>
  </si>
  <si>
    <t>Phái</t>
  </si>
  <si>
    <t>N Công</t>
  </si>
  <si>
    <t>Loại</t>
  </si>
  <si>
    <t>Thưởng</t>
  </si>
  <si>
    <t>PCGC</t>
  </si>
  <si>
    <t>Anh</t>
  </si>
  <si>
    <t>Nữ</t>
  </si>
  <si>
    <t>Bình</t>
  </si>
  <si>
    <t>Nam</t>
  </si>
  <si>
    <t>Châu</t>
  </si>
  <si>
    <t>Dũng</t>
  </si>
  <si>
    <t>BẢNG LƯƠNG THÁNG 05/2002</t>
  </si>
  <si>
    <t>HỌ</t>
  </si>
  <si>
    <t>TÊN</t>
  </si>
  <si>
    <t>PHÁI</t>
  </si>
  <si>
    <t>CVU</t>
  </si>
  <si>
    <t>LCB</t>
  </si>
  <si>
    <t>N CÔNG</t>
  </si>
  <si>
    <t>PCCV</t>
  </si>
  <si>
    <t>LƯƠNG</t>
  </si>
  <si>
    <t>THƯỞNG</t>
  </si>
  <si>
    <t>THƯỞNG 8/3</t>
  </si>
  <si>
    <t>TỔNG</t>
  </si>
  <si>
    <t>TẠM ỨNG</t>
  </si>
  <si>
    <t>CÒN LẠI</t>
  </si>
  <si>
    <t>Trần</t>
  </si>
  <si>
    <t>PGĐ</t>
  </si>
  <si>
    <t>Lê</t>
  </si>
  <si>
    <t>Linh</t>
  </si>
  <si>
    <t>GĐ</t>
  </si>
  <si>
    <t>Hoàng</t>
  </si>
  <si>
    <t>Hoa</t>
  </si>
  <si>
    <t>TP</t>
  </si>
  <si>
    <t>Bùi</t>
  </si>
  <si>
    <t>Thu</t>
  </si>
  <si>
    <t>PP</t>
  </si>
  <si>
    <t>Mai</t>
  </si>
  <si>
    <t>NV</t>
  </si>
  <si>
    <t>Nguyễn</t>
  </si>
  <si>
    <t>Tiến</t>
  </si>
  <si>
    <t>Chu</t>
  </si>
  <si>
    <t>Khánh</t>
  </si>
  <si>
    <t>Đặng</t>
  </si>
  <si>
    <t>Dung</t>
  </si>
  <si>
    <t>Cao nhất</t>
  </si>
  <si>
    <t>Thấp nhất</t>
  </si>
  <si>
    <t>Trung bình</t>
  </si>
  <si>
    <t>NGÀY
BÁN</t>
  </si>
  <si>
    <t>MÃ
PHIẾU</t>
  </si>
  <si>
    <t>TÊN
HÀNG</t>
  </si>
  <si>
    <t>SỐ
LƯỢNG</t>
  </si>
  <si>
    <t>TIỀN
(USD)</t>
  </si>
  <si>
    <t>RA02</t>
  </si>
  <si>
    <t>Radio</t>
  </si>
  <si>
    <t>TV02</t>
  </si>
  <si>
    <t>CA02</t>
  </si>
  <si>
    <t>Cassette</t>
  </si>
  <si>
    <t>TL03</t>
  </si>
  <si>
    <t>Tủ lạnh</t>
  </si>
  <si>
    <t>TV03</t>
  </si>
  <si>
    <t>Tivi</t>
  </si>
  <si>
    <t>CA04</t>
  </si>
  <si>
    <t>TL04</t>
  </si>
  <si>
    <t>TV04</t>
  </si>
  <si>
    <t>TV05</t>
  </si>
  <si>
    <t>RA06</t>
  </si>
  <si>
    <t>TV07</t>
  </si>
  <si>
    <t>TỔNG KẾT CUỐI TUẦN</t>
  </si>
  <si>
    <t>Tên hàng</t>
  </si>
  <si>
    <t>Tổng số phiếu</t>
  </si>
  <si>
    <t>Tổng số lượng</t>
  </si>
  <si>
    <t>Tổng tiền</t>
  </si>
  <si>
    <t>HOTEN</t>
  </si>
  <si>
    <t>NGAYSINH</t>
  </si>
  <si>
    <t>Ngày</t>
  </si>
  <si>
    <t>Tháng</t>
  </si>
  <si>
    <t>Năm</t>
  </si>
  <si>
    <t>Tuổi</t>
  </si>
  <si>
    <t>Thứ</t>
  </si>
  <si>
    <t>Mai Hoa</t>
  </si>
  <si>
    <t>Lê Dân</t>
  </si>
  <si>
    <t>Phan Dũng</t>
  </si>
  <si>
    <t>Đặng Linh</t>
  </si>
  <si>
    <t>Nguyễn Trực</t>
  </si>
  <si>
    <t>CÔNG TY VẬN CHUYỂN HÀNH KHÁCH</t>
  </si>
  <si>
    <t>MÃ SỐ</t>
  </si>
  <si>
    <t>HÃNG</t>
  </si>
  <si>
    <t>GIỜ ĐẾN</t>
  </si>
  <si>
    <t>NƠI XUẤT PHÁT</t>
  </si>
  <si>
    <t>VNA10BAK</t>
  </si>
  <si>
    <t>JAL12OSK</t>
  </si>
  <si>
    <t>SGP12SGP</t>
  </si>
  <si>
    <t>FCH14HCM</t>
  </si>
  <si>
    <t>KLM15NEY</t>
  </si>
  <si>
    <t>VNA</t>
  </si>
  <si>
    <t>VIỆT NAM</t>
  </si>
  <si>
    <t>JAL</t>
  </si>
  <si>
    <t>JAPAN</t>
  </si>
  <si>
    <t>SGP</t>
  </si>
  <si>
    <t>SINGAPORE</t>
  </si>
  <si>
    <t>KLM</t>
  </si>
  <si>
    <t>ĐỨC</t>
  </si>
  <si>
    <t>FCH</t>
  </si>
  <si>
    <t>BAK</t>
  </si>
  <si>
    <t>BANGKOK</t>
  </si>
  <si>
    <t>OSK</t>
  </si>
  <si>
    <t>OSAKA</t>
  </si>
  <si>
    <t>NEY</t>
  </si>
  <si>
    <t>SYDNEY</t>
  </si>
  <si>
    <t>HCM</t>
  </si>
  <si>
    <t>HO CHI MINH</t>
  </si>
  <si>
    <t>BẢNG THEO DÕI HÀNG NHẬP XUẤT</t>
  </si>
  <si>
    <t>Mã hàng</t>
  </si>
  <si>
    <t>Nhập</t>
  </si>
  <si>
    <t>Xuất</t>
  </si>
  <si>
    <t>Đơn giá</t>
  </si>
  <si>
    <t>Tiền</t>
  </si>
  <si>
    <t>B012N</t>
  </si>
  <si>
    <t>A001Y</t>
  </si>
  <si>
    <t>B003Y</t>
  </si>
  <si>
    <t>A011N</t>
  </si>
  <si>
    <t>B054Y</t>
  </si>
  <si>
    <t>C001N</t>
  </si>
  <si>
    <t>BẢNG KÊ HÀNG XUẤT THÁNG 6/2002</t>
  </si>
  <si>
    <t>MAHH</t>
  </si>
  <si>
    <t>Kho</t>
  </si>
  <si>
    <t>Số lượng</t>
  </si>
  <si>
    <t>Trị giá</t>
  </si>
  <si>
    <t>Thuế</t>
  </si>
  <si>
    <t>Cộng</t>
  </si>
  <si>
    <t>B001</t>
  </si>
  <si>
    <t>B002</t>
  </si>
  <si>
    <t>B003</t>
  </si>
  <si>
    <t>B004</t>
  </si>
  <si>
    <t>B005</t>
  </si>
  <si>
    <t>B006</t>
  </si>
  <si>
    <t>B007</t>
  </si>
  <si>
    <t>B008</t>
  </si>
  <si>
    <t>BÀN GỖ</t>
  </si>
  <si>
    <t>BÀN SẮT</t>
  </si>
  <si>
    <t>BÀN TRÒN</t>
  </si>
  <si>
    <t>BÀN OVAN</t>
  </si>
  <si>
    <t>BÀN FORMICA</t>
  </si>
  <si>
    <t>GHẾ DỰA</t>
  </si>
  <si>
    <t>GHẾ MÂY</t>
  </si>
  <si>
    <t>GHẾ XẾP</t>
  </si>
  <si>
    <t>MHG</t>
  </si>
  <si>
    <t>MHS</t>
  </si>
  <si>
    <t>BẢNG ĐIỂM LỚP NĂNG KHIẾU TP (HK1: 2000-2004)</t>
  </si>
  <si>
    <t>MAHS</t>
  </si>
  <si>
    <t>Họ tên</t>
  </si>
  <si>
    <t>Trường</t>
  </si>
  <si>
    <t>Lớp</t>
  </si>
  <si>
    <t>TOÁN</t>
  </si>
  <si>
    <t>VĂN</t>
  </si>
  <si>
    <t>Btx11a311</t>
  </si>
  <si>
    <t>Btx11a410</t>
  </si>
  <si>
    <t>Btx11a412</t>
  </si>
  <si>
    <t>Btx12a204</t>
  </si>
  <si>
    <t>Lhp11a133</t>
  </si>
  <si>
    <t>Lhp11a169</t>
  </si>
  <si>
    <t>Lhp11a204</t>
  </si>
  <si>
    <t>Lhp12a103</t>
  </si>
  <si>
    <t>Lhp12a111</t>
  </si>
  <si>
    <t>Hinh Thư</t>
  </si>
  <si>
    <t>Hoàng Oanh</t>
  </si>
  <si>
    <t>Tú Anh</t>
  </si>
  <si>
    <t>Long Thành</t>
  </si>
  <si>
    <t>Mai Anh</t>
  </si>
  <si>
    <t>Đình Tú</t>
  </si>
  <si>
    <t>Long Hải</t>
  </si>
  <si>
    <t>Tấn Tài</t>
  </si>
  <si>
    <t>Ngọc Bích</t>
  </si>
  <si>
    <t>Định mức Thuế</t>
  </si>
  <si>
    <t>Thành tiền</t>
  </si>
  <si>
    <t>MAS</t>
  </si>
  <si>
    <t>MAL</t>
  </si>
  <si>
    <t>DVS</t>
  </si>
  <si>
    <t>MTS</t>
  </si>
  <si>
    <t>MTL</t>
  </si>
  <si>
    <t>DVL</t>
  </si>
  <si>
    <t>Tên
hàng</t>
  </si>
  <si>
    <t>Thu
tiền</t>
  </si>
  <si>
    <t>QUIT</t>
  </si>
  <si>
    <t>CAM</t>
  </si>
  <si>
    <t>XOAI</t>
  </si>
  <si>
    <t>Thống kê doanh thu</t>
  </si>
  <si>
    <t>Số tiền</t>
  </si>
  <si>
    <t>Phiếu Thu tiền</t>
  </si>
  <si>
    <t>&lt;500</t>
  </si>
  <si>
    <t>&gt;=500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</si>
</sst>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73" formatCode="#,#00\ &quot;VND&quot;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0" borderId="5" xfId="0" applyFont="1" applyBorder="1" applyAlignment="1"/>
    <xf numFmtId="0" fontId="5" fillId="3" borderId="5" xfId="0" applyFont="1" applyFill="1" applyBorder="1" applyAlignment="1">
      <alignment horizontal="center" wrapText="1"/>
    </xf>
    <xf numFmtId="0" fontId="4" fillId="0" borderId="5" xfId="0" applyFont="1" applyBorder="1" applyAlignment="1"/>
    <xf numFmtId="0" fontId="1" fillId="0" borderId="5" xfId="0" applyFont="1" applyBorder="1" applyAlignment="1"/>
    <xf numFmtId="0" fontId="7" fillId="0" borderId="2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5" fillId="0" borderId="0" xfId="0" applyFont="1" applyAlignment="1"/>
    <xf numFmtId="0" fontId="5" fillId="3" borderId="5" xfId="0" applyFont="1" applyFill="1" applyBorder="1" applyAlignment="1">
      <alignment horizontal="center"/>
    </xf>
    <xf numFmtId="14" fontId="1" fillId="0" borderId="5" xfId="0" applyNumberFormat="1" applyFont="1" applyFill="1" applyBorder="1" applyAlignment="1"/>
    <xf numFmtId="14" fontId="0" fillId="0" borderId="5" xfId="0" applyNumberFormat="1" applyFont="1" applyBorder="1" applyAlignment="1"/>
    <xf numFmtId="1" fontId="0" fillId="0" borderId="5" xfId="0" applyNumberFormat="1" applyFont="1" applyBorder="1" applyAlignment="1"/>
    <xf numFmtId="0" fontId="9" fillId="0" borderId="0" xfId="0" applyFont="1" applyAlignment="1"/>
    <xf numFmtId="0" fontId="1" fillId="0" borderId="5" xfId="0" applyFont="1" applyFill="1" applyBorder="1" applyAlignment="1"/>
    <xf numFmtId="0" fontId="5" fillId="0" borderId="5" xfId="0" applyFont="1" applyBorder="1" applyAlignment="1">
      <alignment horizontal="center"/>
    </xf>
    <xf numFmtId="173" fontId="0" fillId="0" borderId="5" xfId="0" applyNumberFormat="1" applyFont="1" applyBorder="1" applyAlignment="1"/>
    <xf numFmtId="0" fontId="5" fillId="0" borderId="5" xfId="0" applyFont="1" applyBorder="1" applyAlignment="1">
      <alignment horizontal="right"/>
    </xf>
    <xf numFmtId="9" fontId="5" fillId="0" borderId="5" xfId="0" applyNumberFormat="1" applyFont="1" applyBorder="1" applyAlignment="1"/>
    <xf numFmtId="0" fontId="0" fillId="0" borderId="5" xfId="0" applyNumberFormat="1" applyFont="1" applyFill="1" applyBorder="1" applyAlignment="1"/>
    <xf numFmtId="0" fontId="0" fillId="0" borderId="5" xfId="0" applyNumberFormat="1" applyFont="1" applyBorder="1" applyAlignment="1"/>
    <xf numFmtId="0" fontId="1" fillId="4" borderId="5" xfId="0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5" borderId="5" xfId="0" applyFont="1" applyFill="1" applyBorder="1" applyAlignment="1"/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zoomScale="115" zoomScaleNormal="115" workbookViewId="0">
      <selection activeCell="D9" sqref="D9"/>
    </sheetView>
  </sheetViews>
  <sheetFormatPr defaultColWidth="14.42578125" defaultRowHeight="15" customHeight="1" x14ac:dyDescent="0.25"/>
  <cols>
    <col min="1" max="2" width="8.7109375" customWidth="1"/>
    <col min="3" max="3" width="9.7109375" customWidth="1"/>
    <col min="4" max="9" width="8.7109375" customWidth="1"/>
    <col min="10" max="10" width="12" customWidth="1"/>
    <col min="11" max="11" width="8.7109375" customWidth="1"/>
    <col min="12" max="12" width="9.28515625" customWidth="1"/>
    <col min="13" max="26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 t="s">
        <v>6</v>
      </c>
      <c r="B2" s="2">
        <v>9.5</v>
      </c>
      <c r="C2" s="3" t="s">
        <v>7</v>
      </c>
      <c r="D2" s="2" t="str">
        <f t="shared" ref="D2:D5" si="0">IF(B2&gt;=9, "Giỏi","")</f>
        <v>Giỏi</v>
      </c>
      <c r="E2" s="2" t="str">
        <f t="shared" ref="E2:E5" si="1">IF(B2&gt;=5,"Đậu","Rớt")</f>
        <v>Đậu</v>
      </c>
      <c r="F2" s="2">
        <f t="shared" ref="F2:F5" si="2">IF(E2="Đậu",100000,0)</f>
        <v>100000</v>
      </c>
    </row>
    <row r="3" spans="1:6" ht="14.25" customHeight="1" x14ac:dyDescent="0.25">
      <c r="A3" s="2" t="s">
        <v>8</v>
      </c>
      <c r="B3" s="4">
        <v>4</v>
      </c>
      <c r="C3" s="3" t="s">
        <v>9</v>
      </c>
      <c r="D3" s="2" t="str">
        <f t="shared" si="0"/>
        <v/>
      </c>
      <c r="E3" s="2" t="str">
        <f t="shared" si="1"/>
        <v>Rớt</v>
      </c>
      <c r="F3" s="2">
        <f t="shared" si="2"/>
        <v>0</v>
      </c>
    </row>
    <row r="4" spans="1:6" ht="14.25" customHeight="1" x14ac:dyDescent="0.25">
      <c r="A4" s="2" t="s">
        <v>10</v>
      </c>
      <c r="B4" s="2">
        <v>6.5</v>
      </c>
      <c r="C4" s="3" t="s">
        <v>11</v>
      </c>
      <c r="D4" s="2" t="str">
        <f t="shared" si="0"/>
        <v/>
      </c>
      <c r="E4" s="2" t="str">
        <f t="shared" si="1"/>
        <v>Đậu</v>
      </c>
      <c r="F4" s="2">
        <f t="shared" si="2"/>
        <v>100000</v>
      </c>
    </row>
    <row r="5" spans="1:6" ht="14.25" customHeight="1" x14ac:dyDescent="0.25">
      <c r="A5" s="2" t="s">
        <v>12</v>
      </c>
      <c r="B5" s="4">
        <v>8</v>
      </c>
      <c r="C5" s="3" t="s">
        <v>7</v>
      </c>
      <c r="D5" s="2" t="str">
        <f t="shared" si="0"/>
        <v/>
      </c>
      <c r="E5" s="2" t="str">
        <f t="shared" si="1"/>
        <v>Đậu</v>
      </c>
      <c r="F5" s="2">
        <f t="shared" si="2"/>
        <v>100000</v>
      </c>
    </row>
    <row r="6" spans="1:6" ht="14.25" customHeight="1" x14ac:dyDescent="0.25"/>
    <row r="7" spans="1:6" ht="14.25" customHeight="1" x14ac:dyDescent="0.25">
      <c r="A7" s="1" t="s">
        <v>0</v>
      </c>
      <c r="B7" s="1" t="s">
        <v>1</v>
      </c>
      <c r="C7" s="1" t="s">
        <v>3</v>
      </c>
      <c r="D7" s="1" t="s">
        <v>5</v>
      </c>
    </row>
    <row r="8" spans="1:6" ht="14.25" customHeight="1" x14ac:dyDescent="0.25">
      <c r="A8" s="2" t="s">
        <v>6</v>
      </c>
      <c r="B8" s="2">
        <v>9.5</v>
      </c>
      <c r="C8" s="2" t="str">
        <f>IF(B8&gt;=9,"Giỏi",IF(B8&gt;=6,"Khá",IF(B8&gt;=5,"TB",Yếu)))</f>
        <v>Giỏi</v>
      </c>
      <c r="D8" s="2">
        <f t="shared" ref="D8:D11" si="3">IF(C8="Giỏi",100000,IF(C8="Khá",50000,0))</f>
        <v>100000</v>
      </c>
    </row>
    <row r="9" spans="1:6" ht="14.25" customHeight="1" x14ac:dyDescent="0.25">
      <c r="A9" s="2" t="s">
        <v>8</v>
      </c>
      <c r="B9" s="4">
        <v>4</v>
      </c>
      <c r="C9" s="2" t="str">
        <f>IF(B9&gt;=9,"Giỏi",IF(B9&gt;=6,"Khá",IF(B9&gt;=5,"TB","Yếu")))</f>
        <v>Yếu</v>
      </c>
      <c r="D9" s="2">
        <f t="shared" si="3"/>
        <v>0</v>
      </c>
    </row>
    <row r="10" spans="1:6" ht="14.25" customHeight="1" x14ac:dyDescent="0.25">
      <c r="A10" s="2" t="s">
        <v>10</v>
      </c>
      <c r="B10" s="2">
        <v>6.5</v>
      </c>
      <c r="C10" s="2" t="str">
        <f t="shared" ref="C10:C11" si="4">IF(B10&gt;=9,"Giỏi",IF(B10&gt;=6,"Khá",IF(B10&gt;=5,"TB",Yếu)))</f>
        <v>Khá</v>
      </c>
      <c r="D10" s="2">
        <f t="shared" si="3"/>
        <v>50000</v>
      </c>
    </row>
    <row r="11" spans="1:6" ht="14.25" customHeight="1" x14ac:dyDescent="0.25">
      <c r="A11" s="2" t="s">
        <v>12</v>
      </c>
      <c r="B11" s="4">
        <v>8</v>
      </c>
      <c r="C11" s="2" t="str">
        <f t="shared" si="4"/>
        <v>Khá</v>
      </c>
      <c r="D11" s="2">
        <f t="shared" si="3"/>
        <v>50000</v>
      </c>
    </row>
    <row r="12" spans="1:6" ht="14.25" customHeight="1" x14ac:dyDescent="0.25"/>
    <row r="13" spans="1:6" ht="14.25" customHeight="1" x14ac:dyDescent="0.25">
      <c r="A13" s="1" t="s">
        <v>0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</row>
    <row r="14" spans="1:6" ht="14.25" customHeight="1" x14ac:dyDescent="0.25">
      <c r="A14" s="2" t="s">
        <v>18</v>
      </c>
      <c r="B14" s="2" t="s">
        <v>19</v>
      </c>
      <c r="C14" s="2">
        <v>25</v>
      </c>
      <c r="D14" s="2" t="s">
        <v>7</v>
      </c>
      <c r="E14" s="2">
        <f t="shared" ref="E14:E17" si="5">IF(OR(D14="A",C14&gt;=30),50000,0)</f>
        <v>50000</v>
      </c>
      <c r="F14" s="2">
        <f t="shared" ref="F14:F17" si="6">IF(AND(B14="Nữ",C14&gt;=28),50000*(C14-28),0)</f>
        <v>0</v>
      </c>
    </row>
    <row r="15" spans="1:6" ht="14.25" customHeight="1" x14ac:dyDescent="0.25">
      <c r="A15" s="2" t="s">
        <v>20</v>
      </c>
      <c r="B15" s="2" t="s">
        <v>21</v>
      </c>
      <c r="C15" s="2">
        <v>28</v>
      </c>
      <c r="D15" s="2" t="s">
        <v>9</v>
      </c>
      <c r="E15" s="2">
        <f t="shared" si="5"/>
        <v>0</v>
      </c>
      <c r="F15" s="2">
        <f t="shared" si="6"/>
        <v>0</v>
      </c>
    </row>
    <row r="16" spans="1:6" ht="14.25" customHeight="1" x14ac:dyDescent="0.25">
      <c r="A16" s="2" t="s">
        <v>22</v>
      </c>
      <c r="B16" s="2" t="s">
        <v>19</v>
      </c>
      <c r="C16" s="2">
        <v>30</v>
      </c>
      <c r="D16" s="2" t="s">
        <v>11</v>
      </c>
      <c r="E16" s="2">
        <f t="shared" si="5"/>
        <v>50000</v>
      </c>
      <c r="F16" s="2">
        <f t="shared" si="6"/>
        <v>100000</v>
      </c>
    </row>
    <row r="17" spans="1:13" ht="14.25" customHeight="1" x14ac:dyDescent="0.25">
      <c r="A17" s="2" t="s">
        <v>23</v>
      </c>
      <c r="B17" s="2" t="s">
        <v>21</v>
      </c>
      <c r="C17" s="2">
        <v>25</v>
      </c>
      <c r="D17" s="2" t="s">
        <v>7</v>
      </c>
      <c r="E17" s="2">
        <f t="shared" si="5"/>
        <v>50000</v>
      </c>
      <c r="F17" s="2">
        <f t="shared" si="6"/>
        <v>0</v>
      </c>
    </row>
    <row r="18" spans="1:13" ht="14.25" customHeight="1" x14ac:dyDescent="0.25"/>
    <row r="19" spans="1:13" ht="14.25" customHeight="1" x14ac:dyDescent="0.25">
      <c r="A19" s="6" t="s">
        <v>24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4.25" customHeight="1" x14ac:dyDescent="0.25">
      <c r="A20" s="5" t="s">
        <v>25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32</v>
      </c>
      <c r="I20" s="1" t="s">
        <v>33</v>
      </c>
      <c r="J20" s="1" t="s">
        <v>34</v>
      </c>
      <c r="K20" s="1" t="s">
        <v>35</v>
      </c>
      <c r="L20" s="1" t="s">
        <v>36</v>
      </c>
      <c r="M20" s="1" t="s">
        <v>37</v>
      </c>
    </row>
    <row r="21" spans="1:13" ht="14.25" customHeight="1" x14ac:dyDescent="0.25">
      <c r="A21" s="2" t="s">
        <v>38</v>
      </c>
      <c r="B21" s="2" t="s">
        <v>18</v>
      </c>
      <c r="C21" s="2" t="s">
        <v>19</v>
      </c>
      <c r="D21" s="2" t="s">
        <v>39</v>
      </c>
      <c r="E21" s="2">
        <v>463</v>
      </c>
      <c r="F21" s="2">
        <v>24</v>
      </c>
      <c r="G21" s="2">
        <f t="shared" ref="G21:G28" si="7">IF(D21="GĐ",200000,IF(D21="PGĐ",150000,IF(D21="TP",100000,IF(D21="PP",70000,0))))</f>
        <v>150000</v>
      </c>
      <c r="H21" s="2">
        <f>E21*F21</f>
        <v>11112</v>
      </c>
      <c r="I21" s="2">
        <f t="shared" ref="I21:I28" si="8">IF(F21&gt;=30,50000,IF(AND(F21&gt;=28,F21&lt;30),30000,0))</f>
        <v>0</v>
      </c>
      <c r="J21" s="2">
        <f t="shared" ref="J21:J28" si="9">IF(C21="Nữ",50000,0)</f>
        <v>50000</v>
      </c>
      <c r="K21" s="2">
        <f t="shared" ref="K21:K28" si="10">SUM(G21:J21)</f>
        <v>211112</v>
      </c>
      <c r="L21" s="2">
        <f t="shared" ref="L21:L28" si="11">IF(C21="Nữ",H21*80/100,H21*50/100)</f>
        <v>8889.6</v>
      </c>
      <c r="M21" s="2">
        <f t="shared" ref="M21:M28" si="12">K21-L21</f>
        <v>202222.4</v>
      </c>
    </row>
    <row r="22" spans="1:13" ht="14.25" customHeight="1" x14ac:dyDescent="0.25">
      <c r="A22" s="2" t="s">
        <v>40</v>
      </c>
      <c r="B22" s="2" t="s">
        <v>41</v>
      </c>
      <c r="C22" s="2" t="s">
        <v>21</v>
      </c>
      <c r="D22" s="2" t="s">
        <v>42</v>
      </c>
      <c r="E22" s="2">
        <v>505</v>
      </c>
      <c r="F22" s="2">
        <v>30</v>
      </c>
      <c r="G22" s="2">
        <f t="shared" si="7"/>
        <v>200000</v>
      </c>
      <c r="H22" s="2">
        <f t="shared" ref="H22:H28" si="13">E22*F22</f>
        <v>15150</v>
      </c>
      <c r="I22" s="2">
        <f t="shared" si="8"/>
        <v>50000</v>
      </c>
      <c r="J22" s="2">
        <f t="shared" si="9"/>
        <v>0</v>
      </c>
      <c r="K22" s="2">
        <f t="shared" si="10"/>
        <v>265150</v>
      </c>
      <c r="L22" s="2">
        <f t="shared" si="11"/>
        <v>7575</v>
      </c>
      <c r="M22" s="2">
        <f t="shared" si="12"/>
        <v>257575</v>
      </c>
    </row>
    <row r="23" spans="1:13" ht="14.25" customHeight="1" x14ac:dyDescent="0.25">
      <c r="A23" s="2" t="s">
        <v>43</v>
      </c>
      <c r="B23" s="2" t="s">
        <v>44</v>
      </c>
      <c r="C23" s="2" t="s">
        <v>19</v>
      </c>
      <c r="D23" s="2" t="s">
        <v>45</v>
      </c>
      <c r="E23" s="2">
        <v>425</v>
      </c>
      <c r="F23" s="2">
        <v>23</v>
      </c>
      <c r="G23" s="2">
        <f t="shared" si="7"/>
        <v>100000</v>
      </c>
      <c r="H23" s="2">
        <f t="shared" si="13"/>
        <v>9775</v>
      </c>
      <c r="I23" s="2">
        <f t="shared" si="8"/>
        <v>0</v>
      </c>
      <c r="J23" s="2">
        <f t="shared" si="9"/>
        <v>50000</v>
      </c>
      <c r="K23" s="2">
        <f t="shared" si="10"/>
        <v>159775</v>
      </c>
      <c r="L23" s="2">
        <f t="shared" si="11"/>
        <v>7820</v>
      </c>
      <c r="M23" s="2">
        <f t="shared" si="12"/>
        <v>151955</v>
      </c>
    </row>
    <row r="24" spans="1:13" ht="14.25" customHeight="1" x14ac:dyDescent="0.25">
      <c r="A24" s="2" t="s">
        <v>46</v>
      </c>
      <c r="B24" s="2" t="s">
        <v>47</v>
      </c>
      <c r="C24" s="2" t="s">
        <v>21</v>
      </c>
      <c r="D24" s="2" t="s">
        <v>48</v>
      </c>
      <c r="E24" s="2">
        <v>390</v>
      </c>
      <c r="F24" s="2">
        <v>26</v>
      </c>
      <c r="G24" s="2">
        <f t="shared" si="7"/>
        <v>70000</v>
      </c>
      <c r="H24" s="2">
        <f t="shared" si="13"/>
        <v>10140</v>
      </c>
      <c r="I24" s="2">
        <f t="shared" si="8"/>
        <v>0</v>
      </c>
      <c r="J24" s="2">
        <f t="shared" si="9"/>
        <v>0</v>
      </c>
      <c r="K24" s="2">
        <f t="shared" si="10"/>
        <v>80140</v>
      </c>
      <c r="L24" s="2">
        <f t="shared" si="11"/>
        <v>5070</v>
      </c>
      <c r="M24" s="2">
        <f t="shared" si="12"/>
        <v>75070</v>
      </c>
    </row>
    <row r="25" spans="1:13" ht="14.25" customHeight="1" x14ac:dyDescent="0.25">
      <c r="A25" s="2" t="s">
        <v>49</v>
      </c>
      <c r="B25" s="2" t="s">
        <v>44</v>
      </c>
      <c r="C25" s="2" t="s">
        <v>19</v>
      </c>
      <c r="D25" s="2" t="s">
        <v>50</v>
      </c>
      <c r="E25" s="2">
        <v>352</v>
      </c>
      <c r="F25" s="2">
        <v>30</v>
      </c>
      <c r="G25" s="2">
        <f t="shared" si="7"/>
        <v>0</v>
      </c>
      <c r="H25" s="2">
        <f t="shared" si="13"/>
        <v>10560</v>
      </c>
      <c r="I25" s="2">
        <f t="shared" si="8"/>
        <v>50000</v>
      </c>
      <c r="J25" s="2">
        <f t="shared" si="9"/>
        <v>50000</v>
      </c>
      <c r="K25" s="2">
        <f t="shared" si="10"/>
        <v>110560</v>
      </c>
      <c r="L25" s="2">
        <f t="shared" si="11"/>
        <v>8448</v>
      </c>
      <c r="M25" s="2">
        <f t="shared" si="12"/>
        <v>102112</v>
      </c>
    </row>
    <row r="26" spans="1:13" ht="14.25" customHeight="1" x14ac:dyDescent="0.25">
      <c r="A26" s="2" t="s">
        <v>51</v>
      </c>
      <c r="B26" s="2" t="s">
        <v>52</v>
      </c>
      <c r="C26" s="2" t="s">
        <v>21</v>
      </c>
      <c r="D26" s="2" t="s">
        <v>50</v>
      </c>
      <c r="E26" s="2">
        <v>310</v>
      </c>
      <c r="F26" s="2">
        <v>24</v>
      </c>
      <c r="G26" s="2">
        <f t="shared" si="7"/>
        <v>0</v>
      </c>
      <c r="H26" s="2">
        <f t="shared" si="13"/>
        <v>7440</v>
      </c>
      <c r="I26" s="2">
        <f t="shared" si="8"/>
        <v>0</v>
      </c>
      <c r="J26" s="2">
        <f t="shared" si="9"/>
        <v>0</v>
      </c>
      <c r="K26" s="2">
        <f t="shared" si="10"/>
        <v>7440</v>
      </c>
      <c r="L26" s="2">
        <f t="shared" si="11"/>
        <v>3720</v>
      </c>
      <c r="M26" s="2">
        <f t="shared" si="12"/>
        <v>3720</v>
      </c>
    </row>
    <row r="27" spans="1:13" ht="14.25" customHeight="1" x14ac:dyDescent="0.25">
      <c r="A27" s="2" t="s">
        <v>53</v>
      </c>
      <c r="B27" s="2" t="s">
        <v>54</v>
      </c>
      <c r="C27" s="2" t="s">
        <v>21</v>
      </c>
      <c r="D27" s="2" t="s">
        <v>50</v>
      </c>
      <c r="E27" s="2">
        <v>290</v>
      </c>
      <c r="F27" s="2">
        <v>22</v>
      </c>
      <c r="G27" s="2">
        <f t="shared" si="7"/>
        <v>0</v>
      </c>
      <c r="H27" s="2">
        <f t="shared" si="13"/>
        <v>6380</v>
      </c>
      <c r="I27" s="2">
        <f t="shared" si="8"/>
        <v>0</v>
      </c>
      <c r="J27" s="2">
        <f t="shared" si="9"/>
        <v>0</v>
      </c>
      <c r="K27" s="2">
        <f t="shared" si="10"/>
        <v>6380</v>
      </c>
      <c r="L27" s="2">
        <f t="shared" si="11"/>
        <v>3190</v>
      </c>
      <c r="M27" s="2">
        <f t="shared" si="12"/>
        <v>3190</v>
      </c>
    </row>
    <row r="28" spans="1:13" ht="14.25" customHeight="1" x14ac:dyDescent="0.25">
      <c r="A28" s="2" t="s">
        <v>55</v>
      </c>
      <c r="B28" s="2" t="s">
        <v>56</v>
      </c>
      <c r="C28" s="2" t="s">
        <v>19</v>
      </c>
      <c r="D28" s="2" t="s">
        <v>50</v>
      </c>
      <c r="E28" s="2">
        <v>290</v>
      </c>
      <c r="F28" s="2">
        <v>23</v>
      </c>
      <c r="G28" s="2">
        <f t="shared" si="7"/>
        <v>0</v>
      </c>
      <c r="H28" s="2">
        <f t="shared" si="13"/>
        <v>6670</v>
      </c>
      <c r="I28" s="2">
        <f t="shared" si="8"/>
        <v>0</v>
      </c>
      <c r="J28" s="2">
        <f t="shared" si="9"/>
        <v>50000</v>
      </c>
      <c r="K28" s="2">
        <f t="shared" si="10"/>
        <v>56670</v>
      </c>
      <c r="L28" s="2">
        <f t="shared" si="11"/>
        <v>5336</v>
      </c>
      <c r="M28" s="2">
        <f t="shared" si="12"/>
        <v>51334</v>
      </c>
    </row>
    <row r="29" spans="1:13" ht="14.25" customHeight="1" x14ac:dyDescent="0.25">
      <c r="A29" s="14" t="s">
        <v>57</v>
      </c>
      <c r="B29" s="15"/>
      <c r="C29" s="15"/>
      <c r="D29" s="16"/>
      <c r="E29" s="2">
        <f t="shared" ref="E29:M29" si="14">MAX(E21:E28)</f>
        <v>505</v>
      </c>
      <c r="F29" s="2">
        <f t="shared" si="14"/>
        <v>30</v>
      </c>
      <c r="G29" s="2">
        <f t="shared" si="14"/>
        <v>200000</v>
      </c>
      <c r="H29" s="2">
        <f t="shared" si="14"/>
        <v>15150</v>
      </c>
      <c r="I29" s="2">
        <f t="shared" si="14"/>
        <v>50000</v>
      </c>
      <c r="J29" s="2">
        <f t="shared" si="14"/>
        <v>50000</v>
      </c>
      <c r="K29" s="2">
        <f t="shared" si="14"/>
        <v>265150</v>
      </c>
      <c r="L29" s="2">
        <f t="shared" si="14"/>
        <v>8889.6</v>
      </c>
      <c r="M29" s="2">
        <f t="shared" si="14"/>
        <v>257575</v>
      </c>
    </row>
    <row r="30" spans="1:13" ht="14.25" customHeight="1" x14ac:dyDescent="0.25">
      <c r="A30" s="14" t="s">
        <v>58</v>
      </c>
      <c r="B30" s="15"/>
      <c r="C30" s="15"/>
      <c r="D30" s="16"/>
      <c r="E30" s="2">
        <f t="shared" ref="E30:M30" si="15">MIN(E21:E28)</f>
        <v>290</v>
      </c>
      <c r="F30" s="2">
        <f t="shared" si="15"/>
        <v>22</v>
      </c>
      <c r="G30" s="2">
        <f t="shared" si="15"/>
        <v>0</v>
      </c>
      <c r="H30" s="2">
        <f t="shared" si="15"/>
        <v>6380</v>
      </c>
      <c r="I30" s="2">
        <f t="shared" si="15"/>
        <v>0</v>
      </c>
      <c r="J30" s="2">
        <f t="shared" si="15"/>
        <v>0</v>
      </c>
      <c r="K30" s="2">
        <f t="shared" si="15"/>
        <v>6380</v>
      </c>
      <c r="L30" s="2">
        <f t="shared" si="15"/>
        <v>3190</v>
      </c>
      <c r="M30" s="2">
        <f t="shared" si="15"/>
        <v>3190</v>
      </c>
    </row>
    <row r="31" spans="1:13" ht="14.25" customHeight="1" x14ac:dyDescent="0.25">
      <c r="A31" s="14" t="s">
        <v>59</v>
      </c>
      <c r="B31" s="15"/>
      <c r="C31" s="15"/>
      <c r="D31" s="16"/>
      <c r="E31" s="2">
        <f t="shared" ref="E31:M31" si="16">AVERAGE(E21:E28)</f>
        <v>378.125</v>
      </c>
      <c r="F31" s="2">
        <f t="shared" si="16"/>
        <v>25.25</v>
      </c>
      <c r="G31" s="2">
        <f t="shared" si="16"/>
        <v>65000</v>
      </c>
      <c r="H31" s="2">
        <f t="shared" si="16"/>
        <v>9653.375</v>
      </c>
      <c r="I31" s="2">
        <f t="shared" si="16"/>
        <v>12500</v>
      </c>
      <c r="J31" s="2">
        <f t="shared" si="16"/>
        <v>25000</v>
      </c>
      <c r="K31" s="2">
        <f t="shared" si="16"/>
        <v>112153.375</v>
      </c>
      <c r="L31" s="2">
        <f t="shared" si="16"/>
        <v>6256.0749999999998</v>
      </c>
      <c r="M31" s="2">
        <f t="shared" si="16"/>
        <v>105897.3</v>
      </c>
    </row>
    <row r="32" spans="1:1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A19:M19"/>
    <mergeCell ref="A29:D29"/>
    <mergeCell ref="A30:D30"/>
    <mergeCell ref="A31:D3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2"/>
  <sheetViews>
    <sheetView workbookViewId="0">
      <selection activeCell="H26" sqref="H26"/>
    </sheetView>
  </sheetViews>
  <sheetFormatPr defaultColWidth="14.42578125" defaultRowHeight="15" customHeight="1" x14ac:dyDescent="0.25"/>
  <sheetData>
    <row r="1" spans="1:10" ht="30" x14ac:dyDescent="0.25">
      <c r="A1" s="11" t="s">
        <v>60</v>
      </c>
      <c r="B1" s="11" t="s">
        <v>61</v>
      </c>
      <c r="C1" s="11" t="s">
        <v>62</v>
      </c>
      <c r="D1" s="11" t="s">
        <v>63</v>
      </c>
      <c r="E1" s="11" t="s">
        <v>64</v>
      </c>
    </row>
    <row r="2" spans="1:10" x14ac:dyDescent="0.25">
      <c r="A2" s="10"/>
      <c r="B2" s="12" t="s">
        <v>65</v>
      </c>
      <c r="C2" s="12" t="s">
        <v>66</v>
      </c>
      <c r="D2" s="12">
        <v>2</v>
      </c>
      <c r="E2" s="12">
        <v>1200</v>
      </c>
      <c r="G2" s="8" t="s">
        <v>80</v>
      </c>
      <c r="H2" s="8"/>
      <c r="I2" s="8"/>
      <c r="J2" s="8"/>
    </row>
    <row r="3" spans="1:10" x14ac:dyDescent="0.25">
      <c r="A3" s="10"/>
      <c r="B3" s="12" t="s">
        <v>67</v>
      </c>
      <c r="C3" s="13" t="s">
        <v>73</v>
      </c>
      <c r="D3" s="12">
        <v>1</v>
      </c>
      <c r="E3" s="12">
        <v>1500</v>
      </c>
      <c r="G3" s="9" t="s">
        <v>81</v>
      </c>
      <c r="H3" s="9" t="s">
        <v>82</v>
      </c>
      <c r="I3" s="9" t="s">
        <v>83</v>
      </c>
      <c r="J3" s="9" t="s">
        <v>84</v>
      </c>
    </row>
    <row r="4" spans="1:10" x14ac:dyDescent="0.25">
      <c r="A4" s="10"/>
      <c r="B4" s="12" t="s">
        <v>68</v>
      </c>
      <c r="C4" s="12" t="s">
        <v>69</v>
      </c>
      <c r="D4" s="12">
        <v>3</v>
      </c>
      <c r="E4" s="12">
        <v>1300</v>
      </c>
      <c r="G4" s="10" t="s">
        <v>66</v>
      </c>
      <c r="H4" s="10">
        <f>COUNTIF($C$2:$C$13,"Radio")</f>
        <v>2</v>
      </c>
      <c r="I4" s="10">
        <f>SUMIF($C$2:$C$13,"Radio",$D$2:$D$13)</f>
        <v>3</v>
      </c>
      <c r="J4" s="10">
        <f>SUMIF($C$2:$C$13,"Radio",$E$2:$E$13)</f>
        <v>4200</v>
      </c>
    </row>
    <row r="5" spans="1:10" x14ac:dyDescent="0.25">
      <c r="A5" s="10"/>
      <c r="B5" s="12" t="s">
        <v>70</v>
      </c>
      <c r="C5" s="12" t="s">
        <v>71</v>
      </c>
      <c r="D5" s="12">
        <v>5</v>
      </c>
      <c r="E5" s="12">
        <v>5000</v>
      </c>
      <c r="G5" s="10" t="s">
        <v>73</v>
      </c>
      <c r="H5" s="10">
        <f>COUNTIF($C$2:$C$13,"Tivi")</f>
        <v>5</v>
      </c>
      <c r="I5" s="10">
        <f>SUMIF($C$2:$C$13,"Tivi",$D$2:$D$13)</f>
        <v>14</v>
      </c>
      <c r="J5" s="10">
        <f>SUMIF($C$2:$C$13,"Tivi",$E$2:$E$13)</f>
        <v>17300</v>
      </c>
    </row>
    <row r="6" spans="1:10" x14ac:dyDescent="0.25">
      <c r="A6" s="10"/>
      <c r="B6" s="12" t="s">
        <v>72</v>
      </c>
      <c r="C6" s="12" t="s">
        <v>73</v>
      </c>
      <c r="D6" s="12">
        <v>2</v>
      </c>
      <c r="E6" s="12">
        <v>6400</v>
      </c>
      <c r="G6" s="10" t="s">
        <v>69</v>
      </c>
      <c r="H6" s="10">
        <f>COUNTIF($C$2:$C$13,"Cassette")</f>
        <v>2</v>
      </c>
      <c r="I6" s="10">
        <f>SUMIF($C$2:$C$13,"Cassette",$D$2:$D$13)</f>
        <v>6</v>
      </c>
      <c r="J6" s="10">
        <f t="shared" ref="J6:J7" si="0">SUMIF($C$2:$C$13,"Radio",$E$2:$E$13)</f>
        <v>4200</v>
      </c>
    </row>
    <row r="7" spans="1:10" x14ac:dyDescent="0.25">
      <c r="A7" s="10"/>
      <c r="B7" s="12" t="s">
        <v>74</v>
      </c>
      <c r="C7" s="12" t="s">
        <v>69</v>
      </c>
      <c r="D7" s="12">
        <v>3</v>
      </c>
      <c r="E7" s="12">
        <v>1800</v>
      </c>
      <c r="G7" s="10" t="s">
        <v>71</v>
      </c>
      <c r="H7" s="10">
        <f>COUNTIF($C$2:$C$13,"Tủ lạnh")</f>
        <v>3</v>
      </c>
      <c r="I7" s="10">
        <f>SUMIF($C$2:$C$13,"Tủ lạnh",$D$2:$D$13)</f>
        <v>11</v>
      </c>
      <c r="J7" s="10">
        <f t="shared" si="0"/>
        <v>4200</v>
      </c>
    </row>
    <row r="8" spans="1:10" x14ac:dyDescent="0.25">
      <c r="A8" s="10"/>
      <c r="B8" s="12" t="s">
        <v>75</v>
      </c>
      <c r="C8" s="12" t="s">
        <v>71</v>
      </c>
      <c r="D8" s="12">
        <v>3</v>
      </c>
      <c r="E8" s="12">
        <v>2400</v>
      </c>
    </row>
    <row r="9" spans="1:10" x14ac:dyDescent="0.25">
      <c r="A9" s="10"/>
      <c r="B9" s="12" t="s">
        <v>76</v>
      </c>
      <c r="C9" s="12" t="s">
        <v>73</v>
      </c>
      <c r="D9" s="12">
        <v>4</v>
      </c>
      <c r="E9" s="12">
        <v>1900</v>
      </c>
    </row>
    <row r="10" spans="1:10" x14ac:dyDescent="0.25">
      <c r="A10" s="10"/>
      <c r="B10" s="12" t="s">
        <v>77</v>
      </c>
      <c r="C10" s="12" t="s">
        <v>73</v>
      </c>
      <c r="D10" s="12">
        <v>5</v>
      </c>
      <c r="E10" s="12">
        <v>2500</v>
      </c>
    </row>
    <row r="11" spans="1:10" x14ac:dyDescent="0.25">
      <c r="A11" s="10"/>
      <c r="B11" s="12" t="s">
        <v>75</v>
      </c>
      <c r="C11" s="12" t="s">
        <v>71</v>
      </c>
      <c r="D11" s="12">
        <v>3</v>
      </c>
      <c r="E11" s="12">
        <v>3000</v>
      </c>
    </row>
    <row r="12" spans="1:10" x14ac:dyDescent="0.25">
      <c r="A12" s="10"/>
      <c r="B12" s="12" t="s">
        <v>78</v>
      </c>
      <c r="C12" s="12" t="s">
        <v>66</v>
      </c>
      <c r="D12" s="12">
        <v>1</v>
      </c>
      <c r="E12" s="12">
        <v>3000</v>
      </c>
    </row>
    <row r="13" spans="1:10" x14ac:dyDescent="0.25">
      <c r="A13" s="10"/>
      <c r="B13" s="12" t="s">
        <v>79</v>
      </c>
      <c r="C13" s="12" t="s">
        <v>73</v>
      </c>
      <c r="D13" s="12">
        <v>2</v>
      </c>
      <c r="E13" s="10">
        <v>5000</v>
      </c>
    </row>
    <row r="16" spans="1:10" ht="15" customHeight="1" x14ac:dyDescent="0.25">
      <c r="A16" s="18" t="s">
        <v>85</v>
      </c>
      <c r="B16" s="18" t="s">
        <v>86</v>
      </c>
      <c r="C16" s="18" t="s">
        <v>87</v>
      </c>
      <c r="D16" s="18" t="s">
        <v>88</v>
      </c>
      <c r="E16" s="18" t="s">
        <v>89</v>
      </c>
      <c r="F16" s="18" t="s">
        <v>90</v>
      </c>
      <c r="G16" s="18" t="s">
        <v>91</v>
      </c>
    </row>
    <row r="17" spans="1:7" ht="15" customHeight="1" x14ac:dyDescent="0.25">
      <c r="A17" s="13" t="s">
        <v>92</v>
      </c>
      <c r="B17" s="19">
        <v>31742</v>
      </c>
      <c r="C17" s="10">
        <f>DAY(B17)</f>
        <v>26</v>
      </c>
      <c r="D17" s="10">
        <f>MONTH(B17)</f>
        <v>11</v>
      </c>
      <c r="E17" s="10">
        <f>YEAR(B17)</f>
        <v>1986</v>
      </c>
      <c r="F17" s="21">
        <f ca="1">YEAR(TODAY())-YEAR(B17)</f>
        <v>37</v>
      </c>
      <c r="G17" s="10">
        <f>WEEKDAY(B17)</f>
        <v>4</v>
      </c>
    </row>
    <row r="18" spans="1:7" ht="15" customHeight="1" x14ac:dyDescent="0.25">
      <c r="A18" s="13" t="s">
        <v>93</v>
      </c>
      <c r="B18" s="20">
        <v>31253</v>
      </c>
      <c r="C18" s="10">
        <f t="shared" ref="C18:C21" si="1">DAY(B18)</f>
        <v>25</v>
      </c>
      <c r="D18" s="10">
        <f t="shared" ref="D18:D21" si="2">MONTH(B18)</f>
        <v>7</v>
      </c>
      <c r="E18" s="10">
        <f t="shared" ref="E18:E21" si="3">YEAR(B18)</f>
        <v>1985</v>
      </c>
      <c r="F18" s="21">
        <f t="shared" ref="F18:F21" ca="1" si="4">YEAR(TODAY())-YEAR(B18)</f>
        <v>38</v>
      </c>
      <c r="G18" s="10">
        <f t="shared" ref="G18:G21" si="5">WEEKDAY(B18)</f>
        <v>5</v>
      </c>
    </row>
    <row r="19" spans="1:7" ht="15" customHeight="1" x14ac:dyDescent="0.25">
      <c r="A19" s="13" t="s">
        <v>94</v>
      </c>
      <c r="B19" s="20">
        <v>28954</v>
      </c>
      <c r="C19" s="10">
        <f t="shared" si="1"/>
        <v>9</v>
      </c>
      <c r="D19" s="10">
        <f t="shared" si="2"/>
        <v>4</v>
      </c>
      <c r="E19" s="10">
        <f t="shared" si="3"/>
        <v>1979</v>
      </c>
      <c r="F19" s="21">
        <f t="shared" ca="1" si="4"/>
        <v>44</v>
      </c>
      <c r="G19" s="10">
        <f t="shared" si="5"/>
        <v>2</v>
      </c>
    </row>
    <row r="20" spans="1:7" ht="15" customHeight="1" x14ac:dyDescent="0.25">
      <c r="A20" s="13" t="s">
        <v>95</v>
      </c>
      <c r="B20" s="20">
        <v>28778</v>
      </c>
      <c r="C20" s="10">
        <f t="shared" si="1"/>
        <v>15</v>
      </c>
      <c r="D20" s="10">
        <f t="shared" si="2"/>
        <v>10</v>
      </c>
      <c r="E20" s="10">
        <f t="shared" si="3"/>
        <v>1978</v>
      </c>
      <c r="F20" s="21">
        <f t="shared" ca="1" si="4"/>
        <v>45</v>
      </c>
      <c r="G20" s="10">
        <f t="shared" si="5"/>
        <v>1</v>
      </c>
    </row>
    <row r="21" spans="1:7" ht="15" customHeight="1" x14ac:dyDescent="0.25">
      <c r="A21" s="13" t="s">
        <v>96</v>
      </c>
      <c r="B21" s="20">
        <v>27393</v>
      </c>
      <c r="C21" s="10">
        <f t="shared" si="1"/>
        <v>30</v>
      </c>
      <c r="D21" s="10">
        <f t="shared" si="2"/>
        <v>12</v>
      </c>
      <c r="E21" s="10">
        <f t="shared" si="3"/>
        <v>1974</v>
      </c>
      <c r="F21" s="21">
        <f t="shared" ca="1" si="4"/>
        <v>49</v>
      </c>
      <c r="G21" s="10">
        <f t="shared" si="5"/>
        <v>2</v>
      </c>
    </row>
    <row r="23" spans="1:7" ht="30" x14ac:dyDescent="0.25">
      <c r="A23" s="11" t="s">
        <v>194</v>
      </c>
      <c r="B23" s="11" t="s">
        <v>195</v>
      </c>
    </row>
    <row r="24" spans="1:7" ht="15" customHeight="1" x14ac:dyDescent="0.25">
      <c r="A24" s="30" t="s">
        <v>196</v>
      </c>
      <c r="B24" s="28">
        <v>100</v>
      </c>
      <c r="D24" s="31" t="s">
        <v>199</v>
      </c>
      <c r="E24" s="31"/>
      <c r="F24" s="31"/>
      <c r="G24" s="31"/>
    </row>
    <row r="25" spans="1:7" ht="15" customHeight="1" x14ac:dyDescent="0.25">
      <c r="A25" s="30" t="s">
        <v>197</v>
      </c>
      <c r="B25" s="29">
        <v>300</v>
      </c>
      <c r="D25" s="32" t="s">
        <v>81</v>
      </c>
      <c r="E25" s="33" t="s">
        <v>197</v>
      </c>
      <c r="F25" s="33" t="s">
        <v>198</v>
      </c>
      <c r="G25" s="33" t="s">
        <v>196</v>
      </c>
    </row>
    <row r="26" spans="1:7" ht="15" customHeight="1" x14ac:dyDescent="0.25">
      <c r="A26" s="30" t="s">
        <v>198</v>
      </c>
      <c r="B26" s="28">
        <v>120</v>
      </c>
      <c r="D26" s="32" t="s">
        <v>200</v>
      </c>
      <c r="E26" s="10">
        <f>SUMIF($A$24:$A$32,"CAM",$B$24:$B$32)</f>
        <v>2900</v>
      </c>
      <c r="F26" s="10">
        <f>SUMIF($A$24:$A$32,"XOAI",$B$24:$B$32)</f>
        <v>1120</v>
      </c>
      <c r="G26" s="10">
        <f>SUMIF($A$24:$A$32,"QUIT",$B$24:$B$32)</f>
        <v>250</v>
      </c>
    </row>
    <row r="27" spans="1:7" ht="15" customHeight="1" x14ac:dyDescent="0.25">
      <c r="A27" s="30" t="s">
        <v>196</v>
      </c>
      <c r="B27" s="28">
        <v>50</v>
      </c>
    </row>
    <row r="28" spans="1:7" ht="15" customHeight="1" x14ac:dyDescent="0.25">
      <c r="A28" s="30" t="s">
        <v>197</v>
      </c>
      <c r="B28" s="28">
        <v>600</v>
      </c>
      <c r="D28" s="31" t="s">
        <v>199</v>
      </c>
      <c r="E28" s="31"/>
      <c r="F28" s="31"/>
    </row>
    <row r="29" spans="1:7" ht="15" customHeight="1" x14ac:dyDescent="0.25">
      <c r="A29" s="30" t="s">
        <v>196</v>
      </c>
      <c r="B29" s="28">
        <v>100</v>
      </c>
      <c r="D29" s="32" t="s">
        <v>201</v>
      </c>
      <c r="E29" s="24" t="s">
        <v>202</v>
      </c>
      <c r="F29" s="24" t="s">
        <v>203</v>
      </c>
    </row>
    <row r="30" spans="1:7" ht="15" customHeight="1" x14ac:dyDescent="0.25">
      <c r="A30" s="30" t="s">
        <v>198</v>
      </c>
      <c r="B30" s="28">
        <v>500</v>
      </c>
      <c r="D30" s="32" t="s">
        <v>200</v>
      </c>
      <c r="E30" s="10">
        <f>SUMIF($B$24:$B$32,"&lt;500",$B$24:$B$32)</f>
        <v>670</v>
      </c>
      <c r="F30" s="10">
        <f>SUMIF($B$24:$B$32,"&gt;=500",$B$24:$B$32)</f>
        <v>3600</v>
      </c>
    </row>
    <row r="31" spans="1:7" ht="15" customHeight="1" x14ac:dyDescent="0.25">
      <c r="A31" s="30" t="s">
        <v>197</v>
      </c>
      <c r="B31" s="28">
        <v>2000</v>
      </c>
    </row>
    <row r="32" spans="1:7" ht="15" customHeight="1" x14ac:dyDescent="0.25">
      <c r="A32" s="30" t="s">
        <v>198</v>
      </c>
      <c r="B32" s="28">
        <v>500</v>
      </c>
    </row>
  </sheetData>
  <mergeCells count="3">
    <mergeCell ref="G2:J2"/>
    <mergeCell ref="D24:G24"/>
    <mergeCell ref="D28:F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7" zoomScaleNormal="100" workbookViewId="0">
      <selection activeCell="A24" sqref="A24:H24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6.5703125" customWidth="1"/>
    <col min="4" max="4" width="14.85546875" bestFit="1" customWidth="1"/>
    <col min="5" max="5" width="14.5703125" bestFit="1" customWidth="1"/>
    <col min="7" max="7" width="12.7109375" bestFit="1" customWidth="1"/>
    <col min="8" max="8" width="10.28515625" bestFit="1" customWidth="1"/>
  </cols>
  <sheetData>
    <row r="1" spans="1:7" x14ac:dyDescent="0.25">
      <c r="A1" s="8" t="s">
        <v>97</v>
      </c>
      <c r="B1" s="8"/>
      <c r="C1" s="8"/>
      <c r="D1" s="8"/>
    </row>
    <row r="2" spans="1:7" x14ac:dyDescent="0.25">
      <c r="A2" s="18" t="s">
        <v>98</v>
      </c>
      <c r="B2" s="18" t="s">
        <v>99</v>
      </c>
      <c r="C2" s="18" t="s">
        <v>100</v>
      </c>
      <c r="D2" s="18" t="s">
        <v>101</v>
      </c>
      <c r="F2" s="17" t="s">
        <v>107</v>
      </c>
      <c r="G2" s="22" t="s">
        <v>108</v>
      </c>
    </row>
    <row r="3" spans="1:7" x14ac:dyDescent="0.25">
      <c r="A3" s="13" t="s">
        <v>102</v>
      </c>
      <c r="B3" s="10" t="str">
        <f>LEFT(A3,3)</f>
        <v>VNA</v>
      </c>
      <c r="C3" s="10" t="str">
        <f>MID(A3,4,2)</f>
        <v>10</v>
      </c>
      <c r="D3" s="10" t="str">
        <f>RIGHT(A3,3)</f>
        <v>BAK</v>
      </c>
      <c r="F3" s="17" t="s">
        <v>109</v>
      </c>
      <c r="G3" s="22" t="s">
        <v>110</v>
      </c>
    </row>
    <row r="4" spans="1:7" x14ac:dyDescent="0.25">
      <c r="A4" s="13" t="s">
        <v>103</v>
      </c>
      <c r="B4" s="10" t="str">
        <f t="shared" ref="B4:B7" si="0">LEFT(A4,3)</f>
        <v>JAL</v>
      </c>
      <c r="C4" s="10" t="str">
        <f t="shared" ref="C4:C7" si="1">MID(A4,4,2)</f>
        <v>12</v>
      </c>
      <c r="D4" s="10" t="str">
        <f t="shared" ref="D4:D7" si="2">RIGHT(A4,3)</f>
        <v>OSK</v>
      </c>
      <c r="F4" s="17" t="s">
        <v>111</v>
      </c>
      <c r="G4" s="22" t="s">
        <v>112</v>
      </c>
    </row>
    <row r="5" spans="1:7" x14ac:dyDescent="0.25">
      <c r="A5" s="13" t="s">
        <v>104</v>
      </c>
      <c r="B5" s="10" t="str">
        <f t="shared" si="0"/>
        <v>SGP</v>
      </c>
      <c r="C5" s="10" t="str">
        <f t="shared" si="1"/>
        <v>12</v>
      </c>
      <c r="D5" s="10" t="str">
        <f t="shared" si="2"/>
        <v>SGP</v>
      </c>
      <c r="F5" s="17" t="s">
        <v>113</v>
      </c>
      <c r="G5" s="22" t="s">
        <v>114</v>
      </c>
    </row>
    <row r="6" spans="1:7" x14ac:dyDescent="0.25">
      <c r="A6" s="13" t="s">
        <v>105</v>
      </c>
      <c r="B6" s="10" t="str">
        <f t="shared" si="0"/>
        <v>FCH</v>
      </c>
      <c r="C6" s="10" t="str">
        <f t="shared" si="1"/>
        <v>14</v>
      </c>
      <c r="D6" s="10" t="str">
        <f t="shared" si="2"/>
        <v>HCM</v>
      </c>
      <c r="F6" s="17" t="s">
        <v>115</v>
      </c>
      <c r="G6" s="22" t="s">
        <v>114</v>
      </c>
    </row>
    <row r="7" spans="1:7" x14ac:dyDescent="0.25">
      <c r="A7" s="13" t="s">
        <v>106</v>
      </c>
      <c r="B7" s="10" t="str">
        <f t="shared" si="0"/>
        <v>KLM</v>
      </c>
      <c r="C7" s="10" t="str">
        <f t="shared" si="1"/>
        <v>15</v>
      </c>
      <c r="D7" s="10" t="str">
        <f t="shared" si="2"/>
        <v>NEY</v>
      </c>
    </row>
    <row r="8" spans="1:7" x14ac:dyDescent="0.25">
      <c r="F8" s="22" t="s">
        <v>116</v>
      </c>
      <c r="G8" s="17" t="s">
        <v>117</v>
      </c>
    </row>
    <row r="9" spans="1:7" x14ac:dyDescent="0.25">
      <c r="F9" s="22" t="s">
        <v>118</v>
      </c>
      <c r="G9" s="17" t="s">
        <v>119</v>
      </c>
    </row>
    <row r="10" spans="1:7" x14ac:dyDescent="0.25">
      <c r="F10" s="22" t="s">
        <v>111</v>
      </c>
      <c r="G10" s="17" t="s">
        <v>112</v>
      </c>
    </row>
    <row r="11" spans="1:7" x14ac:dyDescent="0.25">
      <c r="F11" s="22" t="s">
        <v>120</v>
      </c>
      <c r="G11" s="17" t="s">
        <v>121</v>
      </c>
    </row>
    <row r="12" spans="1:7" x14ac:dyDescent="0.25">
      <c r="F12" s="22" t="s">
        <v>122</v>
      </c>
      <c r="G12" s="17" t="s">
        <v>123</v>
      </c>
    </row>
    <row r="15" spans="1:7" x14ac:dyDescent="0.25">
      <c r="A15" s="8" t="s">
        <v>124</v>
      </c>
      <c r="B15" s="8"/>
      <c r="C15" s="8"/>
      <c r="D15" s="8"/>
      <c r="E15" s="8"/>
    </row>
    <row r="16" spans="1:7" x14ac:dyDescent="0.25">
      <c r="A16" s="18" t="s">
        <v>125</v>
      </c>
      <c r="B16" s="18" t="s">
        <v>126</v>
      </c>
      <c r="C16" s="18" t="s">
        <v>127</v>
      </c>
      <c r="D16" s="18" t="s">
        <v>128</v>
      </c>
      <c r="E16" s="18" t="s">
        <v>129</v>
      </c>
    </row>
    <row r="17" spans="1:8" x14ac:dyDescent="0.25">
      <c r="A17" s="13" t="s">
        <v>131</v>
      </c>
      <c r="B17" s="10">
        <v>10000</v>
      </c>
      <c r="C17" s="10">
        <f>IF(LEFT(A17,1)="A",B17*60/100,IF(LEFT(A17,1)="B",B17*70/100,"Nhập sai mã hàng"))</f>
        <v>6000</v>
      </c>
      <c r="D17" s="10">
        <f>IF(RIGHT(A17,1)="Y",100000, IF(RIGHT(A17)="N",250000,"Nhập sai mã hàng"))</f>
        <v>100000</v>
      </c>
      <c r="E17" s="10">
        <f>C17*D17</f>
        <v>600000000</v>
      </c>
    </row>
    <row r="18" spans="1:8" x14ac:dyDescent="0.25">
      <c r="A18" s="13" t="s">
        <v>130</v>
      </c>
      <c r="B18" s="10">
        <v>25000</v>
      </c>
      <c r="C18" s="10">
        <f t="shared" ref="C18:C22" si="3">IF(LEFT(A18,1)="A",B18*60/100,IF(LEFT(A18,1)="B",B18*70/100,"Nhập sai mã hàng"))</f>
        <v>17500</v>
      </c>
      <c r="D18" s="10">
        <f t="shared" ref="D18:D22" si="4">IF(RIGHT(A18,1)="Y",100000, IF(RIGHT(A18)="N",250000,"Nhập sai mã hàng"))</f>
        <v>250000</v>
      </c>
      <c r="E18" s="10">
        <f t="shared" ref="E18:E22" si="5">C18*D18</f>
        <v>4375000000</v>
      </c>
    </row>
    <row r="19" spans="1:8" x14ac:dyDescent="0.25">
      <c r="A19" s="13" t="s">
        <v>132</v>
      </c>
      <c r="B19" s="10">
        <v>45820</v>
      </c>
      <c r="C19" s="10">
        <f t="shared" si="3"/>
        <v>32074</v>
      </c>
      <c r="D19" s="10">
        <f t="shared" si="4"/>
        <v>100000</v>
      </c>
      <c r="E19" s="10">
        <f t="shared" si="5"/>
        <v>3207400000</v>
      </c>
    </row>
    <row r="20" spans="1:8" x14ac:dyDescent="0.25">
      <c r="A20" s="13" t="s">
        <v>133</v>
      </c>
      <c r="B20" s="10">
        <v>14000</v>
      </c>
      <c r="C20" s="10">
        <f t="shared" si="3"/>
        <v>8400</v>
      </c>
      <c r="D20" s="10">
        <f t="shared" si="4"/>
        <v>250000</v>
      </c>
      <c r="E20" s="10">
        <f t="shared" si="5"/>
        <v>2100000000</v>
      </c>
    </row>
    <row r="21" spans="1:8" x14ac:dyDescent="0.25">
      <c r="A21" s="13" t="s">
        <v>134</v>
      </c>
      <c r="B21" s="10">
        <v>16000</v>
      </c>
      <c r="C21" s="10">
        <f t="shared" si="3"/>
        <v>11200</v>
      </c>
      <c r="D21" s="10">
        <f t="shared" si="4"/>
        <v>100000</v>
      </c>
      <c r="E21" s="10">
        <f t="shared" si="5"/>
        <v>1120000000</v>
      </c>
    </row>
    <row r="22" spans="1:8" x14ac:dyDescent="0.25">
      <c r="A22" s="13" t="s">
        <v>135</v>
      </c>
      <c r="B22" s="10">
        <v>50000</v>
      </c>
      <c r="C22" s="10" t="str">
        <f t="shared" si="3"/>
        <v>Nhập sai mã hàng</v>
      </c>
      <c r="D22" s="10">
        <f t="shared" si="4"/>
        <v>250000</v>
      </c>
      <c r="E22" s="10">
        <v>0</v>
      </c>
    </row>
    <row r="24" spans="1:8" x14ac:dyDescent="0.25">
      <c r="A24" s="8" t="s">
        <v>136</v>
      </c>
      <c r="B24" s="8"/>
      <c r="C24" s="8"/>
      <c r="D24" s="8"/>
      <c r="E24" s="8"/>
      <c r="F24" s="8"/>
      <c r="G24" s="8"/>
      <c r="H24" s="8"/>
    </row>
    <row r="25" spans="1:8" x14ac:dyDescent="0.25">
      <c r="A25" s="18" t="s">
        <v>137</v>
      </c>
      <c r="B25" s="18" t="s">
        <v>81</v>
      </c>
      <c r="C25" s="18" t="s">
        <v>138</v>
      </c>
      <c r="D25" s="18" t="s">
        <v>139</v>
      </c>
      <c r="E25" s="18" t="s">
        <v>128</v>
      </c>
      <c r="F25" s="18" t="s">
        <v>140</v>
      </c>
      <c r="G25" s="18" t="s">
        <v>141</v>
      </c>
      <c r="H25" s="18" t="s">
        <v>142</v>
      </c>
    </row>
    <row r="26" spans="1:8" x14ac:dyDescent="0.25">
      <c r="A26" s="23" t="s">
        <v>143</v>
      </c>
      <c r="B26" s="13" t="s">
        <v>151</v>
      </c>
      <c r="C26" s="13" t="s">
        <v>159</v>
      </c>
      <c r="D26" s="10">
        <v>20</v>
      </c>
      <c r="E26" s="10">
        <v>80000</v>
      </c>
      <c r="F26" s="10">
        <f>IF(LEFT(A26,1)="B",D26*E26*(90/100),D26*E26)</f>
        <v>1440000</v>
      </c>
      <c r="G26" s="10">
        <f>IF(C26="MHG",F26*5/100,IF(C26="MHS",F26*8/100,F26*10/100))</f>
        <v>72000</v>
      </c>
      <c r="H26" s="10">
        <f>F26+G26</f>
        <v>1512000</v>
      </c>
    </row>
    <row r="27" spans="1:8" x14ac:dyDescent="0.25">
      <c r="A27" s="23" t="s">
        <v>144</v>
      </c>
      <c r="B27" s="13" t="s">
        <v>152</v>
      </c>
      <c r="C27" s="13" t="s">
        <v>160</v>
      </c>
      <c r="D27" s="10">
        <v>15</v>
      </c>
      <c r="E27" s="10">
        <v>120000</v>
      </c>
      <c r="F27" s="10">
        <f t="shared" ref="F27:F33" si="6">IF(LEFT(A27,1)="B",D27*E27*(90/100),D27*E27)</f>
        <v>1620000</v>
      </c>
      <c r="G27" s="10">
        <f t="shared" ref="G27:G33" si="7">IF(C27="MHG",F27*5/100,IF(C27="MHS",F27*8/100,F27*10/100))</f>
        <v>129600</v>
      </c>
      <c r="H27" s="10">
        <f t="shared" ref="H27:H33" si="8">F27+G27</f>
        <v>1749600</v>
      </c>
    </row>
    <row r="28" spans="1:8" x14ac:dyDescent="0.25">
      <c r="A28" s="23" t="s">
        <v>145</v>
      </c>
      <c r="B28" s="13" t="s">
        <v>153</v>
      </c>
      <c r="C28" s="13" t="s">
        <v>159</v>
      </c>
      <c r="D28" s="10">
        <v>18</v>
      </c>
      <c r="E28" s="10">
        <v>60000</v>
      </c>
      <c r="F28" s="10">
        <f t="shared" si="6"/>
        <v>972000</v>
      </c>
      <c r="G28" s="10">
        <f t="shared" si="7"/>
        <v>48600</v>
      </c>
      <c r="H28" s="10">
        <f t="shared" si="8"/>
        <v>1020600</v>
      </c>
    </row>
    <row r="29" spans="1:8" x14ac:dyDescent="0.25">
      <c r="A29" s="23" t="s">
        <v>146</v>
      </c>
      <c r="B29" s="13" t="s">
        <v>154</v>
      </c>
      <c r="C29" s="13" t="s">
        <v>160</v>
      </c>
      <c r="D29" s="10">
        <v>25</v>
      </c>
      <c r="E29" s="10">
        <v>80000</v>
      </c>
      <c r="F29" s="10">
        <f t="shared" si="6"/>
        <v>1800000</v>
      </c>
      <c r="G29" s="10">
        <f t="shared" si="7"/>
        <v>144000</v>
      </c>
      <c r="H29" s="10">
        <f t="shared" si="8"/>
        <v>1944000</v>
      </c>
    </row>
    <row r="30" spans="1:8" x14ac:dyDescent="0.25">
      <c r="A30" s="23" t="s">
        <v>147</v>
      </c>
      <c r="B30" s="13" t="s">
        <v>155</v>
      </c>
      <c r="C30" s="13" t="s">
        <v>159</v>
      </c>
      <c r="D30" s="10">
        <v>14</v>
      </c>
      <c r="E30" s="10">
        <v>145000</v>
      </c>
      <c r="F30" s="10">
        <f t="shared" si="6"/>
        <v>1827000</v>
      </c>
      <c r="G30" s="10">
        <f t="shared" si="7"/>
        <v>91350</v>
      </c>
      <c r="H30" s="10">
        <f t="shared" si="8"/>
        <v>1918350</v>
      </c>
    </row>
    <row r="31" spans="1:8" x14ac:dyDescent="0.25">
      <c r="A31" s="23" t="s">
        <v>148</v>
      </c>
      <c r="B31" s="13" t="s">
        <v>156</v>
      </c>
      <c r="C31" s="13" t="s">
        <v>160</v>
      </c>
      <c r="D31" s="10">
        <v>150</v>
      </c>
      <c r="E31" s="10">
        <v>30000</v>
      </c>
      <c r="F31" s="10">
        <f t="shared" si="6"/>
        <v>4050000</v>
      </c>
      <c r="G31" s="10">
        <f t="shared" si="7"/>
        <v>324000</v>
      </c>
      <c r="H31" s="10">
        <f t="shared" si="8"/>
        <v>4374000</v>
      </c>
    </row>
    <row r="32" spans="1:8" x14ac:dyDescent="0.25">
      <c r="A32" s="23" t="s">
        <v>149</v>
      </c>
      <c r="B32" s="13" t="s">
        <v>157</v>
      </c>
      <c r="C32" s="13" t="s">
        <v>159</v>
      </c>
      <c r="D32" s="10">
        <v>60</v>
      </c>
      <c r="E32" s="10">
        <v>25000</v>
      </c>
      <c r="F32" s="10">
        <f t="shared" si="6"/>
        <v>1350000</v>
      </c>
      <c r="G32" s="10">
        <f t="shared" si="7"/>
        <v>67500</v>
      </c>
      <c r="H32" s="10">
        <f t="shared" si="8"/>
        <v>1417500</v>
      </c>
    </row>
    <row r="33" spans="1:8" x14ac:dyDescent="0.25">
      <c r="A33" s="23" t="s">
        <v>150</v>
      </c>
      <c r="B33" s="13" t="s">
        <v>158</v>
      </c>
      <c r="C33" s="13" t="s">
        <v>159</v>
      </c>
      <c r="D33" s="10">
        <v>120</v>
      </c>
      <c r="E33" s="10">
        <v>70000</v>
      </c>
      <c r="F33" s="10">
        <f t="shared" si="6"/>
        <v>7560000</v>
      </c>
      <c r="G33" s="10">
        <f t="shared" si="7"/>
        <v>378000</v>
      </c>
      <c r="H33" s="10">
        <f t="shared" si="8"/>
        <v>7938000</v>
      </c>
    </row>
    <row r="35" spans="1:8" x14ac:dyDescent="0.25">
      <c r="A35" s="8" t="s">
        <v>161</v>
      </c>
      <c r="B35" s="8"/>
      <c r="C35" s="8"/>
      <c r="D35" s="8"/>
      <c r="E35" s="8"/>
      <c r="F35" s="8"/>
      <c r="G35" s="8"/>
      <c r="H35" s="8"/>
    </row>
    <row r="36" spans="1:8" x14ac:dyDescent="0.25">
      <c r="A36" s="18" t="s">
        <v>162</v>
      </c>
      <c r="B36" s="18" t="s">
        <v>163</v>
      </c>
      <c r="C36" s="18" t="s">
        <v>164</v>
      </c>
      <c r="D36" s="18" t="s">
        <v>165</v>
      </c>
      <c r="E36" s="18" t="s">
        <v>166</v>
      </c>
      <c r="F36" s="18" t="s">
        <v>167</v>
      </c>
      <c r="G36" s="18" t="s">
        <v>1</v>
      </c>
      <c r="H36" s="18" t="s">
        <v>3</v>
      </c>
    </row>
    <row r="37" spans="1:8" x14ac:dyDescent="0.25">
      <c r="A37" s="23" t="s">
        <v>168</v>
      </c>
      <c r="B37" s="23" t="s">
        <v>177</v>
      </c>
      <c r="C37" s="10" t="str">
        <f>LEFT(A37,3)</f>
        <v>Btx</v>
      </c>
      <c r="D37" s="10" t="str">
        <f>MID(A37,4,3)</f>
        <v>11a</v>
      </c>
      <c r="E37" s="10">
        <v>7</v>
      </c>
      <c r="F37" s="10">
        <v>9</v>
      </c>
      <c r="G37" s="10">
        <f>ROUND((E37*2+F37)/3,1)</f>
        <v>7.7</v>
      </c>
      <c r="H37" s="10" t="str">
        <f>IF(G37&gt;=8,"Giỏi",IF(G37&gt;=6.5,"Khá",IF(G37&gt;=5,"Trung bình","Yếu")))</f>
        <v>Khá</v>
      </c>
    </row>
    <row r="38" spans="1:8" x14ac:dyDescent="0.25">
      <c r="A38" s="23" t="s">
        <v>169</v>
      </c>
      <c r="B38" s="23" t="s">
        <v>178</v>
      </c>
      <c r="C38" s="10" t="str">
        <f t="shared" ref="C38:C45" si="9">LEFT(A38,3)</f>
        <v>Btx</v>
      </c>
      <c r="D38" s="10" t="str">
        <f t="shared" ref="D38:D45" si="10">MID(A38,4,3)</f>
        <v>11a</v>
      </c>
      <c r="E38" s="10">
        <v>10</v>
      </c>
      <c r="F38" s="10">
        <v>8.5</v>
      </c>
      <c r="G38" s="10">
        <f t="shared" ref="G38:G45" si="11">ROUND((E38*2+F38)/3,1)</f>
        <v>9.5</v>
      </c>
      <c r="H38" s="10" t="str">
        <f t="shared" ref="H38:H45" si="12">IF(G38&gt;=8,"Giỏi",IF(G38&gt;=6.5,"Khá",IF(G38&gt;=5,"Trung bình","Yếu")))</f>
        <v>Giỏi</v>
      </c>
    </row>
    <row r="39" spans="1:8" x14ac:dyDescent="0.25">
      <c r="A39" s="23" t="s">
        <v>170</v>
      </c>
      <c r="B39" s="23" t="s">
        <v>179</v>
      </c>
      <c r="C39" s="10" t="str">
        <f t="shared" si="9"/>
        <v>Btx</v>
      </c>
      <c r="D39" s="10" t="str">
        <f t="shared" si="10"/>
        <v>11a</v>
      </c>
      <c r="E39" s="10">
        <v>3.5</v>
      </c>
      <c r="F39" s="10">
        <v>4</v>
      </c>
      <c r="G39" s="10">
        <f t="shared" si="11"/>
        <v>3.7</v>
      </c>
      <c r="H39" s="10" t="str">
        <f t="shared" si="12"/>
        <v>Yếu</v>
      </c>
    </row>
    <row r="40" spans="1:8" x14ac:dyDescent="0.25">
      <c r="A40" s="23" t="s">
        <v>171</v>
      </c>
      <c r="B40" s="23" t="s">
        <v>180</v>
      </c>
      <c r="C40" s="10" t="str">
        <f t="shared" si="9"/>
        <v>Btx</v>
      </c>
      <c r="D40" s="10" t="str">
        <f t="shared" si="10"/>
        <v>12a</v>
      </c>
      <c r="E40" s="10">
        <v>4.5</v>
      </c>
      <c r="F40" s="10">
        <v>8</v>
      </c>
      <c r="G40" s="10">
        <f t="shared" si="11"/>
        <v>5.7</v>
      </c>
      <c r="H40" s="10" t="str">
        <f t="shared" si="12"/>
        <v>Trung bình</v>
      </c>
    </row>
    <row r="41" spans="1:8" x14ac:dyDescent="0.25">
      <c r="A41" s="23" t="s">
        <v>172</v>
      </c>
      <c r="B41" s="23" t="s">
        <v>181</v>
      </c>
      <c r="C41" s="10" t="str">
        <f t="shared" si="9"/>
        <v>Lhp</v>
      </c>
      <c r="D41" s="10" t="str">
        <f t="shared" si="10"/>
        <v>11a</v>
      </c>
      <c r="E41" s="10">
        <v>2.5</v>
      </c>
      <c r="F41" s="10">
        <v>3</v>
      </c>
      <c r="G41" s="10">
        <f t="shared" si="11"/>
        <v>2.7</v>
      </c>
      <c r="H41" s="10" t="str">
        <f t="shared" si="12"/>
        <v>Yếu</v>
      </c>
    </row>
    <row r="42" spans="1:8" x14ac:dyDescent="0.25">
      <c r="A42" s="23" t="s">
        <v>173</v>
      </c>
      <c r="B42" s="23" t="s">
        <v>182</v>
      </c>
      <c r="C42" s="10" t="str">
        <f t="shared" si="9"/>
        <v>Lhp</v>
      </c>
      <c r="D42" s="10" t="str">
        <f t="shared" si="10"/>
        <v>11a</v>
      </c>
      <c r="E42" s="10">
        <v>4</v>
      </c>
      <c r="F42" s="10">
        <v>4.5</v>
      </c>
      <c r="G42" s="10">
        <f t="shared" si="11"/>
        <v>4.2</v>
      </c>
      <c r="H42" s="10" t="str">
        <f t="shared" si="12"/>
        <v>Yếu</v>
      </c>
    </row>
    <row r="43" spans="1:8" x14ac:dyDescent="0.25">
      <c r="A43" s="23" t="s">
        <v>174</v>
      </c>
      <c r="B43" s="23" t="s">
        <v>183</v>
      </c>
      <c r="C43" s="10" t="str">
        <f t="shared" si="9"/>
        <v>Lhp</v>
      </c>
      <c r="D43" s="10" t="str">
        <f t="shared" si="10"/>
        <v>11a</v>
      </c>
      <c r="E43" s="10">
        <v>7</v>
      </c>
      <c r="F43" s="10">
        <v>8</v>
      </c>
      <c r="G43" s="10">
        <f t="shared" si="11"/>
        <v>7.3</v>
      </c>
      <c r="H43" s="10" t="str">
        <f t="shared" si="12"/>
        <v>Khá</v>
      </c>
    </row>
    <row r="44" spans="1:8" x14ac:dyDescent="0.25">
      <c r="A44" s="23" t="s">
        <v>175</v>
      </c>
      <c r="B44" s="23" t="s">
        <v>184</v>
      </c>
      <c r="C44" s="10" t="str">
        <f t="shared" si="9"/>
        <v>Lhp</v>
      </c>
      <c r="D44" s="10" t="str">
        <f t="shared" si="10"/>
        <v>12a</v>
      </c>
      <c r="E44" s="10">
        <v>3</v>
      </c>
      <c r="F44" s="10">
        <v>2</v>
      </c>
      <c r="G44" s="10">
        <f t="shared" si="11"/>
        <v>2.7</v>
      </c>
      <c r="H44" s="10" t="str">
        <f t="shared" si="12"/>
        <v>Yếu</v>
      </c>
    </row>
    <row r="45" spans="1:8" x14ac:dyDescent="0.25">
      <c r="A45" s="23" t="s">
        <v>176</v>
      </c>
      <c r="B45" s="23" t="s">
        <v>185</v>
      </c>
      <c r="C45" s="10" t="str">
        <f t="shared" si="9"/>
        <v>Lhp</v>
      </c>
      <c r="D45" s="10" t="str">
        <f t="shared" si="10"/>
        <v>12a</v>
      </c>
      <c r="E45" s="10">
        <v>9</v>
      </c>
      <c r="F45" s="10">
        <v>8.5</v>
      </c>
      <c r="G45" s="10">
        <f t="shared" si="11"/>
        <v>8.8000000000000007</v>
      </c>
      <c r="H45" s="10" t="str">
        <f t="shared" si="12"/>
        <v>Giỏi</v>
      </c>
    </row>
    <row r="47" spans="1:8" x14ac:dyDescent="0.25">
      <c r="A47" s="26" t="s">
        <v>186</v>
      </c>
      <c r="B47" s="26"/>
      <c r="C47" s="26"/>
      <c r="D47" s="26"/>
      <c r="E47" s="27">
        <v>0.05</v>
      </c>
    </row>
    <row r="48" spans="1:8" x14ac:dyDescent="0.25">
      <c r="A48" s="18" t="s">
        <v>125</v>
      </c>
      <c r="B48" s="18" t="s">
        <v>81</v>
      </c>
      <c r="C48" s="18" t="s">
        <v>139</v>
      </c>
      <c r="D48" s="18" t="s">
        <v>128</v>
      </c>
      <c r="E48" s="18" t="s">
        <v>187</v>
      </c>
      <c r="F48" s="18" t="s">
        <v>141</v>
      </c>
    </row>
    <row r="49" spans="1:6" x14ac:dyDescent="0.25">
      <c r="A49" s="23" t="s">
        <v>188</v>
      </c>
      <c r="B49" s="10" t="str">
        <f>IF(LEFT(A49,2)="MA","Máy ảnh",IF(LEFT(A49,2)="DV","Đầu DVD","Máy tính"))</f>
        <v>Máy ảnh</v>
      </c>
      <c r="C49" s="10">
        <v>55</v>
      </c>
      <c r="D49" s="10">
        <v>31350</v>
      </c>
      <c r="E49" s="25">
        <f>C49*D49</f>
        <v>1724250</v>
      </c>
      <c r="F49" s="10">
        <f>E49*$E$47</f>
        <v>86212.5</v>
      </c>
    </row>
    <row r="50" spans="1:6" x14ac:dyDescent="0.25">
      <c r="A50" s="23" t="s">
        <v>189</v>
      </c>
      <c r="B50" s="10" t="str">
        <f t="shared" ref="B50:B56" si="13">IF(LEFT(A50,2)="MA","Máy ảnh",IF(LEFT(A50,2)="DV","Đầu DVD","Máy tính"))</f>
        <v>Máy ảnh</v>
      </c>
      <c r="C50" s="10">
        <v>18</v>
      </c>
      <c r="D50" s="10">
        <v>11880</v>
      </c>
      <c r="E50" s="25">
        <f t="shared" ref="E50:E56" si="14">C50*D50</f>
        <v>213840</v>
      </c>
      <c r="F50" s="10">
        <f t="shared" ref="F50:F56" si="15">E50*$E$47</f>
        <v>10692</v>
      </c>
    </row>
    <row r="51" spans="1:6" x14ac:dyDescent="0.25">
      <c r="A51" s="23" t="s">
        <v>190</v>
      </c>
      <c r="B51" s="10" t="str">
        <f t="shared" si="13"/>
        <v>Đầu DVD</v>
      </c>
      <c r="C51" s="10">
        <v>55</v>
      </c>
      <c r="D51" s="10">
        <v>18700</v>
      </c>
      <c r="E51" s="25">
        <f t="shared" si="14"/>
        <v>1028500</v>
      </c>
      <c r="F51" s="10">
        <f t="shared" si="15"/>
        <v>51425</v>
      </c>
    </row>
    <row r="52" spans="1:6" x14ac:dyDescent="0.25">
      <c r="A52" s="23" t="s">
        <v>189</v>
      </c>
      <c r="B52" s="10" t="str">
        <f t="shared" si="13"/>
        <v>Máy ảnh</v>
      </c>
      <c r="C52" s="10">
        <v>7</v>
      </c>
      <c r="D52" s="10">
        <v>4620</v>
      </c>
      <c r="E52" s="25">
        <f t="shared" si="14"/>
        <v>32340</v>
      </c>
      <c r="F52" s="10">
        <f t="shared" si="15"/>
        <v>1617</v>
      </c>
    </row>
    <row r="53" spans="1:6" x14ac:dyDescent="0.25">
      <c r="A53" s="23" t="s">
        <v>188</v>
      </c>
      <c r="B53" s="10" t="str">
        <f t="shared" si="13"/>
        <v>Máy ảnh</v>
      </c>
      <c r="C53" s="10">
        <v>46</v>
      </c>
      <c r="D53" s="10">
        <v>26220</v>
      </c>
      <c r="E53" s="25">
        <f t="shared" si="14"/>
        <v>1206120</v>
      </c>
      <c r="F53" s="10">
        <f t="shared" si="15"/>
        <v>60306</v>
      </c>
    </row>
    <row r="54" spans="1:6" x14ac:dyDescent="0.25">
      <c r="A54" s="23" t="s">
        <v>191</v>
      </c>
      <c r="B54" s="10" t="str">
        <f t="shared" si="13"/>
        <v>Máy tính</v>
      </c>
      <c r="C54" s="10">
        <v>64</v>
      </c>
      <c r="D54" s="10">
        <v>28800</v>
      </c>
      <c r="E54" s="25">
        <f t="shared" si="14"/>
        <v>1843200</v>
      </c>
      <c r="F54" s="10">
        <f t="shared" si="15"/>
        <v>92160</v>
      </c>
    </row>
    <row r="55" spans="1:6" x14ac:dyDescent="0.25">
      <c r="A55" s="23" t="s">
        <v>192</v>
      </c>
      <c r="B55" s="10" t="str">
        <f t="shared" si="13"/>
        <v>Máy tính</v>
      </c>
      <c r="C55" s="10">
        <v>18</v>
      </c>
      <c r="D55" s="10">
        <v>9900</v>
      </c>
      <c r="E55" s="25">
        <f t="shared" si="14"/>
        <v>178200</v>
      </c>
      <c r="F55" s="10">
        <f t="shared" si="15"/>
        <v>8910</v>
      </c>
    </row>
    <row r="56" spans="1:6" x14ac:dyDescent="0.25">
      <c r="A56" s="23" t="s">
        <v>193</v>
      </c>
      <c r="B56" s="10" t="str">
        <f t="shared" si="13"/>
        <v>Đầu DVD</v>
      </c>
      <c r="C56" s="10">
        <v>30</v>
      </c>
      <c r="D56" s="10">
        <v>11400</v>
      </c>
      <c r="E56" s="25">
        <f t="shared" si="14"/>
        <v>342000</v>
      </c>
      <c r="F56" s="10">
        <f t="shared" si="15"/>
        <v>17100</v>
      </c>
    </row>
  </sheetData>
  <mergeCells count="5">
    <mergeCell ref="A1:D1"/>
    <mergeCell ref="A15:E15"/>
    <mergeCell ref="A24:H24"/>
    <mergeCell ref="A35:H35"/>
    <mergeCell ref="A47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 and or</vt:lpstr>
      <vt:lpstr>hàm thống kê + tg</vt:lpstr>
      <vt:lpstr>chuỗi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TEST</cp:lastModifiedBy>
  <dcterms:created xsi:type="dcterms:W3CDTF">2023-03-21T00:06:09Z</dcterms:created>
  <dcterms:modified xsi:type="dcterms:W3CDTF">2023-03-21T04:40:34Z</dcterms:modified>
</cp:coreProperties>
</file>