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han/dev/bankerGPT/"/>
    </mc:Choice>
  </mc:AlternateContent>
  <xr:revisionPtr revIDLastSave="0" documentId="13_ncr:1_{66764D26-792A-8445-A55B-89ADE20E89E8}" xr6:coauthVersionLast="47" xr6:coauthVersionMax="47" xr10:uidLastSave="{00000000-0000-0000-0000-000000000000}"/>
  <bookViews>
    <workbookView xWindow="35840" yWindow="500" windowWidth="22220" windowHeight="20000" xr2:uid="{00000000-000D-0000-FFFF-FFFF00000000}"/>
  </bookViews>
  <sheets>
    <sheet name="Financial Numbers From AR" sheetId="1" r:id="rId1"/>
    <sheet name="Cover" sheetId="2" r:id="rId2"/>
    <sheet name="Assumption Table" sheetId="3" r:id="rId3"/>
    <sheet name="FA &amp; Operating Model" sheetId="4" r:id="rId4"/>
    <sheet name="DCF" sheetId="5" r:id="rId5"/>
  </sheets>
  <definedNames>
    <definedName name="_xlnm.Print_Area" localSheetId="2">'Assumption Table'!$A$1:$T$125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5" l="1"/>
  <c r="C32" i="5" s="1"/>
  <c r="C34" i="5" s="1"/>
  <c r="C30" i="5"/>
  <c r="H25" i="5"/>
  <c r="C24" i="5"/>
  <c r="C23" i="5"/>
  <c r="C26" i="5" s="1"/>
  <c r="H21" i="5"/>
  <c r="H20" i="5"/>
  <c r="H19" i="5"/>
  <c r="H24" i="5" s="1"/>
  <c r="H17" i="5"/>
  <c r="T7" i="5"/>
  <c r="S7" i="5"/>
  <c r="R7" i="5"/>
  <c r="Q7" i="5"/>
  <c r="P7" i="5"/>
  <c r="O7" i="5"/>
  <c r="N7" i="5"/>
  <c r="M7" i="5"/>
  <c r="L7" i="5"/>
  <c r="K7" i="5"/>
  <c r="J7" i="5"/>
  <c r="I7" i="5"/>
  <c r="H7" i="5"/>
  <c r="B4" i="5"/>
  <c r="O2" i="5"/>
  <c r="P2" i="5" s="1"/>
  <c r="Q2" i="5" s="1"/>
  <c r="R2" i="5" s="1"/>
  <c r="S2" i="5" s="1"/>
  <c r="T2" i="5" s="1"/>
  <c r="L2" i="5"/>
  <c r="M2" i="5" s="1"/>
  <c r="N2" i="5" s="1"/>
  <c r="K2" i="5"/>
  <c r="J2" i="5"/>
  <c r="I2" i="5"/>
  <c r="C109" i="4"/>
  <c r="D105" i="4"/>
  <c r="E79" i="4"/>
  <c r="G77" i="4"/>
  <c r="F77" i="4"/>
  <c r="D75" i="4"/>
  <c r="H63" i="4"/>
  <c r="C63" i="4"/>
  <c r="D60" i="4"/>
  <c r="C60" i="4"/>
  <c r="G58" i="4"/>
  <c r="F58" i="4"/>
  <c r="E58" i="4"/>
  <c r="D58" i="4"/>
  <c r="C58" i="4"/>
  <c r="G53" i="4"/>
  <c r="F53" i="4"/>
  <c r="E53" i="4"/>
  <c r="D53" i="4"/>
  <c r="C53" i="4"/>
  <c r="G51" i="4"/>
  <c r="G64" i="4" s="1"/>
  <c r="F51" i="4"/>
  <c r="E51" i="4"/>
  <c r="D51" i="4"/>
  <c r="C51" i="4"/>
  <c r="G48" i="4"/>
  <c r="F48" i="4"/>
  <c r="F107" i="4" s="1"/>
  <c r="E48" i="4"/>
  <c r="D48" i="4"/>
  <c r="C48" i="4"/>
  <c r="C47" i="4"/>
  <c r="G46" i="4"/>
  <c r="F46" i="4"/>
  <c r="E46" i="4"/>
  <c r="E32" i="3" s="1"/>
  <c r="D46" i="4"/>
  <c r="D79" i="4" s="1"/>
  <c r="C46" i="4"/>
  <c r="G45" i="4"/>
  <c r="G31" i="3" s="1"/>
  <c r="F45" i="4"/>
  <c r="E45" i="4"/>
  <c r="D45" i="4"/>
  <c r="D106" i="4" s="1"/>
  <c r="C45" i="4"/>
  <c r="C106" i="4" s="1"/>
  <c r="H44" i="4"/>
  <c r="G44" i="4"/>
  <c r="G63" i="4" s="1"/>
  <c r="F44" i="4"/>
  <c r="F19" i="3" s="1"/>
  <c r="E44" i="4"/>
  <c r="D44" i="4"/>
  <c r="D50" i="3" s="1"/>
  <c r="C44" i="4"/>
  <c r="C41" i="4"/>
  <c r="G39" i="4"/>
  <c r="F39" i="4"/>
  <c r="E39" i="4"/>
  <c r="D39" i="4"/>
  <c r="C39" i="4"/>
  <c r="G37" i="4"/>
  <c r="G100" i="3" s="1"/>
  <c r="F37" i="4"/>
  <c r="F100" i="3" s="1"/>
  <c r="E37" i="4"/>
  <c r="E100" i="3" s="1"/>
  <c r="D37" i="4"/>
  <c r="D100" i="3" s="1"/>
  <c r="C37" i="4"/>
  <c r="C100" i="3" s="1"/>
  <c r="G36" i="4"/>
  <c r="G17" i="3" s="1"/>
  <c r="F36" i="4"/>
  <c r="F17" i="3" s="1"/>
  <c r="E36" i="4"/>
  <c r="E17" i="3" s="1"/>
  <c r="D36" i="4"/>
  <c r="D17" i="3" s="1"/>
  <c r="C36" i="4"/>
  <c r="G35" i="4"/>
  <c r="F35" i="4"/>
  <c r="E35" i="4"/>
  <c r="E73" i="3" s="1"/>
  <c r="D35" i="4"/>
  <c r="C35" i="4"/>
  <c r="C38" i="4" s="1"/>
  <c r="G32" i="4"/>
  <c r="F32" i="4"/>
  <c r="E32" i="4"/>
  <c r="D32" i="4"/>
  <c r="C32" i="4"/>
  <c r="G30" i="4"/>
  <c r="F30" i="4"/>
  <c r="E30" i="4"/>
  <c r="D30" i="4"/>
  <c r="E77" i="4" s="1"/>
  <c r="C30" i="4"/>
  <c r="G29" i="4"/>
  <c r="G28" i="3" s="1"/>
  <c r="F29" i="4"/>
  <c r="F104" i="4" s="1"/>
  <c r="E29" i="4"/>
  <c r="D29" i="4"/>
  <c r="D28" i="3" s="1"/>
  <c r="C29" i="4"/>
  <c r="C104" i="4" s="1"/>
  <c r="G28" i="4"/>
  <c r="G105" i="4" s="1"/>
  <c r="F28" i="4"/>
  <c r="F105" i="4" s="1"/>
  <c r="E28" i="4"/>
  <c r="D28" i="4"/>
  <c r="C28" i="4"/>
  <c r="C105" i="4" s="1"/>
  <c r="G27" i="4"/>
  <c r="C20" i="5" s="1"/>
  <c r="F27" i="4"/>
  <c r="F94" i="4" s="1"/>
  <c r="E27" i="4"/>
  <c r="E94" i="4" s="1"/>
  <c r="D27" i="4"/>
  <c r="D94" i="4" s="1"/>
  <c r="C27" i="4"/>
  <c r="B24" i="4"/>
  <c r="G20" i="4"/>
  <c r="G71" i="4" s="1"/>
  <c r="F20" i="4"/>
  <c r="F71" i="4" s="1"/>
  <c r="E20" i="4"/>
  <c r="E19" i="4" s="1"/>
  <c r="D20" i="4"/>
  <c r="C20" i="4"/>
  <c r="G19" i="4"/>
  <c r="C19" i="4"/>
  <c r="G18" i="4"/>
  <c r="F18" i="4"/>
  <c r="F19" i="4" s="1"/>
  <c r="E18" i="4"/>
  <c r="D18" i="4"/>
  <c r="C18" i="4"/>
  <c r="G15" i="4"/>
  <c r="F15" i="4"/>
  <c r="E15" i="4"/>
  <c r="D15" i="4"/>
  <c r="D16" i="4" s="1"/>
  <c r="C15" i="4"/>
  <c r="G14" i="4"/>
  <c r="F14" i="4"/>
  <c r="E14" i="4"/>
  <c r="E16" i="4" s="1"/>
  <c r="D14" i="4"/>
  <c r="C14" i="4"/>
  <c r="C16" i="4" s="1"/>
  <c r="G13" i="4"/>
  <c r="F13" i="4"/>
  <c r="F99" i="4" s="1"/>
  <c r="E13" i="4"/>
  <c r="D13" i="4"/>
  <c r="C13" i="4"/>
  <c r="C99" i="4" s="1"/>
  <c r="G11" i="4"/>
  <c r="F11" i="4"/>
  <c r="E11" i="4"/>
  <c r="D11" i="4"/>
  <c r="C11" i="4"/>
  <c r="G10" i="4"/>
  <c r="G7" i="3" s="1"/>
  <c r="F10" i="4"/>
  <c r="F12" i="4" s="1"/>
  <c r="F9" i="3" s="1"/>
  <c r="E10" i="4"/>
  <c r="D10" i="4"/>
  <c r="C10" i="4"/>
  <c r="G7" i="4"/>
  <c r="F7" i="4"/>
  <c r="E7" i="4"/>
  <c r="D7" i="4"/>
  <c r="C7" i="4"/>
  <c r="G6" i="4"/>
  <c r="F6" i="4"/>
  <c r="F8" i="4" s="1"/>
  <c r="F98" i="4" s="1"/>
  <c r="E6" i="4"/>
  <c r="F5" i="3" s="1"/>
  <c r="D6" i="4"/>
  <c r="C6" i="4"/>
  <c r="C102" i="4" s="1"/>
  <c r="B4" i="4"/>
  <c r="B80" i="3"/>
  <c r="G73" i="3"/>
  <c r="F73" i="3"/>
  <c r="D73" i="3"/>
  <c r="C73" i="3"/>
  <c r="I71" i="3"/>
  <c r="I79" i="3" s="1"/>
  <c r="H71" i="3"/>
  <c r="H68" i="3"/>
  <c r="H14" i="4" s="1"/>
  <c r="H67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C52" i="3"/>
  <c r="G51" i="3"/>
  <c r="F51" i="3"/>
  <c r="E51" i="3"/>
  <c r="C51" i="3"/>
  <c r="J50" i="3"/>
  <c r="H50" i="3"/>
  <c r="G50" i="3"/>
  <c r="H59" i="3" s="1"/>
  <c r="F50" i="3"/>
  <c r="E50" i="3"/>
  <c r="E52" i="3" s="1"/>
  <c r="C50" i="3"/>
  <c r="G32" i="3"/>
  <c r="K32" i="3" s="1"/>
  <c r="O32" i="3" s="1"/>
  <c r="S32" i="3" s="1"/>
  <c r="D32" i="3"/>
  <c r="H32" i="3" s="1"/>
  <c r="L32" i="3" s="1"/>
  <c r="P32" i="3" s="1"/>
  <c r="T32" i="3" s="1"/>
  <c r="C32" i="3"/>
  <c r="F31" i="3"/>
  <c r="C31" i="3"/>
  <c r="G30" i="3"/>
  <c r="F30" i="3"/>
  <c r="E30" i="3"/>
  <c r="C30" i="3"/>
  <c r="D29" i="3"/>
  <c r="C29" i="3"/>
  <c r="C28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C20" i="3"/>
  <c r="J19" i="3"/>
  <c r="K19" i="3" s="1"/>
  <c r="I19" i="3"/>
  <c r="I44" i="4" s="1"/>
  <c r="C19" i="3"/>
  <c r="C18" i="3"/>
  <c r="C17" i="3"/>
  <c r="G8" i="3"/>
  <c r="F8" i="3"/>
  <c r="E8" i="3"/>
  <c r="D8" i="3"/>
  <c r="D7" i="3"/>
  <c r="D6" i="3"/>
  <c r="G5" i="3"/>
  <c r="D5" i="3"/>
  <c r="G43" i="1"/>
  <c r="G60" i="4" s="1"/>
  <c r="F43" i="1"/>
  <c r="F60" i="4" s="1"/>
  <c r="E43" i="1"/>
  <c r="E60" i="4" s="1"/>
  <c r="G27" i="1"/>
  <c r="G41" i="4" s="1"/>
  <c r="F27" i="1"/>
  <c r="F41" i="4" s="1"/>
  <c r="E27" i="1"/>
  <c r="E41" i="4" s="1"/>
  <c r="D27" i="1"/>
  <c r="D41" i="4" s="1"/>
  <c r="C101" i="4" l="1"/>
  <c r="E47" i="4"/>
  <c r="E20" i="3" s="1"/>
  <c r="G47" i="4"/>
  <c r="G20" i="3" s="1"/>
  <c r="H20" i="3" s="1"/>
  <c r="I20" i="3" s="1"/>
  <c r="D63" i="4"/>
  <c r="F63" i="4"/>
  <c r="G65" i="4"/>
  <c r="F79" i="4"/>
  <c r="D78" i="4"/>
  <c r="D31" i="3"/>
  <c r="F52" i="3"/>
  <c r="G78" i="4"/>
  <c r="E31" i="3"/>
  <c r="D19" i="3"/>
  <c r="G19" i="3"/>
  <c r="H36" i="4"/>
  <c r="H17" i="3"/>
  <c r="G98" i="3"/>
  <c r="H98" i="3" s="1"/>
  <c r="H106" i="3" s="1"/>
  <c r="H107" i="3" s="1"/>
  <c r="I107" i="3" s="1"/>
  <c r="J107" i="3" s="1"/>
  <c r="K107" i="3" s="1"/>
  <c r="L107" i="3" s="1"/>
  <c r="M107" i="3" s="1"/>
  <c r="N107" i="3" s="1"/>
  <c r="O107" i="3" s="1"/>
  <c r="P107" i="3" s="1"/>
  <c r="Q107" i="3" s="1"/>
  <c r="R107" i="3" s="1"/>
  <c r="S107" i="3" s="1"/>
  <c r="T107" i="3" s="1"/>
  <c r="H102" i="3"/>
  <c r="H104" i="3" s="1"/>
  <c r="I104" i="3" s="1"/>
  <c r="G38" i="4"/>
  <c r="G18" i="3" s="1"/>
  <c r="H18" i="3" s="1"/>
  <c r="F38" i="4"/>
  <c r="F18" i="3" s="1"/>
  <c r="D38" i="4"/>
  <c r="D18" i="3" s="1"/>
  <c r="D30" i="3"/>
  <c r="H30" i="3" s="1"/>
  <c r="I30" i="3" s="1"/>
  <c r="G75" i="4"/>
  <c r="G104" i="4"/>
  <c r="G108" i="4"/>
  <c r="E76" i="4"/>
  <c r="G29" i="3"/>
  <c r="G31" i="4"/>
  <c r="G16" i="3" s="1"/>
  <c r="H16" i="3" s="1"/>
  <c r="E28" i="3"/>
  <c r="G94" i="4"/>
  <c r="H92" i="4" s="1"/>
  <c r="F16" i="4"/>
  <c r="H31" i="3"/>
  <c r="E6" i="3"/>
  <c r="H6" i="4"/>
  <c r="F7" i="3"/>
  <c r="F6" i="3"/>
  <c r="F29" i="3"/>
  <c r="E102" i="4"/>
  <c r="F102" i="4"/>
  <c r="G8" i="4"/>
  <c r="G98" i="4" s="1"/>
  <c r="E8" i="4"/>
  <c r="E98" i="4" s="1"/>
  <c r="E29" i="3"/>
  <c r="G6" i="3"/>
  <c r="E7" i="3"/>
  <c r="E5" i="3"/>
  <c r="I84" i="4"/>
  <c r="I81" i="3"/>
  <c r="J81" i="3" s="1"/>
  <c r="K81" i="3" s="1"/>
  <c r="L81" i="3" s="1"/>
  <c r="M81" i="3" s="1"/>
  <c r="N81" i="3" s="1"/>
  <c r="O81" i="3" s="1"/>
  <c r="P81" i="3" s="1"/>
  <c r="Q81" i="3" s="1"/>
  <c r="R81" i="3" s="1"/>
  <c r="S81" i="3" s="1"/>
  <c r="T81" i="3" s="1"/>
  <c r="I55" i="3"/>
  <c r="I60" i="3" s="1"/>
  <c r="H31" i="4"/>
  <c r="I16" i="3"/>
  <c r="K44" i="4"/>
  <c r="K50" i="3"/>
  <c r="L19" i="3"/>
  <c r="H47" i="4"/>
  <c r="G100" i="4"/>
  <c r="G111" i="4"/>
  <c r="G99" i="4"/>
  <c r="D71" i="4"/>
  <c r="D19" i="4"/>
  <c r="D101" i="4"/>
  <c r="J30" i="3"/>
  <c r="K30" i="3" s="1"/>
  <c r="I31" i="3"/>
  <c r="J31" i="3" s="1"/>
  <c r="G76" i="4"/>
  <c r="F76" i="4"/>
  <c r="F108" i="4"/>
  <c r="J44" i="4"/>
  <c r="C64" i="4"/>
  <c r="C110" i="4"/>
  <c r="D110" i="4"/>
  <c r="D51" i="3"/>
  <c r="D52" i="3" s="1"/>
  <c r="F103" i="4"/>
  <c r="D64" i="4"/>
  <c r="D65" i="4" s="1"/>
  <c r="I63" i="4"/>
  <c r="E75" i="4"/>
  <c r="E105" i="4"/>
  <c r="F75" i="4"/>
  <c r="F110" i="4"/>
  <c r="F64" i="4"/>
  <c r="F65" i="4" s="1"/>
  <c r="G74" i="4"/>
  <c r="G81" i="4" s="1"/>
  <c r="G109" i="4" s="1"/>
  <c r="E106" i="4"/>
  <c r="F78" i="4"/>
  <c r="E78" i="4"/>
  <c r="G79" i="4"/>
  <c r="I17" i="3"/>
  <c r="I36" i="4"/>
  <c r="I98" i="3"/>
  <c r="C107" i="4"/>
  <c r="C31" i="4"/>
  <c r="C16" i="3" s="1"/>
  <c r="C108" i="4"/>
  <c r="G52" i="3"/>
  <c r="H58" i="3" s="1"/>
  <c r="E38" i="4"/>
  <c r="E18" i="3" s="1"/>
  <c r="H28" i="3"/>
  <c r="J71" i="3"/>
  <c r="D100" i="4"/>
  <c r="D111" i="4"/>
  <c r="D99" i="4"/>
  <c r="F28" i="3"/>
  <c r="F32" i="3"/>
  <c r="H75" i="3"/>
  <c r="H77" i="3" s="1"/>
  <c r="G72" i="3"/>
  <c r="H79" i="3"/>
  <c r="E111" i="4"/>
  <c r="E12" i="4"/>
  <c r="E9" i="3" s="1"/>
  <c r="E99" i="4"/>
  <c r="I50" i="3"/>
  <c r="E63" i="4"/>
  <c r="E65" i="4" s="1"/>
  <c r="E19" i="3"/>
  <c r="D47" i="4"/>
  <c r="D20" i="3" s="1"/>
  <c r="D108" i="4"/>
  <c r="H85" i="4"/>
  <c r="E100" i="4"/>
  <c r="E103" i="4"/>
  <c r="C103" i="4"/>
  <c r="E108" i="4"/>
  <c r="C100" i="4"/>
  <c r="E104" i="4"/>
  <c r="F100" i="4"/>
  <c r="G16" i="4"/>
  <c r="G17" i="4" s="1"/>
  <c r="G12" i="3" s="1"/>
  <c r="E110" i="4"/>
  <c r="E64" i="4"/>
  <c r="C65" i="4"/>
  <c r="D107" i="4"/>
  <c r="G110" i="4"/>
  <c r="E107" i="4"/>
  <c r="E101" i="4"/>
  <c r="C111" i="4"/>
  <c r="D77" i="4"/>
  <c r="F101" i="4"/>
  <c r="C8" i="4"/>
  <c r="C98" i="4" s="1"/>
  <c r="D104" i="4"/>
  <c r="D76" i="4"/>
  <c r="D74" i="4" s="1"/>
  <c r="E31" i="4"/>
  <c r="E16" i="3" s="1"/>
  <c r="F47" i="4"/>
  <c r="F20" i="3" s="1"/>
  <c r="D103" i="4"/>
  <c r="D8" i="4"/>
  <c r="F111" i="4"/>
  <c r="D102" i="4"/>
  <c r="G106" i="4"/>
  <c r="D17" i="4"/>
  <c r="D12" i="3" s="1"/>
  <c r="F106" i="4"/>
  <c r="E71" i="4"/>
  <c r="H8" i="4"/>
  <c r="C17" i="4"/>
  <c r="E17" i="4"/>
  <c r="E12" i="3" s="1"/>
  <c r="F31" i="4"/>
  <c r="F16" i="3" s="1"/>
  <c r="G107" i="4"/>
  <c r="C33" i="5"/>
  <c r="H27" i="5" s="1"/>
  <c r="F17" i="4"/>
  <c r="F12" i="3" s="1"/>
  <c r="G102" i="4"/>
  <c r="C21" i="5"/>
  <c r="D31" i="4"/>
  <c r="D16" i="3" s="1"/>
  <c r="H122" i="3" l="1"/>
  <c r="H99" i="3" s="1"/>
  <c r="H100" i="3" s="1"/>
  <c r="H37" i="4" s="1"/>
  <c r="H38" i="4"/>
  <c r="I18" i="3"/>
  <c r="H29" i="3"/>
  <c r="G12" i="4"/>
  <c r="G9" i="3" s="1"/>
  <c r="H28" i="4"/>
  <c r="H75" i="4" s="1"/>
  <c r="H17" i="4"/>
  <c r="H12" i="4"/>
  <c r="H11" i="4"/>
  <c r="I6" i="4"/>
  <c r="H10" i="4"/>
  <c r="T12" i="5"/>
  <c r="R12" i="5"/>
  <c r="Q12" i="5"/>
  <c r="P12" i="5"/>
  <c r="O12" i="5"/>
  <c r="N12" i="5"/>
  <c r="M12" i="5"/>
  <c r="K12" i="5"/>
  <c r="L12" i="5"/>
  <c r="J12" i="5"/>
  <c r="I12" i="5"/>
  <c r="H12" i="5"/>
  <c r="S12" i="5"/>
  <c r="K63" i="4"/>
  <c r="J16" i="3"/>
  <c r="I31" i="4"/>
  <c r="D98" i="4"/>
  <c r="D12" i="4"/>
  <c r="D9" i="3" s="1"/>
  <c r="J79" i="3"/>
  <c r="K71" i="3"/>
  <c r="I28" i="3"/>
  <c r="J28" i="3" s="1"/>
  <c r="F74" i="4"/>
  <c r="F81" i="4" s="1"/>
  <c r="F109" i="4" s="1"/>
  <c r="D81" i="4"/>
  <c r="D109" i="4" s="1"/>
  <c r="C12" i="4"/>
  <c r="E74" i="4"/>
  <c r="E81" i="4" s="1"/>
  <c r="E109" i="4" s="1"/>
  <c r="H84" i="4"/>
  <c r="H80" i="3"/>
  <c r="I80" i="3" s="1"/>
  <c r="J80" i="3" s="1"/>
  <c r="K80" i="3" s="1"/>
  <c r="L80" i="3" s="1"/>
  <c r="M80" i="3" s="1"/>
  <c r="N80" i="3" s="1"/>
  <c r="O80" i="3" s="1"/>
  <c r="P80" i="3" s="1"/>
  <c r="Q80" i="3" s="1"/>
  <c r="R80" i="3" s="1"/>
  <c r="S80" i="3" s="1"/>
  <c r="T80" i="3" s="1"/>
  <c r="H55" i="3"/>
  <c r="H60" i="3" s="1"/>
  <c r="H61" i="3" s="1"/>
  <c r="H7" i="4"/>
  <c r="J98" i="3"/>
  <c r="I106" i="3"/>
  <c r="H95" i="3"/>
  <c r="H124" i="3" s="1"/>
  <c r="I77" i="3"/>
  <c r="K31" i="3"/>
  <c r="I47" i="4"/>
  <c r="J20" i="3"/>
  <c r="J32" i="3"/>
  <c r="N32" i="3" s="1"/>
  <c r="R32" i="3" s="1"/>
  <c r="I32" i="3"/>
  <c r="M32" i="3" s="1"/>
  <c r="Q32" i="3" s="1"/>
  <c r="L30" i="3"/>
  <c r="J104" i="3"/>
  <c r="J63" i="4"/>
  <c r="J17" i="3"/>
  <c r="J36" i="4"/>
  <c r="M19" i="3"/>
  <c r="L44" i="4"/>
  <c r="L50" i="3"/>
  <c r="H72" i="3" l="1"/>
  <c r="I38" i="4"/>
  <c r="J18" i="3"/>
  <c r="J29" i="3"/>
  <c r="I11" i="4"/>
  <c r="I10" i="4"/>
  <c r="I12" i="4"/>
  <c r="I17" i="4"/>
  <c r="J6" i="4"/>
  <c r="I8" i="4"/>
  <c r="I7" i="4" s="1"/>
  <c r="I29" i="4" s="1"/>
  <c r="I29" i="3"/>
  <c r="I28" i="4" s="1"/>
  <c r="I75" i="4" s="1"/>
  <c r="K36" i="4"/>
  <c r="K17" i="3"/>
  <c r="L31" i="3"/>
  <c r="I95" i="3"/>
  <c r="I72" i="3" s="1"/>
  <c r="J77" i="3"/>
  <c r="K28" i="3"/>
  <c r="I46" i="4"/>
  <c r="I30" i="4"/>
  <c r="H72" i="4"/>
  <c r="H9" i="4"/>
  <c r="K79" i="3"/>
  <c r="L71" i="3"/>
  <c r="M30" i="3"/>
  <c r="K98" i="3"/>
  <c r="J106" i="3"/>
  <c r="J84" i="4"/>
  <c r="J82" i="3"/>
  <c r="K82" i="3" s="1"/>
  <c r="L82" i="3" s="1"/>
  <c r="M82" i="3" s="1"/>
  <c r="N82" i="3" s="1"/>
  <c r="O82" i="3" s="1"/>
  <c r="P82" i="3" s="1"/>
  <c r="Q82" i="3" s="1"/>
  <c r="R82" i="3" s="1"/>
  <c r="S82" i="3" s="1"/>
  <c r="T82" i="3" s="1"/>
  <c r="J55" i="3"/>
  <c r="J60" i="3" s="1"/>
  <c r="H73" i="3"/>
  <c r="H35" i="4" s="1"/>
  <c r="H39" i="4" s="1"/>
  <c r="H29" i="4"/>
  <c r="H76" i="4" s="1"/>
  <c r="H45" i="4"/>
  <c r="H46" i="4"/>
  <c r="H79" i="4" s="1"/>
  <c r="H30" i="4"/>
  <c r="H77" i="4" s="1"/>
  <c r="K104" i="3"/>
  <c r="I108" i="3"/>
  <c r="I85" i="4"/>
  <c r="J31" i="4"/>
  <c r="K16" i="3"/>
  <c r="H64" i="3"/>
  <c r="H15" i="4" s="1"/>
  <c r="H16" i="4" s="1"/>
  <c r="H51" i="3"/>
  <c r="I58" i="3"/>
  <c r="I61" i="3" s="1"/>
  <c r="L63" i="4"/>
  <c r="J47" i="4"/>
  <c r="K20" i="3"/>
  <c r="N19" i="3"/>
  <c r="M44" i="4"/>
  <c r="M50" i="3"/>
  <c r="H10" i="5"/>
  <c r="H86" i="4"/>
  <c r="J38" i="4" l="1"/>
  <c r="K18" i="3"/>
  <c r="J28" i="4"/>
  <c r="J75" i="4" s="1"/>
  <c r="J10" i="4"/>
  <c r="J17" i="4"/>
  <c r="J8" i="4"/>
  <c r="J7" i="4" s="1"/>
  <c r="K6" i="4"/>
  <c r="J11" i="4"/>
  <c r="J12" i="4"/>
  <c r="I45" i="4"/>
  <c r="I78" i="4" s="1"/>
  <c r="K29" i="3"/>
  <c r="J85" i="4"/>
  <c r="J86" i="4" s="1"/>
  <c r="J109" i="3"/>
  <c r="K109" i="3" s="1"/>
  <c r="L109" i="3" s="1"/>
  <c r="M109" i="3" s="1"/>
  <c r="N109" i="3" s="1"/>
  <c r="O109" i="3" s="1"/>
  <c r="P109" i="3" s="1"/>
  <c r="Q109" i="3" s="1"/>
  <c r="R109" i="3" s="1"/>
  <c r="S109" i="3" s="1"/>
  <c r="T109" i="3" s="1"/>
  <c r="I76" i="4"/>
  <c r="I77" i="4"/>
  <c r="J108" i="3"/>
  <c r="I122" i="3"/>
  <c r="I99" i="3" s="1"/>
  <c r="I79" i="4"/>
  <c r="L104" i="3"/>
  <c r="K47" i="4"/>
  <c r="L20" i="3"/>
  <c r="L28" i="3"/>
  <c r="M28" i="3" s="1"/>
  <c r="K77" i="3"/>
  <c r="J95" i="3"/>
  <c r="J72" i="3" s="1"/>
  <c r="H51" i="4"/>
  <c r="H64" i="4" s="1"/>
  <c r="H65" i="4" s="1"/>
  <c r="H89" i="4" s="1"/>
  <c r="H90" i="4" s="1"/>
  <c r="H52" i="3"/>
  <c r="H78" i="4"/>
  <c r="H74" i="4" s="1"/>
  <c r="H9" i="5" s="1"/>
  <c r="H48" i="4"/>
  <c r="H53" i="4" s="1"/>
  <c r="L98" i="3"/>
  <c r="K106" i="3"/>
  <c r="I51" i="3"/>
  <c r="J58" i="3"/>
  <c r="J61" i="3" s="1"/>
  <c r="I64" i="3"/>
  <c r="I15" i="4" s="1"/>
  <c r="L36" i="4"/>
  <c r="L17" i="3"/>
  <c r="L79" i="3"/>
  <c r="M71" i="3"/>
  <c r="M63" i="4"/>
  <c r="K31" i="4"/>
  <c r="L16" i="3"/>
  <c r="K83" i="3"/>
  <c r="L83" i="3" s="1"/>
  <c r="M83" i="3" s="1"/>
  <c r="N83" i="3" s="1"/>
  <c r="O83" i="3" s="1"/>
  <c r="P83" i="3" s="1"/>
  <c r="Q83" i="3" s="1"/>
  <c r="R83" i="3" s="1"/>
  <c r="S83" i="3" s="1"/>
  <c r="T83" i="3" s="1"/>
  <c r="K55" i="3"/>
  <c r="K60" i="3" s="1"/>
  <c r="K84" i="4"/>
  <c r="N50" i="3"/>
  <c r="N44" i="4"/>
  <c r="O19" i="3"/>
  <c r="M31" i="3"/>
  <c r="I86" i="4"/>
  <c r="I10" i="5"/>
  <c r="I73" i="3"/>
  <c r="I35" i="4" s="1"/>
  <c r="J30" i="4"/>
  <c r="J77" i="4" s="1"/>
  <c r="J29" i="4"/>
  <c r="J76" i="4" s="1"/>
  <c r="J46" i="4"/>
  <c r="J79" i="4" s="1"/>
  <c r="J45" i="4"/>
  <c r="H8" i="5"/>
  <c r="H13" i="4"/>
  <c r="N30" i="3"/>
  <c r="I48" i="4"/>
  <c r="I53" i="4" s="1"/>
  <c r="J10" i="5" l="1"/>
  <c r="K38" i="4"/>
  <c r="L18" i="3"/>
  <c r="L29" i="3"/>
  <c r="K11" i="4"/>
  <c r="K8" i="4"/>
  <c r="K7" i="4" s="1"/>
  <c r="K10" i="4"/>
  <c r="K12" i="4"/>
  <c r="K17" i="4"/>
  <c r="L6" i="4"/>
  <c r="K28" i="4"/>
  <c r="K75" i="4" s="1"/>
  <c r="K58" i="3"/>
  <c r="K61" i="3" s="1"/>
  <c r="J51" i="3"/>
  <c r="J64" i="3"/>
  <c r="J15" i="4" s="1"/>
  <c r="M98" i="3"/>
  <c r="L106" i="3"/>
  <c r="J73" i="3"/>
  <c r="J35" i="4" s="1"/>
  <c r="M104" i="3"/>
  <c r="L77" i="3"/>
  <c r="K95" i="3"/>
  <c r="K72" i="3" s="1"/>
  <c r="I100" i="3"/>
  <c r="I37" i="4" s="1"/>
  <c r="K45" i="4"/>
  <c r="K30" i="4"/>
  <c r="K77" i="4" s="1"/>
  <c r="K29" i="4"/>
  <c r="K76" i="4" s="1"/>
  <c r="K46" i="4"/>
  <c r="K79" i="4" s="1"/>
  <c r="K108" i="3"/>
  <c r="J122" i="3"/>
  <c r="J99" i="3" s="1"/>
  <c r="N63" i="4"/>
  <c r="I74" i="4"/>
  <c r="I9" i="5" s="1"/>
  <c r="H6" i="5"/>
  <c r="H11" i="5" s="1"/>
  <c r="H13" i="5" s="1"/>
  <c r="C18" i="5" s="1"/>
  <c r="H18" i="4"/>
  <c r="L47" i="4"/>
  <c r="M20" i="3"/>
  <c r="I39" i="4"/>
  <c r="N31" i="3"/>
  <c r="L84" i="4"/>
  <c r="L84" i="3"/>
  <c r="M84" i="3" s="1"/>
  <c r="N84" i="3" s="1"/>
  <c r="O84" i="3" s="1"/>
  <c r="P84" i="3" s="1"/>
  <c r="Q84" i="3" s="1"/>
  <c r="R84" i="3" s="1"/>
  <c r="S84" i="3" s="1"/>
  <c r="T84" i="3" s="1"/>
  <c r="L55" i="3"/>
  <c r="L60" i="3" s="1"/>
  <c r="O30" i="3"/>
  <c r="M36" i="4"/>
  <c r="M17" i="3"/>
  <c r="O50" i="3"/>
  <c r="P19" i="3"/>
  <c r="O44" i="4"/>
  <c r="N28" i="3"/>
  <c r="J78" i="4"/>
  <c r="J74" i="4" s="1"/>
  <c r="J9" i="5" s="1"/>
  <c r="J48" i="4"/>
  <c r="J53" i="4" s="1"/>
  <c r="N71" i="3"/>
  <c r="M79" i="3"/>
  <c r="I124" i="3"/>
  <c r="I51" i="4"/>
  <c r="I64" i="4" s="1"/>
  <c r="I65" i="4" s="1"/>
  <c r="I89" i="4" s="1"/>
  <c r="I90" i="4" s="1"/>
  <c r="I52" i="3"/>
  <c r="L31" i="4"/>
  <c r="M16" i="3"/>
  <c r="K110" i="3"/>
  <c r="L110" i="3" s="1"/>
  <c r="M110" i="3" s="1"/>
  <c r="N110" i="3" s="1"/>
  <c r="O110" i="3" s="1"/>
  <c r="P110" i="3" s="1"/>
  <c r="Q110" i="3" s="1"/>
  <c r="R110" i="3" s="1"/>
  <c r="S110" i="3" s="1"/>
  <c r="T110" i="3" s="1"/>
  <c r="K85" i="4"/>
  <c r="K86" i="4" s="1"/>
  <c r="J124" i="3" l="1"/>
  <c r="L38" i="4"/>
  <c r="M18" i="3"/>
  <c r="L28" i="4"/>
  <c r="L75" i="4" s="1"/>
  <c r="L12" i="4"/>
  <c r="M6" i="4"/>
  <c r="L11" i="4"/>
  <c r="L10" i="4"/>
  <c r="L8" i="4"/>
  <c r="L7" i="4" s="1"/>
  <c r="L17" i="4"/>
  <c r="M29" i="3"/>
  <c r="N29" i="3" s="1"/>
  <c r="J100" i="3"/>
  <c r="J37" i="4" s="1"/>
  <c r="J39" i="4" s="1"/>
  <c r="H19" i="4"/>
  <c r="H20" i="4" s="1"/>
  <c r="J72" i="4"/>
  <c r="J9" i="4"/>
  <c r="N104" i="3"/>
  <c r="L95" i="3"/>
  <c r="M77" i="3"/>
  <c r="N16" i="3"/>
  <c r="M31" i="4"/>
  <c r="M84" i="4"/>
  <c r="M85" i="3"/>
  <c r="N85" i="3" s="1"/>
  <c r="O85" i="3" s="1"/>
  <c r="P85" i="3" s="1"/>
  <c r="Q85" i="3" s="1"/>
  <c r="R85" i="3" s="1"/>
  <c r="S85" i="3" s="1"/>
  <c r="T85" i="3" s="1"/>
  <c r="M55" i="3"/>
  <c r="M60" i="3" s="1"/>
  <c r="L29" i="4"/>
  <c r="L76" i="4" s="1"/>
  <c r="L46" i="4"/>
  <c r="L79" i="4" s="1"/>
  <c r="L30" i="4"/>
  <c r="L77" i="4" s="1"/>
  <c r="L45" i="4"/>
  <c r="L108" i="3"/>
  <c r="K122" i="3"/>
  <c r="K99" i="3" s="1"/>
  <c r="L85" i="4"/>
  <c r="L10" i="5" s="1"/>
  <c r="L111" i="3"/>
  <c r="M111" i="3" s="1"/>
  <c r="N111" i="3" s="1"/>
  <c r="O111" i="3" s="1"/>
  <c r="P111" i="3" s="1"/>
  <c r="Q111" i="3" s="1"/>
  <c r="R111" i="3" s="1"/>
  <c r="S111" i="3" s="1"/>
  <c r="T111" i="3" s="1"/>
  <c r="M106" i="3"/>
  <c r="N98" i="3"/>
  <c r="P30" i="3"/>
  <c r="Q30" i="3" s="1"/>
  <c r="O31" i="3"/>
  <c r="O28" i="3"/>
  <c r="I9" i="4"/>
  <c r="I72" i="4"/>
  <c r="O63" i="4"/>
  <c r="K78" i="4"/>
  <c r="K74" i="4" s="1"/>
  <c r="K9" i="5" s="1"/>
  <c r="K48" i="4"/>
  <c r="K53" i="4" s="1"/>
  <c r="K10" i="5"/>
  <c r="P50" i="3"/>
  <c r="P44" i="4"/>
  <c r="Q19" i="3"/>
  <c r="J51" i="4"/>
  <c r="J64" i="4" s="1"/>
  <c r="J65" i="4" s="1"/>
  <c r="J89" i="4" s="1"/>
  <c r="J90" i="4" s="1"/>
  <c r="J52" i="3"/>
  <c r="K64" i="3"/>
  <c r="K15" i="4" s="1"/>
  <c r="K51" i="3"/>
  <c r="L58" i="3"/>
  <c r="L61" i="3"/>
  <c r="K73" i="3"/>
  <c r="K35" i="4" s="1"/>
  <c r="N79" i="3"/>
  <c r="O71" i="3"/>
  <c r="M47" i="4"/>
  <c r="N20" i="3"/>
  <c r="N36" i="4"/>
  <c r="N17" i="3"/>
  <c r="M38" i="4" l="1"/>
  <c r="N18" i="3"/>
  <c r="P31" i="3"/>
  <c r="Q31" i="3" s="1"/>
  <c r="R31" i="3" s="1"/>
  <c r="S31" i="3" s="1"/>
  <c r="M11" i="4"/>
  <c r="M10" i="4"/>
  <c r="M17" i="4"/>
  <c r="M28" i="4"/>
  <c r="M75" i="4" s="1"/>
  <c r="N6" i="4"/>
  <c r="M12" i="4"/>
  <c r="M8" i="4"/>
  <c r="M7" i="4" s="1"/>
  <c r="M45" i="4" s="1"/>
  <c r="O29" i="3"/>
  <c r="R30" i="3"/>
  <c r="S30" i="3" s="1"/>
  <c r="T30" i="3" s="1"/>
  <c r="K100" i="3"/>
  <c r="K37" i="4" s="1"/>
  <c r="K39" i="4" s="1"/>
  <c r="M85" i="4"/>
  <c r="M112" i="3"/>
  <c r="N112" i="3" s="1"/>
  <c r="O112" i="3" s="1"/>
  <c r="P112" i="3" s="1"/>
  <c r="Q112" i="3" s="1"/>
  <c r="R112" i="3" s="1"/>
  <c r="S112" i="3" s="1"/>
  <c r="T112" i="3" s="1"/>
  <c r="O16" i="3"/>
  <c r="N31" i="4"/>
  <c r="P63" i="4"/>
  <c r="N77" i="3"/>
  <c r="M95" i="3"/>
  <c r="O98" i="3"/>
  <c r="N106" i="3"/>
  <c r="P28" i="3"/>
  <c r="Q28" i="3"/>
  <c r="M108" i="3"/>
  <c r="L122" i="3"/>
  <c r="L124" i="3" s="1"/>
  <c r="O104" i="3"/>
  <c r="R28" i="3"/>
  <c r="L78" i="4"/>
  <c r="L74" i="4" s="1"/>
  <c r="L9" i="5" s="1"/>
  <c r="L48" i="4"/>
  <c r="L53" i="4" s="1"/>
  <c r="J8" i="5"/>
  <c r="J13" i="4"/>
  <c r="Q44" i="4"/>
  <c r="R19" i="3"/>
  <c r="Q50" i="3"/>
  <c r="O79" i="3"/>
  <c r="P71" i="3"/>
  <c r="H21" i="3"/>
  <c r="H71" i="4"/>
  <c r="H81" i="4" s="1"/>
  <c r="H93" i="4" s="1"/>
  <c r="H94" i="4" s="1"/>
  <c r="H56" i="4"/>
  <c r="H58" i="4" s="1"/>
  <c r="N84" i="4"/>
  <c r="N86" i="3"/>
  <c r="O86" i="3" s="1"/>
  <c r="P86" i="3" s="1"/>
  <c r="Q86" i="3" s="1"/>
  <c r="R86" i="3" s="1"/>
  <c r="S86" i="3" s="1"/>
  <c r="T86" i="3" s="1"/>
  <c r="N55" i="3"/>
  <c r="N60" i="3" s="1"/>
  <c r="I8" i="5"/>
  <c r="I13" i="4"/>
  <c r="M30" i="4"/>
  <c r="M77" i="4" s="1"/>
  <c r="K124" i="3"/>
  <c r="L64" i="3"/>
  <c r="L15" i="4" s="1"/>
  <c r="L51" i="3"/>
  <c r="M58" i="3"/>
  <c r="M61" i="3" s="1"/>
  <c r="K51" i="4"/>
  <c r="K64" i="4" s="1"/>
  <c r="K65" i="4" s="1"/>
  <c r="K89" i="4" s="1"/>
  <c r="K90" i="4" s="1"/>
  <c r="K52" i="3"/>
  <c r="L86" i="4"/>
  <c r="L72" i="3"/>
  <c r="O36" i="4"/>
  <c r="O17" i="3"/>
  <c r="N47" i="4"/>
  <c r="O20" i="3"/>
  <c r="M10" i="5"/>
  <c r="M86" i="4"/>
  <c r="N38" i="4" l="1"/>
  <c r="O18" i="3"/>
  <c r="O6" i="4"/>
  <c r="N17" i="4"/>
  <c r="N8" i="4"/>
  <c r="N7" i="4" s="1"/>
  <c r="N28" i="4"/>
  <c r="N75" i="4" s="1"/>
  <c r="N11" i="4"/>
  <c r="N10" i="4"/>
  <c r="N12" i="4"/>
  <c r="P29" i="3"/>
  <c r="M29" i="4"/>
  <c r="M76" i="4" s="1"/>
  <c r="M46" i="4"/>
  <c r="M79" i="4" s="1"/>
  <c r="L72" i="4"/>
  <c r="L9" i="4"/>
  <c r="M64" i="3"/>
  <c r="M15" i="4" s="1"/>
  <c r="M51" i="3"/>
  <c r="N58" i="3"/>
  <c r="N61" i="3" s="1"/>
  <c r="O77" i="3"/>
  <c r="N95" i="3"/>
  <c r="H60" i="4"/>
  <c r="G101" i="4"/>
  <c r="N45" i="4"/>
  <c r="N29" i="4"/>
  <c r="N30" i="4"/>
  <c r="N77" i="4" s="1"/>
  <c r="N46" i="4"/>
  <c r="I92" i="4"/>
  <c r="I94" i="4" s="1"/>
  <c r="H27" i="4"/>
  <c r="P98" i="3"/>
  <c r="O106" i="3"/>
  <c r="J6" i="5"/>
  <c r="J11" i="5" s="1"/>
  <c r="J13" i="5" s="1"/>
  <c r="L51" i="4"/>
  <c r="L64" i="4" s="1"/>
  <c r="L65" i="4" s="1"/>
  <c r="L89" i="4" s="1"/>
  <c r="L90" i="4" s="1"/>
  <c r="L52" i="3"/>
  <c r="O31" i="4"/>
  <c r="P16" i="3"/>
  <c r="P20" i="3"/>
  <c r="O47" i="4"/>
  <c r="P104" i="3"/>
  <c r="Q71" i="3"/>
  <c r="P79" i="3"/>
  <c r="N108" i="3"/>
  <c r="M122" i="3"/>
  <c r="M124" i="3" s="1"/>
  <c r="M72" i="3"/>
  <c r="L73" i="3"/>
  <c r="L35" i="4" s="1"/>
  <c r="T31" i="3"/>
  <c r="P36" i="4"/>
  <c r="P17" i="3"/>
  <c r="K9" i="4"/>
  <c r="K72" i="4"/>
  <c r="O84" i="4"/>
  <c r="O87" i="3"/>
  <c r="P87" i="3" s="1"/>
  <c r="Q87" i="3" s="1"/>
  <c r="R87" i="3" s="1"/>
  <c r="S87" i="3" s="1"/>
  <c r="T87" i="3" s="1"/>
  <c r="O55" i="3"/>
  <c r="O60" i="3" s="1"/>
  <c r="S28" i="3"/>
  <c r="T28" i="3" s="1"/>
  <c r="M78" i="4"/>
  <c r="M48" i="4"/>
  <c r="M53" i="4" s="1"/>
  <c r="R44" i="4"/>
  <c r="R50" i="3"/>
  <c r="S19" i="3"/>
  <c r="L99" i="3"/>
  <c r="Q63" i="4"/>
  <c r="I6" i="5"/>
  <c r="I11" i="5" s="1"/>
  <c r="I13" i="5" s="1"/>
  <c r="N85" i="4"/>
  <c r="N86" i="4" s="1"/>
  <c r="N113" i="3"/>
  <c r="O113" i="3" s="1"/>
  <c r="P113" i="3" s="1"/>
  <c r="Q113" i="3" s="1"/>
  <c r="R113" i="3" s="1"/>
  <c r="S113" i="3" s="1"/>
  <c r="T113" i="3" s="1"/>
  <c r="N10" i="5" l="1"/>
  <c r="O38" i="4"/>
  <c r="P18" i="3"/>
  <c r="M74" i="4"/>
  <c r="M9" i="5" s="1"/>
  <c r="N79" i="4"/>
  <c r="N76" i="4"/>
  <c r="O12" i="4"/>
  <c r="O8" i="4"/>
  <c r="O7" i="4" s="1"/>
  <c r="O46" i="4" s="1"/>
  <c r="O79" i="4" s="1"/>
  <c r="O10" i="4"/>
  <c r="O28" i="4"/>
  <c r="O75" i="4" s="1"/>
  <c r="O17" i="4"/>
  <c r="O11" i="4"/>
  <c r="P6" i="4"/>
  <c r="Q29" i="3"/>
  <c r="R29" i="3" s="1"/>
  <c r="N51" i="3"/>
  <c r="O58" i="3"/>
  <c r="O61" i="3" s="1"/>
  <c r="N64" i="3"/>
  <c r="N15" i="4" s="1"/>
  <c r="M72" i="4"/>
  <c r="M9" i="4"/>
  <c r="R63" i="4"/>
  <c r="N78" i="4"/>
  <c r="N48" i="4"/>
  <c r="N53" i="4" s="1"/>
  <c r="N72" i="3"/>
  <c r="M73" i="3"/>
  <c r="M35" i="4" s="1"/>
  <c r="O114" i="3"/>
  <c r="P114" i="3" s="1"/>
  <c r="Q114" i="3" s="1"/>
  <c r="R114" i="3" s="1"/>
  <c r="S114" i="3" s="1"/>
  <c r="T114" i="3" s="1"/>
  <c r="O85" i="4"/>
  <c r="O86" i="4" s="1"/>
  <c r="P106" i="3"/>
  <c r="Q98" i="3"/>
  <c r="R71" i="3"/>
  <c r="Q79" i="3"/>
  <c r="H32" i="4"/>
  <c r="H41" i="4" s="1"/>
  <c r="G103" i="4" s="1"/>
  <c r="I67" i="3"/>
  <c r="I68" i="3" s="1"/>
  <c r="I14" i="4" s="1"/>
  <c r="I16" i="4" s="1"/>
  <c r="I18" i="4" s="1"/>
  <c r="J92" i="4"/>
  <c r="J94" i="4" s="1"/>
  <c r="I27" i="4"/>
  <c r="K8" i="5"/>
  <c r="K13" i="4"/>
  <c r="Q104" i="3"/>
  <c r="O108" i="3"/>
  <c r="N122" i="3"/>
  <c r="N124" i="3" s="1"/>
  <c r="P88" i="3"/>
  <c r="Q88" i="3" s="1"/>
  <c r="R88" i="3" s="1"/>
  <c r="S88" i="3" s="1"/>
  <c r="T88" i="3" s="1"/>
  <c r="P55" i="3"/>
  <c r="P60" i="3" s="1"/>
  <c r="P84" i="4"/>
  <c r="O10" i="5"/>
  <c r="P77" i="3"/>
  <c r="O95" i="3"/>
  <c r="Q36" i="4"/>
  <c r="Q17" i="3"/>
  <c r="M51" i="4"/>
  <c r="M64" i="4" s="1"/>
  <c r="M65" i="4" s="1"/>
  <c r="M89" i="4" s="1"/>
  <c r="M90" i="4" s="1"/>
  <c r="M52" i="3"/>
  <c r="M99" i="3"/>
  <c r="L100" i="3"/>
  <c r="L37" i="4" s="1"/>
  <c r="L39" i="4" s="1"/>
  <c r="P47" i="4"/>
  <c r="Q20" i="3"/>
  <c r="S44" i="4"/>
  <c r="S50" i="3"/>
  <c r="T19" i="3"/>
  <c r="Q16" i="3"/>
  <c r="P31" i="4"/>
  <c r="L8" i="5"/>
  <c r="L13" i="4"/>
  <c r="Q18" i="3" l="1"/>
  <c r="P38" i="4"/>
  <c r="Q6" i="4"/>
  <c r="P11" i="4"/>
  <c r="P17" i="4"/>
  <c r="P10" i="4"/>
  <c r="P12" i="4"/>
  <c r="P28" i="4"/>
  <c r="P75" i="4" s="1"/>
  <c r="P8" i="4"/>
  <c r="P7" i="4" s="1"/>
  <c r="P46" i="4" s="1"/>
  <c r="P79" i="4" s="1"/>
  <c r="O30" i="4"/>
  <c r="O77" i="4" s="1"/>
  <c r="O29" i="4"/>
  <c r="O76" i="4" s="1"/>
  <c r="O45" i="4"/>
  <c r="O78" i="4" s="1"/>
  <c r="N74" i="4"/>
  <c r="N9" i="5" s="1"/>
  <c r="S29" i="3"/>
  <c r="T29" i="3" s="1"/>
  <c r="N72" i="4"/>
  <c r="N9" i="4"/>
  <c r="P85" i="4"/>
  <c r="P115" i="3"/>
  <c r="Q115" i="3" s="1"/>
  <c r="R115" i="3" s="1"/>
  <c r="S115" i="3" s="1"/>
  <c r="T115" i="3" s="1"/>
  <c r="P108" i="3"/>
  <c r="O122" i="3"/>
  <c r="O124" i="3" s="1"/>
  <c r="O72" i="3"/>
  <c r="N73" i="3"/>
  <c r="N35" i="4" s="1"/>
  <c r="R36" i="4"/>
  <c r="R17" i="3"/>
  <c r="N99" i="3"/>
  <c r="M100" i="3"/>
  <c r="M37" i="4" s="1"/>
  <c r="M39" i="4" s="1"/>
  <c r="Q84" i="4"/>
  <c r="Q55" i="3"/>
  <c r="Q60" i="3" s="1"/>
  <c r="Q89" i="3"/>
  <c r="R89" i="3" s="1"/>
  <c r="S89" i="3" s="1"/>
  <c r="T89" i="3" s="1"/>
  <c r="R79" i="3"/>
  <c r="S71" i="3"/>
  <c r="I19" i="4"/>
  <c r="I20" i="4"/>
  <c r="L6" i="5"/>
  <c r="L11" i="5" s="1"/>
  <c r="L13" i="5" s="1"/>
  <c r="P95" i="3"/>
  <c r="Q77" i="3"/>
  <c r="M8" i="5"/>
  <c r="M13" i="4"/>
  <c r="R16" i="3"/>
  <c r="Q31" i="4"/>
  <c r="P30" i="4"/>
  <c r="P58" i="3"/>
  <c r="P61" i="3" s="1"/>
  <c r="O51" i="3"/>
  <c r="O64" i="3"/>
  <c r="O15" i="4" s="1"/>
  <c r="K6" i="5"/>
  <c r="K11" i="5" s="1"/>
  <c r="K13" i="5" s="1"/>
  <c r="P10" i="5"/>
  <c r="P86" i="4"/>
  <c r="R104" i="3"/>
  <c r="T44" i="4"/>
  <c r="T50" i="3"/>
  <c r="S63" i="4"/>
  <c r="I32" i="4"/>
  <c r="I41" i="4" s="1"/>
  <c r="J67" i="3"/>
  <c r="J68" i="3" s="1"/>
  <c r="J14" i="4" s="1"/>
  <c r="J16" i="4" s="1"/>
  <c r="J18" i="4" s="1"/>
  <c r="Q47" i="4"/>
  <c r="R20" i="3"/>
  <c r="J27" i="4"/>
  <c r="K92" i="4"/>
  <c r="K94" i="4" s="1"/>
  <c r="Q106" i="3"/>
  <c r="R98" i="3"/>
  <c r="N51" i="4"/>
  <c r="N64" i="4" s="1"/>
  <c r="N65" i="4" s="1"/>
  <c r="N89" i="4" s="1"/>
  <c r="N90" i="4" s="1"/>
  <c r="N52" i="3"/>
  <c r="O74" i="4" l="1"/>
  <c r="O9" i="5" s="1"/>
  <c r="R18" i="3"/>
  <c r="Q38" i="4"/>
  <c r="P77" i="4"/>
  <c r="P29" i="4"/>
  <c r="P76" i="4" s="1"/>
  <c r="P45" i="4"/>
  <c r="P48" i="4" s="1"/>
  <c r="P53" i="4" s="1"/>
  <c r="O48" i="4"/>
  <c r="O53" i="4" s="1"/>
  <c r="Q28" i="4"/>
  <c r="Q75" i="4" s="1"/>
  <c r="Q12" i="4"/>
  <c r="R6" i="4"/>
  <c r="Q11" i="4"/>
  <c r="Q8" i="4"/>
  <c r="Q7" i="4" s="1"/>
  <c r="Q17" i="4"/>
  <c r="Q10" i="4"/>
  <c r="I21" i="3"/>
  <c r="I71" i="4"/>
  <c r="I81" i="4" s="1"/>
  <c r="I93" i="4" s="1"/>
  <c r="I56" i="4"/>
  <c r="I58" i="4" s="1"/>
  <c r="O99" i="3"/>
  <c r="N100" i="3"/>
  <c r="N37" i="4" s="1"/>
  <c r="N39" i="4" s="1"/>
  <c r="S36" i="4"/>
  <c r="S17" i="3"/>
  <c r="T71" i="3"/>
  <c r="S79" i="3"/>
  <c r="R55" i="3"/>
  <c r="R60" i="3" s="1"/>
  <c r="R90" i="3"/>
  <c r="S90" i="3" s="1"/>
  <c r="T90" i="3" s="1"/>
  <c r="R84" i="4"/>
  <c r="Q45" i="4"/>
  <c r="Q46" i="4"/>
  <c r="Q79" i="4" s="1"/>
  <c r="Q29" i="4"/>
  <c r="Q76" i="4" s="1"/>
  <c r="Q30" i="4"/>
  <c r="Q77" i="4" s="1"/>
  <c r="P72" i="3"/>
  <c r="O73" i="3"/>
  <c r="O35" i="4" s="1"/>
  <c r="Q85" i="4"/>
  <c r="Q86" i="4" s="1"/>
  <c r="Q116" i="3"/>
  <c r="R116" i="3" s="1"/>
  <c r="S116" i="3" s="1"/>
  <c r="T116" i="3" s="1"/>
  <c r="O9" i="4"/>
  <c r="O72" i="4"/>
  <c r="K27" i="4"/>
  <c r="L92" i="4"/>
  <c r="L94" i="4" s="1"/>
  <c r="M6" i="5"/>
  <c r="M11" i="5" s="1"/>
  <c r="M13" i="5" s="1"/>
  <c r="R106" i="3"/>
  <c r="S98" i="3"/>
  <c r="P51" i="3"/>
  <c r="Q58" i="3"/>
  <c r="Q61" i="3" s="1"/>
  <c r="P64" i="3"/>
  <c r="P15" i="4" s="1"/>
  <c r="Q108" i="3"/>
  <c r="P122" i="3"/>
  <c r="P124" i="3" s="1"/>
  <c r="R77" i="3"/>
  <c r="Q95" i="3"/>
  <c r="R47" i="4"/>
  <c r="S20" i="3"/>
  <c r="J20" i="4"/>
  <c r="J19" i="4"/>
  <c r="O51" i="4"/>
  <c r="O64" i="4" s="1"/>
  <c r="O65" i="4" s="1"/>
  <c r="O89" i="4" s="1"/>
  <c r="O90" i="4" s="1"/>
  <c r="O52" i="3"/>
  <c r="N8" i="5"/>
  <c r="N13" i="4"/>
  <c r="T63" i="4"/>
  <c r="S104" i="3"/>
  <c r="R31" i="4"/>
  <c r="S16" i="3"/>
  <c r="J32" i="4"/>
  <c r="J41" i="4" s="1"/>
  <c r="K67" i="3"/>
  <c r="K68" i="3" s="1"/>
  <c r="K14" i="4" s="1"/>
  <c r="K16" i="4" s="1"/>
  <c r="K18" i="4" s="1"/>
  <c r="P78" i="4" l="1"/>
  <c r="Q10" i="5"/>
  <c r="R38" i="4"/>
  <c r="S18" i="3"/>
  <c r="P74" i="4"/>
  <c r="P9" i="5" s="1"/>
  <c r="R12" i="4"/>
  <c r="R11" i="4"/>
  <c r="R10" i="4"/>
  <c r="S6" i="4"/>
  <c r="R28" i="4"/>
  <c r="R75" i="4" s="1"/>
  <c r="R8" i="4"/>
  <c r="R7" i="4" s="1"/>
  <c r="R46" i="4" s="1"/>
  <c r="R79" i="4" s="1"/>
  <c r="R17" i="4"/>
  <c r="P72" i="4"/>
  <c r="P9" i="4"/>
  <c r="N6" i="5"/>
  <c r="N11" i="5" s="1"/>
  <c r="N13" i="5" s="1"/>
  <c r="S77" i="3"/>
  <c r="R95" i="3"/>
  <c r="S84" i="4"/>
  <c r="S91" i="3"/>
  <c r="T91" i="3" s="1"/>
  <c r="S55" i="3"/>
  <c r="S60" i="3" s="1"/>
  <c r="O8" i="5"/>
  <c r="O13" i="4"/>
  <c r="T79" i="3"/>
  <c r="T17" i="3"/>
  <c r="T36" i="4"/>
  <c r="J56" i="4"/>
  <c r="J58" i="4" s="1"/>
  <c r="J71" i="4"/>
  <c r="J81" i="4" s="1"/>
  <c r="J93" i="4" s="1"/>
  <c r="J21" i="3"/>
  <c r="K32" i="4"/>
  <c r="K41" i="4" s="1"/>
  <c r="L67" i="3"/>
  <c r="L68" i="3" s="1"/>
  <c r="L14" i="4" s="1"/>
  <c r="L16" i="4" s="1"/>
  <c r="L18" i="4" s="1"/>
  <c r="P51" i="4"/>
  <c r="P64" i="4" s="1"/>
  <c r="P65" i="4" s="1"/>
  <c r="P89" i="4" s="1"/>
  <c r="P90" i="4" s="1"/>
  <c r="P52" i="3"/>
  <c r="Q72" i="3"/>
  <c r="P73" i="3"/>
  <c r="P35" i="4" s="1"/>
  <c r="R108" i="3"/>
  <c r="Q122" i="3"/>
  <c r="Q124" i="3" s="1"/>
  <c r="R58" i="3"/>
  <c r="R61" i="3" s="1"/>
  <c r="Q64" i="3"/>
  <c r="Q15" i="4" s="1"/>
  <c r="Q51" i="3"/>
  <c r="K19" i="4"/>
  <c r="K20" i="4"/>
  <c r="O39" i="4"/>
  <c r="S106" i="3"/>
  <c r="T98" i="3"/>
  <c r="S31" i="4"/>
  <c r="T16" i="3"/>
  <c r="T31" i="4" s="1"/>
  <c r="R85" i="4"/>
  <c r="R86" i="4" s="1"/>
  <c r="R117" i="3"/>
  <c r="S117" i="3" s="1"/>
  <c r="T117" i="3" s="1"/>
  <c r="P99" i="3"/>
  <c r="O100" i="3"/>
  <c r="O37" i="4" s="1"/>
  <c r="Q78" i="4"/>
  <c r="Q74" i="4" s="1"/>
  <c r="Q9" i="5" s="1"/>
  <c r="Q48" i="4"/>
  <c r="Q53" i="4" s="1"/>
  <c r="I60" i="4"/>
  <c r="T104" i="3"/>
  <c r="T20" i="3"/>
  <c r="T47" i="4" s="1"/>
  <c r="S47" i="4"/>
  <c r="L27" i="4"/>
  <c r="M92" i="4"/>
  <c r="M94" i="4" s="1"/>
  <c r="T18" i="3" l="1"/>
  <c r="T38" i="4" s="1"/>
  <c r="S38" i="4"/>
  <c r="S10" i="4"/>
  <c r="S17" i="4"/>
  <c r="S12" i="4"/>
  <c r="S28" i="4"/>
  <c r="S75" i="4" s="1"/>
  <c r="T6" i="4"/>
  <c r="S11" i="4"/>
  <c r="S8" i="4"/>
  <c r="S7" i="4" s="1"/>
  <c r="R29" i="4"/>
  <c r="R76" i="4" s="1"/>
  <c r="R30" i="4"/>
  <c r="R77" i="4" s="1"/>
  <c r="R45" i="4"/>
  <c r="S58" i="3"/>
  <c r="S61" i="3" s="1"/>
  <c r="R64" i="3"/>
  <c r="R15" i="4" s="1"/>
  <c r="R51" i="3"/>
  <c r="Q72" i="4"/>
  <c r="Q9" i="4"/>
  <c r="R72" i="3"/>
  <c r="Q73" i="3"/>
  <c r="Q35" i="4" s="1"/>
  <c r="O6" i="5"/>
  <c r="O11" i="5" s="1"/>
  <c r="O13" i="5" s="1"/>
  <c r="J60" i="4"/>
  <c r="S108" i="3"/>
  <c r="R122" i="3"/>
  <c r="R124" i="3" s="1"/>
  <c r="T77" i="3"/>
  <c r="S95" i="3"/>
  <c r="S45" i="4"/>
  <c r="S30" i="4"/>
  <c r="S77" i="4" s="1"/>
  <c r="S29" i="4"/>
  <c r="S76" i="4" s="1"/>
  <c r="S46" i="4"/>
  <c r="S79" i="4" s="1"/>
  <c r="Q99" i="3"/>
  <c r="P100" i="3"/>
  <c r="P37" i="4" s="1"/>
  <c r="L19" i="4"/>
  <c r="L20" i="4"/>
  <c r="P39" i="4"/>
  <c r="Q51" i="4"/>
  <c r="Q64" i="4" s="1"/>
  <c r="Q65" i="4" s="1"/>
  <c r="Q89" i="4" s="1"/>
  <c r="Q90" i="4" s="1"/>
  <c r="Q52" i="3"/>
  <c r="N92" i="4"/>
  <c r="N94" i="4" s="1"/>
  <c r="M27" i="4"/>
  <c r="T84" i="4"/>
  <c r="T55" i="3"/>
  <c r="T60" i="3" s="1"/>
  <c r="T92" i="3"/>
  <c r="T106" i="3"/>
  <c r="R78" i="4"/>
  <c r="R48" i="4"/>
  <c r="R53" i="4" s="1"/>
  <c r="P8" i="5"/>
  <c r="P13" i="4"/>
  <c r="K56" i="4"/>
  <c r="K58" i="4" s="1"/>
  <c r="K71" i="4"/>
  <c r="K81" i="4" s="1"/>
  <c r="K93" i="4" s="1"/>
  <c r="K21" i="3"/>
  <c r="R10" i="5"/>
  <c r="L32" i="4"/>
  <c r="L41" i="4" s="1"/>
  <c r="M67" i="3"/>
  <c r="M68" i="3" s="1"/>
  <c r="M14" i="4" s="1"/>
  <c r="M16" i="4" s="1"/>
  <c r="M18" i="4" s="1"/>
  <c r="S118" i="3"/>
  <c r="T118" i="3" s="1"/>
  <c r="S85" i="4"/>
  <c r="S10" i="5" s="1"/>
  <c r="S86" i="4" l="1"/>
  <c r="R74" i="4"/>
  <c r="R9" i="5" s="1"/>
  <c r="T12" i="4"/>
  <c r="T17" i="4"/>
  <c r="T8" i="4"/>
  <c r="T7" i="4" s="1"/>
  <c r="T29" i="4" s="1"/>
  <c r="T76" i="4" s="1"/>
  <c r="T10" i="4"/>
  <c r="T28" i="4"/>
  <c r="T75" i="4" s="1"/>
  <c r="T11" i="4"/>
  <c r="K60" i="4"/>
  <c r="R99" i="3"/>
  <c r="Q100" i="3"/>
  <c r="Q37" i="4" s="1"/>
  <c r="Q39" i="4" s="1"/>
  <c r="T58" i="3"/>
  <c r="T61" i="3" s="1"/>
  <c r="S64" i="3"/>
  <c r="S15" i="4" s="1"/>
  <c r="S51" i="3"/>
  <c r="T85" i="4"/>
  <c r="T86" i="4" s="1"/>
  <c r="T119" i="3"/>
  <c r="S72" i="3"/>
  <c r="R73" i="3"/>
  <c r="R35" i="4" s="1"/>
  <c r="T10" i="5"/>
  <c r="S78" i="4"/>
  <c r="S74" i="4" s="1"/>
  <c r="S9" i="5" s="1"/>
  <c r="S48" i="4"/>
  <c r="S53" i="4" s="1"/>
  <c r="Q8" i="5"/>
  <c r="Q13" i="4"/>
  <c r="M20" i="4"/>
  <c r="M19" i="4"/>
  <c r="N67" i="3"/>
  <c r="N68" i="3" s="1"/>
  <c r="N14" i="4" s="1"/>
  <c r="N16" i="4" s="1"/>
  <c r="N18" i="4" s="1"/>
  <c r="M32" i="4"/>
  <c r="M41" i="4" s="1"/>
  <c r="R72" i="4"/>
  <c r="R9" i="4"/>
  <c r="T46" i="4"/>
  <c r="T79" i="4" s="1"/>
  <c r="T45" i="4"/>
  <c r="T30" i="4"/>
  <c r="T77" i="4" s="1"/>
  <c r="P6" i="5"/>
  <c r="P11" i="5" s="1"/>
  <c r="P13" i="5" s="1"/>
  <c r="O92" i="4"/>
  <c r="O94" i="4" s="1"/>
  <c r="N27" i="4"/>
  <c r="R51" i="4"/>
  <c r="R64" i="4" s="1"/>
  <c r="R65" i="4" s="1"/>
  <c r="R89" i="4" s="1"/>
  <c r="R90" i="4" s="1"/>
  <c r="R52" i="3"/>
  <c r="L56" i="4"/>
  <c r="L58" i="4" s="1"/>
  <c r="L71" i="4"/>
  <c r="L81" i="4" s="1"/>
  <c r="L93" i="4" s="1"/>
  <c r="L21" i="3"/>
  <c r="T95" i="3"/>
  <c r="T108" i="3"/>
  <c r="S122" i="3"/>
  <c r="S124" i="3" s="1"/>
  <c r="T122" i="3" l="1"/>
  <c r="T124" i="3" s="1"/>
  <c r="S72" i="4"/>
  <c r="S9" i="4"/>
  <c r="T51" i="3"/>
  <c r="T64" i="3"/>
  <c r="T15" i="4" s="1"/>
  <c r="L60" i="4"/>
  <c r="T74" i="4"/>
  <c r="T9" i="5" s="1"/>
  <c r="R8" i="5"/>
  <c r="R13" i="4"/>
  <c r="P92" i="4"/>
  <c r="P94" i="4" s="1"/>
  <c r="O27" i="4"/>
  <c r="N20" i="4"/>
  <c r="N19" i="4"/>
  <c r="S51" i="4"/>
  <c r="S64" i="4" s="1"/>
  <c r="S65" i="4" s="1"/>
  <c r="S89" i="4" s="1"/>
  <c r="S90" i="4" s="1"/>
  <c r="S52" i="3"/>
  <c r="Q6" i="5"/>
  <c r="Q11" i="5" s="1"/>
  <c r="Q13" i="5" s="1"/>
  <c r="T78" i="4"/>
  <c r="T48" i="4"/>
  <c r="T53" i="4" s="1"/>
  <c r="T72" i="3"/>
  <c r="T73" i="3" s="1"/>
  <c r="T35" i="4" s="1"/>
  <c r="S73" i="3"/>
  <c r="S35" i="4" s="1"/>
  <c r="M56" i="4"/>
  <c r="M58" i="4" s="1"/>
  <c r="M71" i="4"/>
  <c r="M81" i="4" s="1"/>
  <c r="M93" i="4" s="1"/>
  <c r="M21" i="3"/>
  <c r="S99" i="3"/>
  <c r="R100" i="3"/>
  <c r="R37" i="4" s="1"/>
  <c r="R39" i="4" s="1"/>
  <c r="O67" i="3"/>
  <c r="O68" i="3" s="1"/>
  <c r="O14" i="4" s="1"/>
  <c r="O16" i="4" s="1"/>
  <c r="O18" i="4" s="1"/>
  <c r="N32" i="4"/>
  <c r="N41" i="4" s="1"/>
  <c r="T72" i="4" l="1"/>
  <c r="T9" i="4"/>
  <c r="M60" i="4"/>
  <c r="P67" i="3"/>
  <c r="P68" i="3" s="1"/>
  <c r="P14" i="4" s="1"/>
  <c r="P16" i="4" s="1"/>
  <c r="P18" i="4" s="1"/>
  <c r="O32" i="4"/>
  <c r="O41" i="4" s="1"/>
  <c r="N71" i="4"/>
  <c r="N81" i="4" s="1"/>
  <c r="N93" i="4" s="1"/>
  <c r="N21" i="3"/>
  <c r="N56" i="4"/>
  <c r="N58" i="4" s="1"/>
  <c r="P27" i="4"/>
  <c r="Q92" i="4"/>
  <c r="Q94" i="4" s="1"/>
  <c r="R6" i="5"/>
  <c r="R11" i="5" s="1"/>
  <c r="R13" i="5" s="1"/>
  <c r="O20" i="4"/>
  <c r="O19" i="4"/>
  <c r="T99" i="3"/>
  <c r="T100" i="3" s="1"/>
  <c r="T37" i="4" s="1"/>
  <c r="T39" i="4" s="1"/>
  <c r="S100" i="3"/>
  <c r="S37" i="4" s="1"/>
  <c r="S39" i="4" s="1"/>
  <c r="T51" i="4"/>
  <c r="T64" i="4" s="1"/>
  <c r="T65" i="4" s="1"/>
  <c r="T89" i="4" s="1"/>
  <c r="T90" i="4" s="1"/>
  <c r="T52" i="3"/>
  <c r="T8" i="5"/>
  <c r="T13" i="4"/>
  <c r="S8" i="5"/>
  <c r="S13" i="4"/>
  <c r="N60" i="4" l="1"/>
  <c r="S6" i="5"/>
  <c r="S11" i="5" s="1"/>
  <c r="S13" i="5" s="1"/>
  <c r="Q67" i="3"/>
  <c r="Q68" i="3" s="1"/>
  <c r="Q14" i="4" s="1"/>
  <c r="Q16" i="4" s="1"/>
  <c r="Q18" i="4" s="1"/>
  <c r="P32" i="4"/>
  <c r="P41" i="4" s="1"/>
  <c r="T6" i="5"/>
  <c r="T11" i="5" s="1"/>
  <c r="T13" i="5" s="1"/>
  <c r="C17" i="5" s="1"/>
  <c r="C19" i="5" s="1"/>
  <c r="C22" i="5" s="1"/>
  <c r="C27" i="5" s="1"/>
  <c r="O56" i="4"/>
  <c r="O58" i="4" s="1"/>
  <c r="O71" i="4"/>
  <c r="O81" i="4" s="1"/>
  <c r="O93" i="4" s="1"/>
  <c r="O21" i="3"/>
  <c r="R92" i="4"/>
  <c r="R94" i="4" s="1"/>
  <c r="Q27" i="4"/>
  <c r="P19" i="4"/>
  <c r="P20" i="4"/>
  <c r="O60" i="4" l="1"/>
  <c r="R27" i="4"/>
  <c r="S92" i="4"/>
  <c r="S94" i="4" s="1"/>
  <c r="Q32" i="4"/>
  <c r="Q41" i="4" s="1"/>
  <c r="R67" i="3"/>
  <c r="R68" i="3" s="1"/>
  <c r="R14" i="4" s="1"/>
  <c r="R16" i="4" s="1"/>
  <c r="R18" i="4" s="1"/>
  <c r="Q19" i="4"/>
  <c r="Q20" i="4"/>
  <c r="P71" i="4"/>
  <c r="P81" i="4" s="1"/>
  <c r="P93" i="4" s="1"/>
  <c r="P21" i="3"/>
  <c r="P56" i="4"/>
  <c r="P58" i="4" s="1"/>
  <c r="P60" i="4" l="1"/>
  <c r="Q71" i="4"/>
  <c r="Q81" i="4" s="1"/>
  <c r="Q93" i="4" s="1"/>
  <c r="Q56" i="4"/>
  <c r="Q58" i="4" s="1"/>
  <c r="Q21" i="3"/>
  <c r="R20" i="4"/>
  <c r="R19" i="4"/>
  <c r="S27" i="4"/>
  <c r="T92" i="4"/>
  <c r="T94" i="4" s="1"/>
  <c r="T27" i="4" s="1"/>
  <c r="T32" i="4" s="1"/>
  <c r="T41" i="4" s="1"/>
  <c r="R32" i="4"/>
  <c r="R41" i="4" s="1"/>
  <c r="S67" i="3"/>
  <c r="S68" i="3" s="1"/>
  <c r="S14" i="4" s="1"/>
  <c r="S16" i="4" s="1"/>
  <c r="S18" i="4" s="1"/>
  <c r="Q60" i="4" l="1"/>
  <c r="R71" i="4"/>
  <c r="R81" i="4" s="1"/>
  <c r="R93" i="4" s="1"/>
  <c r="R21" i="3"/>
  <c r="R56" i="4"/>
  <c r="R58" i="4" s="1"/>
  <c r="S20" i="4"/>
  <c r="S19" i="4"/>
  <c r="S32" i="4"/>
  <c r="S41" i="4" s="1"/>
  <c r="T67" i="3"/>
  <c r="T68" i="3" s="1"/>
  <c r="T14" i="4" s="1"/>
  <c r="T16" i="4" s="1"/>
  <c r="T18" i="4" s="1"/>
  <c r="R60" i="4" l="1"/>
  <c r="T19" i="4"/>
  <c r="T20" i="4"/>
  <c r="S71" i="4"/>
  <c r="S81" i="4" s="1"/>
  <c r="S93" i="4" s="1"/>
  <c r="S56" i="4"/>
  <c r="S58" i="4" s="1"/>
  <c r="S21" i="3"/>
  <c r="S60" i="4" l="1"/>
  <c r="T71" i="4"/>
  <c r="T81" i="4" s="1"/>
  <c r="T93" i="4" s="1"/>
  <c r="T56" i="4"/>
  <c r="T58" i="4" s="1"/>
  <c r="T60" i="4" s="1"/>
  <c r="T21" i="3"/>
</calcChain>
</file>

<file path=xl/sharedStrings.xml><?xml version="1.0" encoding="utf-8"?>
<sst xmlns="http://schemas.openxmlformats.org/spreadsheetml/2006/main" count="319" uniqueCount="198">
  <si>
    <t>Income Statement（RMB）</t>
  </si>
  <si>
    <t>Operating Revenue</t>
  </si>
  <si>
    <t>Cost of Good Sold</t>
  </si>
  <si>
    <t>Selling, general and administrative</t>
  </si>
  <si>
    <t>R&amp;D Expense</t>
  </si>
  <si>
    <t>Operating Income</t>
  </si>
  <si>
    <t>Interest Income</t>
  </si>
  <si>
    <t>Interest Expense</t>
  </si>
  <si>
    <t>Earnings Before Tax</t>
  </si>
  <si>
    <t>Net Income</t>
  </si>
  <si>
    <t>Balance Sheet（RMB）</t>
  </si>
  <si>
    <t>Current Asset</t>
  </si>
  <si>
    <t>Cash and Cash Equiviliants</t>
  </si>
  <si>
    <t>Accounts Receivable</t>
  </si>
  <si>
    <t>Inventory</t>
  </si>
  <si>
    <t>Prepaid Expense</t>
  </si>
  <si>
    <t xml:space="preserve"> Total current assets</t>
  </si>
  <si>
    <t>Non-current Asset</t>
  </si>
  <si>
    <t>Property, Plant &amp; Equipment</t>
  </si>
  <si>
    <t>Goodwill</t>
  </si>
  <si>
    <t>Intangibles</t>
  </si>
  <si>
    <t>Total non current assets</t>
  </si>
  <si>
    <t>TOTAL ASSETS</t>
  </si>
  <si>
    <t>Current Liability</t>
  </si>
  <si>
    <t>Short-term Borrowings</t>
  </si>
  <si>
    <t>Accounts Payable</t>
  </si>
  <si>
    <t>Accured Expense</t>
  </si>
  <si>
    <t xml:space="preserve"> Total current liabilities</t>
  </si>
  <si>
    <t>Non-current Liability</t>
  </si>
  <si>
    <t xml:space="preserve"> Total non-current liabilities</t>
  </si>
  <si>
    <t xml:space="preserve"> Total Liabilities</t>
  </si>
  <si>
    <t>Equity</t>
  </si>
  <si>
    <t xml:space="preserve"> Total Equity</t>
  </si>
  <si>
    <t>TOTAL LIABILITIES &amp; EQUITY</t>
  </si>
  <si>
    <t>Universal Capital: BankerGPT</t>
  </si>
  <si>
    <t>Company Name</t>
  </si>
  <si>
    <t>Currency Unit</t>
  </si>
  <si>
    <t>RMB Thousand</t>
  </si>
  <si>
    <t>Acutual</t>
  </si>
  <si>
    <t>Predict Period</t>
  </si>
  <si>
    <t>Universal Capital：BankerGPT</t>
  </si>
  <si>
    <t>2018A</t>
  </si>
  <si>
    <t>2019A</t>
  </si>
  <si>
    <t>2020A</t>
  </si>
  <si>
    <t>2021A</t>
  </si>
  <si>
    <t>2022A</t>
  </si>
  <si>
    <t>2023E</t>
  </si>
  <si>
    <t>2024E</t>
  </si>
  <si>
    <t>2025E</t>
  </si>
  <si>
    <t>2026E</t>
  </si>
  <si>
    <t>2027E</t>
  </si>
  <si>
    <t>2028E</t>
  </si>
  <si>
    <t>2029E</t>
  </si>
  <si>
    <t>2030E</t>
  </si>
  <si>
    <t>2031E</t>
  </si>
  <si>
    <t>2032E</t>
  </si>
  <si>
    <t>2033E</t>
  </si>
  <si>
    <t>2034E</t>
  </si>
  <si>
    <t>2035E</t>
  </si>
  <si>
    <t>Income Statement</t>
  </si>
  <si>
    <t>Operating Revenue Growth</t>
  </si>
  <si>
    <t>Gross Profit Margin</t>
  </si>
  <si>
    <t>Selling, general and administrative Margin</t>
  </si>
  <si>
    <t>R&amp;D Expense margin</t>
  </si>
  <si>
    <t>Other Operating Expense margin</t>
  </si>
  <si>
    <t>Interest Expense Rate</t>
  </si>
  <si>
    <t>Interest Income rate</t>
  </si>
  <si>
    <t>Other Income Expense</t>
  </si>
  <si>
    <t>Tax rate</t>
  </si>
  <si>
    <t>Balance Sheet</t>
  </si>
  <si>
    <t>Other Current Assets</t>
  </si>
  <si>
    <t>Other Non-current Assets</t>
  </si>
  <si>
    <t>Other Current Liabilities</t>
  </si>
  <si>
    <t>Retained Earnings</t>
  </si>
  <si>
    <t>Gross PPE Growth</t>
  </si>
  <si>
    <t>Other Intangilbles(gross) growth</t>
  </si>
  <si>
    <t>New PPE Depreciation year</t>
  </si>
  <si>
    <t>New Intengible asset Depreciation year</t>
  </si>
  <si>
    <t>New PP&amp;E through Debt</t>
  </si>
  <si>
    <t>Working Capital Ratios</t>
  </si>
  <si>
    <t xml:space="preserve">Investory </t>
  </si>
  <si>
    <t>COGS</t>
  </si>
  <si>
    <t xml:space="preserve">account Recivable </t>
  </si>
  <si>
    <t>Revenue</t>
  </si>
  <si>
    <t xml:space="preserve">account Payable </t>
  </si>
  <si>
    <t>Other Assumptions</t>
  </si>
  <si>
    <t>D&amp;A Acutual Numbers</t>
  </si>
  <si>
    <t>Existing Depreciation year</t>
  </si>
  <si>
    <t>Existing Amortisation year</t>
  </si>
  <si>
    <t>DCF Assumptions</t>
  </si>
  <si>
    <t>Terminal Growth Rate</t>
  </si>
  <si>
    <t>Risk Free Rate</t>
  </si>
  <si>
    <t>Implied Equity Premium</t>
  </si>
  <si>
    <t>Unlevered Beta</t>
  </si>
  <si>
    <t>Cost of Debt</t>
  </si>
  <si>
    <t>Market Value of Debt</t>
  </si>
  <si>
    <t>Market Value of Equity</t>
  </si>
  <si>
    <t>Total Shares</t>
  </si>
  <si>
    <t>Debt Schedule</t>
  </si>
  <si>
    <t>Non-Current Liabilities</t>
  </si>
  <si>
    <t>Total Debt</t>
  </si>
  <si>
    <t>New Non current liabilities</t>
  </si>
  <si>
    <t>Debt</t>
  </si>
  <si>
    <t>Beginig Balance</t>
  </si>
  <si>
    <t>Debt repayment</t>
  </si>
  <si>
    <t>Debt borrowed</t>
  </si>
  <si>
    <t>Ending debt balance</t>
  </si>
  <si>
    <t>Interest expense</t>
  </si>
  <si>
    <t>Cash</t>
  </si>
  <si>
    <t>Cash Beginning Balance</t>
  </si>
  <si>
    <t>Interest income</t>
  </si>
  <si>
    <t>PP&amp;E Schedule</t>
  </si>
  <si>
    <t>Gross PP&amp;E</t>
  </si>
  <si>
    <t>Accumulated Depreciation</t>
  </si>
  <si>
    <t>Net PP&amp;E</t>
  </si>
  <si>
    <t>Existing PP&amp;E</t>
  </si>
  <si>
    <t>Deprecaition year</t>
  </si>
  <si>
    <t>Depreciation</t>
  </si>
  <si>
    <t>New PP&amp;E</t>
  </si>
  <si>
    <t>Total Depreciation</t>
  </si>
  <si>
    <t>Amoritisation</t>
  </si>
  <si>
    <t>Other Intangilbles(gross)</t>
  </si>
  <si>
    <t>Accumulated Amortization</t>
  </si>
  <si>
    <t>Other Intangilbles</t>
  </si>
  <si>
    <t>Existing Intangibles</t>
  </si>
  <si>
    <t>Amortization year</t>
  </si>
  <si>
    <t>Amortization</t>
  </si>
  <si>
    <t>Purchase of Intangibles</t>
  </si>
  <si>
    <t>Total Amortisation</t>
  </si>
  <si>
    <t>Total Depreciation and Amortisation</t>
  </si>
  <si>
    <t>unit</t>
  </si>
  <si>
    <t>Gross Profit</t>
  </si>
  <si>
    <t>Dpreciation and Amotisation</t>
  </si>
  <si>
    <t>Other Operating Expense</t>
  </si>
  <si>
    <t>Net Interest Expense</t>
  </si>
  <si>
    <t>Other Income Expense Net</t>
  </si>
  <si>
    <t>Tax Provision</t>
  </si>
  <si>
    <t>Net Property, Plant &amp; Equipment</t>
  </si>
  <si>
    <t>Other Intangibles</t>
  </si>
  <si>
    <t xml:space="preserve">Debt </t>
  </si>
  <si>
    <t>Non-current debt</t>
  </si>
  <si>
    <t>Cash Flow Statement</t>
  </si>
  <si>
    <t>in USD</t>
  </si>
  <si>
    <t>Cash Flow From Operations</t>
  </si>
  <si>
    <t>Depreciation &amp; Amortization</t>
  </si>
  <si>
    <t>Change in Working Capital</t>
  </si>
  <si>
    <t>Changes in:</t>
  </si>
  <si>
    <t>Account Receivable</t>
  </si>
  <si>
    <t>Account Payable</t>
  </si>
  <si>
    <t>Total Operating Cash Flow</t>
  </si>
  <si>
    <t>Cash Flow From Investing Activities</t>
  </si>
  <si>
    <t>Capex (purchases of new PP&amp;E)</t>
  </si>
  <si>
    <t>Capex (purchases of intengible asset)</t>
  </si>
  <si>
    <t>Total Investment Cash Flow</t>
  </si>
  <si>
    <t>Net Cash Flow From Financing Activities</t>
  </si>
  <si>
    <t>Net borrwing</t>
  </si>
  <si>
    <t>Total Financing Cash Flow</t>
  </si>
  <si>
    <t>Beginning Cash Balance</t>
  </si>
  <si>
    <t>Cash Changes</t>
  </si>
  <si>
    <t>Ending Cash Balance</t>
  </si>
  <si>
    <t>Profitability</t>
  </si>
  <si>
    <t>Gross Margin:</t>
  </si>
  <si>
    <t>Operating Margin</t>
  </si>
  <si>
    <t>ROCE</t>
  </si>
  <si>
    <t>ROE</t>
  </si>
  <si>
    <t>Efficiency</t>
  </si>
  <si>
    <t>Non- Current Asset Turnover</t>
  </si>
  <si>
    <t>Net Asset Turnover</t>
  </si>
  <si>
    <t xml:space="preserve">Investory Days </t>
  </si>
  <si>
    <t>Trade Recivable Days</t>
  </si>
  <si>
    <t>Trade Payable Days</t>
  </si>
  <si>
    <t>Liquidity</t>
  </si>
  <si>
    <t>Current Asset cover Current Liabilities</t>
  </si>
  <si>
    <t>Current Asset-Inventory Cover Current Liabilities</t>
  </si>
  <si>
    <t>Operating Cash flow Cover Current Liabilities</t>
  </si>
  <si>
    <t>Gearing</t>
  </si>
  <si>
    <t>Debt/Total Capital Employeed</t>
  </si>
  <si>
    <t>Operating Profit/Interest Expense</t>
  </si>
  <si>
    <t>Free Cash Flow</t>
  </si>
  <si>
    <t>Accured</t>
  </si>
  <si>
    <t>Estimate</t>
  </si>
  <si>
    <t>EBIT</t>
  </si>
  <si>
    <t>Dpreciation &amp; Amortisation</t>
  </si>
  <si>
    <t>Capex</t>
  </si>
  <si>
    <t>Discount Factor</t>
  </si>
  <si>
    <t>PV</t>
  </si>
  <si>
    <t>Terminal Value</t>
  </si>
  <si>
    <t>Present Value</t>
  </si>
  <si>
    <t>Enterprise Value</t>
  </si>
  <si>
    <t>Cash on Balance Sheet</t>
  </si>
  <si>
    <t>Implied Value of Equity</t>
  </si>
  <si>
    <t>Cost of Equity</t>
  </si>
  <si>
    <t>Current Share Price</t>
  </si>
  <si>
    <t>Implied Share Price</t>
  </si>
  <si>
    <t>Cost of Capital (WACC)</t>
  </si>
  <si>
    <t>Capital</t>
  </si>
  <si>
    <t>D/C</t>
  </si>
  <si>
    <t>E/C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</si>
</sst>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.0_);\(#,##0.0\);0.0_);@_)"/>
    <numFmt numFmtId="165" formatCode="0.0%"/>
    <numFmt numFmtId="166" formatCode="_ * #,##0.0_ ;_ * \-#,##0.0_ ;_ * &quot;-&quot;??_ ;_ @_ "/>
    <numFmt numFmtId="167" formatCode="0.0"/>
    <numFmt numFmtId="168" formatCode="#,##0.0_);\(#,##0.0\)"/>
    <numFmt numFmtId="169" formatCode="#,##0.000000_);\(#,##0.000000\)"/>
    <numFmt numFmtId="170" formatCode="0\x"/>
    <numFmt numFmtId="171" formatCode="_(* #,##0_);_(* \(#,##0\);_(* &quot;-&quot;??_);_(@_)"/>
    <numFmt numFmtId="172" formatCode="_([$$-409]* #,##0.00_);_([$$-409]* \(#,##0.00\);_([$$-409]* &quot;-&quot;??_);_(@_)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rgb="FFC00000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name val="Times New Roman"/>
      <family val="1"/>
    </font>
    <font>
      <b/>
      <sz val="11"/>
      <name val="Times New Roman Bold"/>
      <family val="1"/>
    </font>
    <font>
      <b/>
      <sz val="14"/>
      <color theme="1"/>
      <name val="Times New Roman"/>
      <family val="1"/>
    </font>
    <font>
      <sz val="11"/>
      <name val="Times New Roman Bold"/>
      <family val="1"/>
    </font>
    <font>
      <b/>
      <sz val="11"/>
      <color theme="0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sz val="11"/>
      <color rgb="FF000000"/>
      <name val="Times New Roman"/>
      <family val="1"/>
    </font>
    <font>
      <sz val="10"/>
      <color indexed="12"/>
      <name val="Arial"/>
      <family val="2"/>
    </font>
    <font>
      <sz val="11"/>
      <color rgb="FF008000"/>
      <name val="Times New Roman"/>
      <family val="1"/>
    </font>
    <font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4"/>
      <name val="Times New Roman"/>
      <family val="1"/>
    </font>
    <font>
      <sz val="11"/>
      <color theme="4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i/>
      <sz val="1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8" fontId="1" fillId="0" borderId="0"/>
    <xf numFmtId="164" fontId="1" fillId="0" borderId="0"/>
    <xf numFmtId="9" fontId="17" fillId="0" borderId="0">
      <alignment vertical="center"/>
    </xf>
    <xf numFmtId="43" fontId="17" fillId="0" borderId="0">
      <alignment vertical="center"/>
    </xf>
    <xf numFmtId="164" fontId="20" fillId="0" borderId="0"/>
  </cellStyleXfs>
  <cellXfs count="161">
    <xf numFmtId="0" fontId="0" fillId="0" borderId="0" xfId="0"/>
    <xf numFmtId="164" fontId="3" fillId="3" borderId="0" xfId="0" applyNumberFormat="1" applyFont="1" applyFill="1"/>
    <xf numFmtId="0" fontId="4" fillId="3" borderId="0" xfId="0" applyFont="1" applyFill="1" applyAlignment="1">
      <alignment horizontal="left"/>
    </xf>
    <xf numFmtId="164" fontId="5" fillId="3" borderId="0" xfId="0" applyNumberFormat="1" applyFont="1" applyFill="1"/>
    <xf numFmtId="164" fontId="6" fillId="4" borderId="0" xfId="1" applyNumberFormat="1" applyFont="1" applyFill="1"/>
    <xf numFmtId="164" fontId="7" fillId="4" borderId="0" xfId="0" applyNumberFormat="1" applyFont="1" applyFill="1"/>
    <xf numFmtId="164" fontId="8" fillId="2" borderId="0" xfId="0" applyNumberFormat="1" applyFont="1" applyFill="1"/>
    <xf numFmtId="164" fontId="5" fillId="2" borderId="0" xfId="0" applyNumberFormat="1" applyFont="1" applyFill="1"/>
    <xf numFmtId="164" fontId="9" fillId="2" borderId="0" xfId="0" applyNumberFormat="1" applyFont="1" applyFill="1"/>
    <xf numFmtId="164" fontId="9" fillId="3" borderId="0" xfId="0" applyNumberFormat="1" applyFont="1" applyFill="1"/>
    <xf numFmtId="164" fontId="11" fillId="2" borderId="0" xfId="0" applyNumberFormat="1" applyFont="1" applyFill="1"/>
    <xf numFmtId="164" fontId="9" fillId="2" borderId="1" xfId="0" applyNumberFormat="1" applyFont="1" applyFill="1" applyBorder="1"/>
    <xf numFmtId="164" fontId="9" fillId="3" borderId="1" xfId="0" applyNumberFormat="1" applyFont="1" applyFill="1" applyBorder="1"/>
    <xf numFmtId="164" fontId="8" fillId="2" borderId="0" xfId="0" applyNumberFormat="1" applyFont="1" applyFill="1" applyAlignment="1">
      <alignment horizontal="left"/>
    </xf>
    <xf numFmtId="164" fontId="8" fillId="2" borderId="1" xfId="0" applyNumberFormat="1" applyFont="1" applyFill="1" applyBorder="1"/>
    <xf numFmtId="164" fontId="5" fillId="3" borderId="1" xfId="0" applyNumberFormat="1" applyFont="1" applyFill="1" applyBorder="1"/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6" fillId="4" borderId="0" xfId="1" applyNumberFormat="1" applyFont="1" applyFill="1"/>
    <xf numFmtId="0" fontId="7" fillId="4" borderId="0" xfId="0" applyFont="1" applyFill="1"/>
    <xf numFmtId="164" fontId="2" fillId="6" borderId="0" xfId="1" applyNumberFormat="1" applyFont="1" applyFill="1"/>
    <xf numFmtId="164" fontId="3" fillId="7" borderId="0" xfId="0" applyNumberFormat="1" applyFont="1" applyFill="1"/>
    <xf numFmtId="164" fontId="10" fillId="6" borderId="0" xfId="1" applyNumberFormat="1" applyFont="1" applyFill="1"/>
    <xf numFmtId="0" fontId="13" fillId="0" borderId="0" xfId="0" applyFont="1" applyAlignment="1">
      <alignment horizontal="left" vertical="center"/>
    </xf>
    <xf numFmtId="0" fontId="14" fillId="0" borderId="0" xfId="0" applyFont="1"/>
    <xf numFmtId="0" fontId="0" fillId="0" borderId="0" xfId="0" applyAlignment="1">
      <alignment vertical="center"/>
    </xf>
    <xf numFmtId="37" fontId="16" fillId="3" borderId="0" xfId="0" applyNumberFormat="1" applyFont="1" applyFill="1"/>
    <xf numFmtId="0" fontId="7" fillId="4" borderId="0" xfId="0" applyFont="1" applyFill="1" applyAlignment="1">
      <alignment horizontal="center"/>
    </xf>
    <xf numFmtId="3" fontId="0" fillId="0" borderId="0" xfId="0" applyNumberFormat="1"/>
    <xf numFmtId="164" fontId="8" fillId="3" borderId="1" xfId="0" applyNumberFormat="1" applyFont="1" applyFill="1" applyBorder="1"/>
    <xf numFmtId="164" fontId="5" fillId="2" borderId="0" xfId="0" applyNumberFormat="1" applyFont="1" applyFill="1" applyAlignment="1">
      <alignment horizontal="right"/>
    </xf>
    <xf numFmtId="9" fontId="16" fillId="3" borderId="0" xfId="3" applyFont="1" applyFill="1" applyAlignment="1"/>
    <xf numFmtId="10" fontId="16" fillId="3" borderId="0" xfId="3" applyNumberFormat="1" applyFont="1" applyFill="1" applyAlignment="1"/>
    <xf numFmtId="9" fontId="0" fillId="0" borderId="0" xfId="3" applyFont="1" applyAlignment="1"/>
    <xf numFmtId="0" fontId="0" fillId="0" borderId="2" xfId="0" applyBorder="1"/>
    <xf numFmtId="164" fontId="8" fillId="3" borderId="0" xfId="0" applyNumberFormat="1" applyFont="1" applyFill="1"/>
    <xf numFmtId="164" fontId="8" fillId="10" borderId="0" xfId="0" applyNumberFormat="1" applyFont="1" applyFill="1"/>
    <xf numFmtId="164" fontId="5" fillId="10" borderId="0" xfId="0" applyNumberFormat="1" applyFont="1" applyFill="1"/>
    <xf numFmtId="164" fontId="19" fillId="10" borderId="0" xfId="0" applyNumberFormat="1" applyFont="1" applyFill="1"/>
    <xf numFmtId="164" fontId="9" fillId="10" borderId="0" xfId="0" applyNumberFormat="1" applyFont="1" applyFill="1"/>
    <xf numFmtId="164" fontId="18" fillId="10" borderId="0" xfId="5" applyFont="1" applyFill="1"/>
    <xf numFmtId="164" fontId="21" fillId="10" borderId="0" xfId="0" applyNumberFormat="1" applyFont="1" applyFill="1"/>
    <xf numFmtId="164" fontId="5" fillId="10" borderId="2" xfId="0" applyNumberFormat="1" applyFont="1" applyFill="1" applyBorder="1"/>
    <xf numFmtId="164" fontId="5" fillId="10" borderId="7" xfId="0" applyNumberFormat="1" applyFont="1" applyFill="1" applyBorder="1"/>
    <xf numFmtId="164" fontId="5" fillId="10" borderId="0" xfId="2" applyFont="1" applyFill="1"/>
    <xf numFmtId="164" fontId="22" fillId="10" borderId="0" xfId="0" applyNumberFormat="1" applyFont="1" applyFill="1"/>
    <xf numFmtId="9" fontId="18" fillId="0" borderId="0" xfId="3" applyFont="1" applyAlignment="1"/>
    <xf numFmtId="0" fontId="8" fillId="2" borderId="0" xfId="0" applyFont="1" applyFill="1"/>
    <xf numFmtId="164" fontId="19" fillId="2" borderId="0" xfId="0" applyNumberFormat="1" applyFont="1" applyFill="1"/>
    <xf numFmtId="164" fontId="19" fillId="9" borderId="0" xfId="0" applyNumberFormat="1" applyFont="1" applyFill="1"/>
    <xf numFmtId="0" fontId="5" fillId="2" borderId="0" xfId="0" applyFont="1" applyFill="1"/>
    <xf numFmtId="164" fontId="19" fillId="12" borderId="0" xfId="0" applyNumberFormat="1" applyFont="1" applyFill="1"/>
    <xf numFmtId="164" fontId="8" fillId="2" borderId="8" xfId="0" applyNumberFormat="1" applyFont="1" applyFill="1" applyBorder="1"/>
    <xf numFmtId="165" fontId="5" fillId="2" borderId="0" xfId="3" applyNumberFormat="1" applyFont="1" applyFill="1" applyAlignment="1"/>
    <xf numFmtId="164" fontId="23" fillId="3" borderId="0" xfId="0" applyNumberFormat="1" applyFont="1" applyFill="1"/>
    <xf numFmtId="166" fontId="18" fillId="11" borderId="3" xfId="4" applyNumberFormat="1" applyFont="1" applyFill="1" applyBorder="1" applyAlignment="1"/>
    <xf numFmtId="164" fontId="19" fillId="3" borderId="0" xfId="0" applyNumberFormat="1" applyFont="1" applyFill="1"/>
    <xf numFmtId="10" fontId="19" fillId="3" borderId="0" xfId="3" applyNumberFormat="1" applyFont="1" applyFill="1" applyAlignment="1"/>
    <xf numFmtId="164" fontId="5" fillId="3" borderId="0" xfId="0" applyNumberFormat="1" applyFont="1" applyFill="1" applyAlignment="1">
      <alignment horizontal="right"/>
    </xf>
    <xf numFmtId="164" fontId="5" fillId="2" borderId="2" xfId="0" applyNumberFormat="1" applyFont="1" applyFill="1" applyBorder="1"/>
    <xf numFmtId="164" fontId="23" fillId="2" borderId="1" xfId="0" applyNumberFormat="1" applyFont="1" applyFill="1" applyBorder="1"/>
    <xf numFmtId="164" fontId="8" fillId="13" borderId="0" xfId="0" applyNumberFormat="1" applyFont="1" applyFill="1"/>
    <xf numFmtId="164" fontId="5" fillId="13" borderId="0" xfId="0" applyNumberFormat="1" applyFont="1" applyFill="1"/>
    <xf numFmtId="164" fontId="5" fillId="14" borderId="0" xfId="0" applyNumberFormat="1" applyFont="1" applyFill="1" applyAlignment="1">
      <alignment horizontal="right"/>
    </xf>
    <xf numFmtId="164" fontId="24" fillId="2" borderId="0" xfId="0" applyNumberFormat="1" applyFont="1" applyFill="1"/>
    <xf numFmtId="164" fontId="25" fillId="2" borderId="0" xfId="0" applyNumberFormat="1" applyFont="1" applyFill="1"/>
    <xf numFmtId="0" fontId="5" fillId="2" borderId="9" xfId="0" applyFont="1" applyFill="1" applyBorder="1"/>
    <xf numFmtId="164" fontId="5" fillId="2" borderId="9" xfId="0" applyNumberFormat="1" applyFont="1" applyFill="1" applyBorder="1"/>
    <xf numFmtId="164" fontId="19" fillId="2" borderId="9" xfId="0" applyNumberFormat="1" applyFont="1" applyFill="1" applyBorder="1"/>
    <xf numFmtId="164" fontId="19" fillId="12" borderId="9" xfId="0" applyNumberFormat="1" applyFont="1" applyFill="1" applyBorder="1"/>
    <xf numFmtId="164" fontId="21" fillId="2" borderId="0" xfId="0" applyNumberFormat="1" applyFont="1" applyFill="1"/>
    <xf numFmtId="164" fontId="5" fillId="0" borderId="0" xfId="0" applyNumberFormat="1" applyFont="1"/>
    <xf numFmtId="37" fontId="16" fillId="0" borderId="0" xfId="0" applyNumberFormat="1" applyFont="1"/>
    <xf numFmtId="0" fontId="25" fillId="0" borderId="0" xfId="0" applyFont="1"/>
    <xf numFmtId="0" fontId="25" fillId="0" borderId="0" xfId="0" applyFont="1" applyAlignment="1">
      <alignment horizontal="left"/>
    </xf>
    <xf numFmtId="167" fontId="25" fillId="0" borderId="0" xfId="0" applyNumberFormat="1" applyFont="1"/>
    <xf numFmtId="9" fontId="16" fillId="0" borderId="0" xfId="0" applyNumberFormat="1" applyFont="1"/>
    <xf numFmtId="164" fontId="8" fillId="0" borderId="0" xfId="0" applyNumberFormat="1" applyFont="1"/>
    <xf numFmtId="9" fontId="26" fillId="8" borderId="3" xfId="3" applyFont="1" applyFill="1" applyBorder="1" applyAlignment="1"/>
    <xf numFmtId="164" fontId="27" fillId="9" borderId="3" xfId="0" applyNumberFormat="1" applyFont="1" applyFill="1" applyBorder="1"/>
    <xf numFmtId="9" fontId="27" fillId="9" borderId="3" xfId="0" applyNumberFormat="1" applyFont="1" applyFill="1" applyBorder="1"/>
    <xf numFmtId="0" fontId="27" fillId="0" borderId="0" xfId="0" applyFont="1"/>
    <xf numFmtId="2" fontId="27" fillId="8" borderId="3" xfId="0" applyNumberFormat="1" applyFont="1" applyFill="1" applyBorder="1"/>
    <xf numFmtId="164" fontId="5" fillId="2" borderId="0" xfId="0" applyNumberFormat="1" applyFont="1" applyFill="1" applyAlignment="1">
      <alignment horizontal="left"/>
    </xf>
    <xf numFmtId="164" fontId="9" fillId="2" borderId="7" xfId="0" applyNumberFormat="1" applyFont="1" applyFill="1" applyBorder="1"/>
    <xf numFmtId="164" fontId="11" fillId="2" borderId="7" xfId="0" applyNumberFormat="1" applyFont="1" applyFill="1" applyBorder="1"/>
    <xf numFmtId="9" fontId="5" fillId="0" borderId="0" xfId="3" applyFont="1" applyAlignment="1"/>
    <xf numFmtId="168" fontId="25" fillId="0" borderId="0" xfId="0" applyNumberFormat="1" applyFont="1"/>
    <xf numFmtId="0" fontId="28" fillId="0" borderId="0" xfId="0" applyFont="1"/>
    <xf numFmtId="169" fontId="0" fillId="0" borderId="0" xfId="0" applyNumberFormat="1"/>
    <xf numFmtId="0" fontId="25" fillId="0" borderId="3" xfId="0" applyFont="1" applyBorder="1" applyAlignment="1">
      <alignment horizontal="left"/>
    </xf>
    <xf numFmtId="43" fontId="25" fillId="0" borderId="3" xfId="4" applyFont="1" applyBorder="1" applyAlignment="1"/>
    <xf numFmtId="9" fontId="25" fillId="0" borderId="3" xfId="3" applyFont="1" applyBorder="1" applyAlignment="1"/>
    <xf numFmtId="0" fontId="25" fillId="0" borderId="3" xfId="0" applyFont="1" applyBorder="1"/>
    <xf numFmtId="170" fontId="25" fillId="0" borderId="3" xfId="3" applyNumberFormat="1" applyFont="1" applyBorder="1" applyAlignment="1"/>
    <xf numFmtId="0" fontId="0" fillId="3" borderId="0" xfId="0" applyFill="1"/>
    <xf numFmtId="164" fontId="3" fillId="3" borderId="10" xfId="0" applyNumberFormat="1" applyFont="1" applyFill="1" applyBorder="1"/>
    <xf numFmtId="164" fontId="7" fillId="4" borderId="10" xfId="0" applyNumberFormat="1" applyFont="1" applyFill="1" applyBorder="1"/>
    <xf numFmtId="37" fontId="16" fillId="3" borderId="10" xfId="0" applyNumberFormat="1" applyFont="1" applyFill="1" applyBorder="1"/>
    <xf numFmtId="9" fontId="16" fillId="3" borderId="0" xfId="0" applyNumberFormat="1" applyFont="1" applyFill="1"/>
    <xf numFmtId="9" fontId="16" fillId="3" borderId="10" xfId="0" applyNumberFormat="1" applyFont="1" applyFill="1" applyBorder="1"/>
    <xf numFmtId="37" fontId="16" fillId="3" borderId="2" xfId="0" applyNumberFormat="1" applyFont="1" applyFill="1" applyBorder="1"/>
    <xf numFmtId="37" fontId="16" fillId="3" borderId="12" xfId="0" applyNumberFormat="1" applyFont="1" applyFill="1" applyBorder="1"/>
    <xf numFmtId="37" fontId="29" fillId="3" borderId="10" xfId="0" applyNumberFormat="1" applyFont="1" applyFill="1" applyBorder="1"/>
    <xf numFmtId="37" fontId="29" fillId="3" borderId="0" xfId="0" applyNumberFormat="1" applyFont="1" applyFill="1"/>
    <xf numFmtId="37" fontId="16" fillId="3" borderId="3" xfId="0" applyNumberFormat="1" applyFont="1" applyFill="1" applyBorder="1"/>
    <xf numFmtId="0" fontId="25" fillId="3" borderId="0" xfId="0" applyFont="1" applyFill="1"/>
    <xf numFmtId="37" fontId="25" fillId="3" borderId="4" xfId="0" applyNumberFormat="1" applyFont="1" applyFill="1" applyBorder="1"/>
    <xf numFmtId="37" fontId="25" fillId="3" borderId="5" xfId="0" applyNumberFormat="1" applyFont="1" applyFill="1" applyBorder="1"/>
    <xf numFmtId="0" fontId="24" fillId="3" borderId="0" xfId="0" applyFont="1" applyFill="1"/>
    <xf numFmtId="37" fontId="24" fillId="3" borderId="6" xfId="0" applyNumberFormat="1" applyFont="1" applyFill="1" applyBorder="1"/>
    <xf numFmtId="37" fontId="25" fillId="3" borderId="6" xfId="0" applyNumberFormat="1" applyFont="1" applyFill="1" applyBorder="1"/>
    <xf numFmtId="37" fontId="25" fillId="3" borderId="0" xfId="0" applyNumberFormat="1" applyFont="1" applyFill="1"/>
    <xf numFmtId="10" fontId="25" fillId="0" borderId="3" xfId="0" applyNumberFormat="1" applyFont="1" applyBorder="1"/>
    <xf numFmtId="39" fontId="16" fillId="3" borderId="0" xfId="0" applyNumberFormat="1" applyFont="1" applyFill="1"/>
    <xf numFmtId="39" fontId="16" fillId="3" borderId="10" xfId="0" applyNumberFormat="1" applyFont="1" applyFill="1" applyBorder="1"/>
    <xf numFmtId="164" fontId="3" fillId="3" borderId="11" xfId="0" applyNumberFormat="1" applyFont="1" applyFill="1" applyBorder="1"/>
    <xf numFmtId="164" fontId="7" fillId="4" borderId="11" xfId="0" applyNumberFormat="1" applyFont="1" applyFill="1" applyBorder="1"/>
    <xf numFmtId="37" fontId="16" fillId="3" borderId="11" xfId="0" applyNumberFormat="1" applyFont="1" applyFill="1" applyBorder="1"/>
    <xf numFmtId="9" fontId="16" fillId="3" borderId="11" xfId="0" applyNumberFormat="1" applyFont="1" applyFill="1" applyBorder="1"/>
    <xf numFmtId="37" fontId="29" fillId="3" borderId="11" xfId="0" applyNumberFormat="1" applyFont="1" applyFill="1" applyBorder="1"/>
    <xf numFmtId="164" fontId="8" fillId="2" borderId="2" xfId="0" applyNumberFormat="1" applyFont="1" applyFill="1" applyBorder="1"/>
    <xf numFmtId="164" fontId="9" fillId="2" borderId="2" xfId="0" applyNumberFormat="1" applyFont="1" applyFill="1" applyBorder="1"/>
    <xf numFmtId="37" fontId="16" fillId="3" borderId="13" xfId="0" applyNumberFormat="1" applyFont="1" applyFill="1" applyBorder="1"/>
    <xf numFmtId="0" fontId="7" fillId="4" borderId="11" xfId="0" applyFont="1" applyFill="1" applyBorder="1" applyAlignment="1">
      <alignment horizontal="center"/>
    </xf>
    <xf numFmtId="39" fontId="16" fillId="3" borderId="11" xfId="0" applyNumberFormat="1" applyFont="1" applyFill="1" applyBorder="1"/>
    <xf numFmtId="0" fontId="27" fillId="8" borderId="3" xfId="0" applyFont="1" applyFill="1" applyBorder="1"/>
    <xf numFmtId="10" fontId="27" fillId="8" borderId="3" xfId="0" applyNumberFormat="1" applyFont="1" applyFill="1" applyBorder="1"/>
    <xf numFmtId="171" fontId="27" fillId="8" borderId="3" xfId="4" applyNumberFormat="1" applyFont="1" applyFill="1" applyBorder="1" applyAlignment="1"/>
    <xf numFmtId="10" fontId="25" fillId="0" borderId="6" xfId="0" applyNumberFormat="1" applyFont="1" applyBorder="1"/>
    <xf numFmtId="10" fontId="25" fillId="0" borderId="0" xfId="0" applyNumberFormat="1" applyFont="1"/>
    <xf numFmtId="10" fontId="25" fillId="0" borderId="4" xfId="0" applyNumberFormat="1" applyFont="1" applyBorder="1"/>
    <xf numFmtId="10" fontId="25" fillId="0" borderId="5" xfId="0" applyNumberFormat="1" applyFont="1" applyBorder="1"/>
    <xf numFmtId="2" fontId="25" fillId="0" borderId="5" xfId="0" applyNumberFormat="1" applyFont="1" applyBorder="1"/>
    <xf numFmtId="2" fontId="25" fillId="0" borderId="7" xfId="0" applyNumberFormat="1" applyFont="1" applyBorder="1"/>
    <xf numFmtId="10" fontId="24" fillId="0" borderId="3" xfId="0" applyNumberFormat="1" applyFont="1" applyBorder="1"/>
    <xf numFmtId="172" fontId="24" fillId="0" borderId="4" xfId="0" applyNumberFormat="1" applyFont="1" applyBorder="1"/>
    <xf numFmtId="172" fontId="24" fillId="0" borderId="6" xfId="0" applyNumberFormat="1" applyFont="1" applyBorder="1"/>
    <xf numFmtId="37" fontId="16" fillId="0" borderId="3" xfId="0" applyNumberFormat="1" applyFont="1" applyBorder="1"/>
    <xf numFmtId="9" fontId="25" fillId="0" borderId="14" xfId="3" applyFont="1" applyBorder="1" applyAlignment="1"/>
    <xf numFmtId="43" fontId="25" fillId="0" borderId="14" xfId="4" applyFont="1" applyBorder="1" applyAlignment="1"/>
    <xf numFmtId="170" fontId="25" fillId="0" borderId="14" xfId="3" applyNumberFormat="1" applyFont="1" applyBorder="1" applyAlignment="1"/>
    <xf numFmtId="9" fontId="25" fillId="0" borderId="0" xfId="3" applyFont="1" applyAlignment="1"/>
    <xf numFmtId="43" fontId="25" fillId="0" borderId="0" xfId="4" applyFont="1" applyAlignment="1"/>
    <xf numFmtId="170" fontId="25" fillId="0" borderId="0" xfId="3" applyNumberFormat="1" applyFont="1" applyAlignment="1"/>
    <xf numFmtId="9" fontId="25" fillId="0" borderId="10" xfId="3" applyFont="1" applyBorder="1" applyAlignment="1"/>
    <xf numFmtId="43" fontId="25" fillId="0" borderId="10" xfId="4" applyFont="1" applyBorder="1" applyAlignment="1"/>
    <xf numFmtId="170" fontId="25" fillId="0" borderId="10" xfId="3" applyNumberFormat="1" applyFont="1" applyBorder="1" applyAlignment="1"/>
    <xf numFmtId="0" fontId="0" fillId="2" borderId="0" xfId="0" applyFill="1"/>
    <xf numFmtId="0" fontId="25" fillId="3" borderId="3" xfId="0" applyFont="1" applyFill="1" applyBorder="1"/>
    <xf numFmtId="0" fontId="30" fillId="0" borderId="0" xfId="0" applyFont="1"/>
    <xf numFmtId="164" fontId="31" fillId="2" borderId="0" xfId="0" applyNumberFormat="1" applyFont="1" applyFill="1" applyAlignment="1">
      <alignment horizontal="left"/>
    </xf>
    <xf numFmtId="0" fontId="15" fillId="0" borderId="0" xfId="0" applyFont="1" applyAlignment="1">
      <alignment horizontal="center" vertical="center"/>
    </xf>
    <xf numFmtId="0" fontId="0" fillId="0" borderId="0" xfId="0"/>
    <xf numFmtId="0" fontId="24" fillId="0" borderId="3" xfId="0" applyFont="1" applyBorder="1" applyAlignment="1">
      <alignment horizontal="center" vertical="center" wrapText="1"/>
    </xf>
    <xf numFmtId="0" fontId="0" fillId="0" borderId="6" xfId="0" applyBorder="1"/>
    <xf numFmtId="0" fontId="24" fillId="0" borderId="3" xfId="0" applyFont="1" applyBorder="1" applyAlignment="1">
      <alignment horizontal="center" vertical="center"/>
    </xf>
    <xf numFmtId="0" fontId="0" fillId="0" borderId="5" xfId="0" applyBorder="1"/>
    <xf numFmtId="0" fontId="25" fillId="0" borderId="3" xfId="0" applyFont="1" applyBorder="1" applyAlignment="1">
      <alignment horizontal="center" vertical="center"/>
    </xf>
    <xf numFmtId="164" fontId="3" fillId="7" borderId="5" xfId="0" applyNumberFormat="1" applyFont="1" applyFill="1" applyBorder="1" applyAlignment="1">
      <alignment horizontal="center"/>
    </xf>
    <xf numFmtId="0" fontId="0" fillId="0" borderId="11" xfId="0" applyBorder="1"/>
  </cellXfs>
  <cellStyles count="6">
    <cellStyle name="Blue" xfId="5" xr:uid="{00000000-0005-0000-0000-000005000000}"/>
    <cellStyle name="Comma" xfId="4" builtinId="3"/>
    <cellStyle name="Normal" xfId="0" builtinId="0"/>
    <cellStyle name="Normal 2" xfId="2" xr:uid="{00000000-0005-0000-0000-000002000000}"/>
    <cellStyle name="Normal 3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showGridLines="0" tabSelected="1" workbookViewId="0">
      <selection activeCell="J25" sqref="J25"/>
    </sheetView>
  </sheetViews>
  <sheetFormatPr baseColWidth="10" defaultColWidth="8.83203125" defaultRowHeight="15"/>
  <cols>
    <col min="1" max="1" width="9.1640625" customWidth="1"/>
    <col min="2" max="2" width="29.83203125" customWidth="1"/>
    <col min="3" max="7" width="18.6640625" customWidth="1"/>
    <col min="13" max="13" width="14" customWidth="1"/>
    <col min="14" max="14" width="10.1640625" customWidth="1"/>
    <col min="15" max="15" width="10.83203125" customWidth="1"/>
  </cols>
  <sheetData>
    <row r="1" spans="1:15">
      <c r="A1" s="16" t="s">
        <v>0</v>
      </c>
      <c r="B1" s="16"/>
      <c r="C1" s="17">
        <v>2018</v>
      </c>
      <c r="D1" s="17">
        <v>2019</v>
      </c>
      <c r="E1" s="17">
        <v>2020</v>
      </c>
      <c r="F1" s="17">
        <v>2021</v>
      </c>
      <c r="G1" s="17">
        <v>2022</v>
      </c>
    </row>
    <row r="2" spans="1:15">
      <c r="A2" s="7" t="s">
        <v>1</v>
      </c>
      <c r="B2" s="7"/>
      <c r="C2" s="7"/>
      <c r="D2" s="7"/>
      <c r="E2" s="7"/>
      <c r="F2" s="7"/>
      <c r="G2" s="7"/>
      <c r="I2" s="33"/>
    </row>
    <row r="3" spans="1:15">
      <c r="A3" s="7" t="s">
        <v>2</v>
      </c>
      <c r="B3" s="7"/>
      <c r="C3" s="7"/>
      <c r="D3" s="7"/>
      <c r="E3" s="7"/>
      <c r="F3" s="7"/>
      <c r="G3" s="7"/>
    </row>
    <row r="4" spans="1:15">
      <c r="A4" s="7" t="s">
        <v>3</v>
      </c>
      <c r="B4" s="7"/>
      <c r="C4" s="7"/>
      <c r="D4" s="7"/>
      <c r="E4" s="7"/>
      <c r="F4" s="7"/>
      <c r="G4" s="7"/>
    </row>
    <row r="5" spans="1:15">
      <c r="A5" s="7" t="s">
        <v>4</v>
      </c>
      <c r="B5" s="7"/>
      <c r="C5" s="7"/>
      <c r="D5" s="7"/>
      <c r="E5" s="7"/>
      <c r="F5" s="7"/>
      <c r="G5" s="7"/>
    </row>
    <row r="6" spans="1:15">
      <c r="A6" s="8" t="s">
        <v>5</v>
      </c>
      <c r="B6" s="8"/>
      <c r="C6" s="8"/>
      <c r="D6" s="8"/>
      <c r="E6" s="8"/>
      <c r="F6" s="8"/>
      <c r="G6" s="8"/>
    </row>
    <row r="7" spans="1:15">
      <c r="A7" s="7" t="s">
        <v>6</v>
      </c>
      <c r="B7" s="7"/>
      <c r="C7" s="7"/>
      <c r="D7" s="7"/>
      <c r="E7" s="7"/>
      <c r="F7" s="7"/>
      <c r="G7" s="7"/>
    </row>
    <row r="8" spans="1:15">
      <c r="A8" s="7" t="s">
        <v>7</v>
      </c>
      <c r="B8" s="7"/>
      <c r="C8" s="7"/>
      <c r="D8" s="7"/>
      <c r="E8" s="7"/>
      <c r="F8" s="7"/>
      <c r="G8" s="7"/>
    </row>
    <row r="9" spans="1:15">
      <c r="A9" s="8" t="s">
        <v>8</v>
      </c>
      <c r="B9" s="8"/>
      <c r="C9" s="8"/>
      <c r="D9" s="8"/>
      <c r="E9" s="8"/>
      <c r="F9" s="8"/>
      <c r="G9" s="8"/>
    </row>
    <row r="10" spans="1:15">
      <c r="A10" s="8" t="s">
        <v>9</v>
      </c>
      <c r="B10" s="8"/>
      <c r="C10" s="8"/>
      <c r="D10" s="8"/>
      <c r="E10" s="8"/>
      <c r="F10" s="8"/>
      <c r="G10" s="8"/>
    </row>
    <row r="13" spans="1:15">
      <c r="A13" s="16" t="s">
        <v>10</v>
      </c>
      <c r="B13" s="16"/>
      <c r="C13" s="17">
        <v>2018</v>
      </c>
      <c r="D13" s="17">
        <v>2019</v>
      </c>
      <c r="E13" s="17">
        <v>2020</v>
      </c>
      <c r="F13" s="17">
        <v>2021</v>
      </c>
      <c r="G13" s="17">
        <v>2022</v>
      </c>
    </row>
    <row r="14" spans="1:15">
      <c r="A14" s="6" t="s">
        <v>11</v>
      </c>
      <c r="B14" s="7"/>
      <c r="C14" s="7"/>
      <c r="D14" s="7"/>
      <c r="E14" s="7"/>
      <c r="F14" s="7"/>
      <c r="G14" s="7"/>
    </row>
    <row r="15" spans="1:15">
      <c r="A15" s="7"/>
      <c r="B15" s="7" t="s">
        <v>12</v>
      </c>
      <c r="C15" s="7"/>
      <c r="D15" s="7"/>
      <c r="E15" s="7"/>
      <c r="F15" s="7"/>
      <c r="G15" s="7"/>
      <c r="N15" s="28"/>
      <c r="O15" s="28"/>
    </row>
    <row r="16" spans="1:15">
      <c r="A16" s="7"/>
      <c r="B16" s="7" t="s">
        <v>13</v>
      </c>
      <c r="C16" s="7"/>
      <c r="D16" s="7"/>
      <c r="E16" s="7"/>
      <c r="F16" s="7"/>
      <c r="G16" s="7"/>
      <c r="N16" s="28"/>
      <c r="O16" s="28"/>
    </row>
    <row r="17" spans="1:16">
      <c r="A17" s="7"/>
      <c r="B17" s="7" t="s">
        <v>14</v>
      </c>
      <c r="C17" s="7"/>
      <c r="D17" s="7"/>
      <c r="E17" s="7"/>
      <c r="F17" s="7"/>
      <c r="G17" s="7"/>
      <c r="N17" s="28"/>
      <c r="O17" s="28"/>
    </row>
    <row r="18" spans="1:16">
      <c r="A18" s="7"/>
      <c r="B18" s="7" t="s">
        <v>15</v>
      </c>
      <c r="C18" s="7"/>
      <c r="D18" s="7"/>
      <c r="E18" s="7"/>
      <c r="F18" s="7"/>
      <c r="G18" s="7"/>
      <c r="N18" s="28"/>
      <c r="O18" s="28"/>
    </row>
    <row r="19" spans="1:16">
      <c r="A19" s="6" t="s">
        <v>16</v>
      </c>
      <c r="B19" s="9"/>
      <c r="C19" s="9"/>
      <c r="D19" s="9">
        <v>5065839</v>
      </c>
      <c r="E19" s="9">
        <v>31391109</v>
      </c>
      <c r="F19" s="9">
        <v>52380414</v>
      </c>
      <c r="G19" s="9">
        <v>66992487</v>
      </c>
      <c r="N19" s="28"/>
      <c r="O19" s="28"/>
    </row>
    <row r="20" spans="1:16">
      <c r="A20" s="6"/>
      <c r="B20" s="6"/>
      <c r="C20" s="6"/>
      <c r="D20" s="6"/>
      <c r="E20" s="6"/>
      <c r="F20" s="6"/>
      <c r="G20" s="6"/>
      <c r="N20" s="28"/>
      <c r="O20" s="28"/>
    </row>
    <row r="21" spans="1:16">
      <c r="A21" s="6" t="s">
        <v>17</v>
      </c>
      <c r="B21" s="7"/>
      <c r="C21" s="7"/>
      <c r="D21" s="7"/>
      <c r="E21" s="7"/>
      <c r="F21" s="7"/>
      <c r="G21" s="7"/>
      <c r="O21" s="28"/>
    </row>
    <row r="22" spans="1:16">
      <c r="A22" s="7"/>
      <c r="B22" s="10" t="s">
        <v>18</v>
      </c>
      <c r="C22" s="10"/>
      <c r="D22" s="7"/>
      <c r="E22" s="7"/>
      <c r="F22" s="7"/>
      <c r="G22" s="7"/>
      <c r="N22" s="28"/>
      <c r="O22" s="28"/>
    </row>
    <row r="23" spans="1:16">
      <c r="A23" s="7"/>
      <c r="B23" s="7" t="s">
        <v>19</v>
      </c>
      <c r="C23" s="7"/>
      <c r="D23" s="7"/>
      <c r="E23" s="7"/>
      <c r="F23" s="7"/>
      <c r="G23" s="7"/>
      <c r="N23" s="28"/>
      <c r="O23" s="28"/>
    </row>
    <row r="24" spans="1:16">
      <c r="A24" s="6"/>
      <c r="B24" s="3" t="s">
        <v>20</v>
      </c>
      <c r="C24" s="3"/>
      <c r="D24" s="7"/>
      <c r="E24" s="7"/>
      <c r="F24" s="7"/>
      <c r="G24" s="7"/>
      <c r="N24" s="28"/>
      <c r="O24" s="28"/>
    </row>
    <row r="25" spans="1:16">
      <c r="A25" s="6" t="s">
        <v>21</v>
      </c>
      <c r="B25" s="9"/>
      <c r="C25" s="9"/>
      <c r="D25" s="6"/>
      <c r="E25" s="6"/>
      <c r="F25" s="6"/>
      <c r="G25" s="6"/>
      <c r="N25" s="28"/>
      <c r="O25" s="28"/>
    </row>
    <row r="26" spans="1:16">
      <c r="A26" s="7"/>
      <c r="B26" s="7"/>
      <c r="C26" s="7"/>
      <c r="D26" s="7"/>
      <c r="E26" s="7"/>
      <c r="F26" s="7"/>
      <c r="G26" s="7"/>
      <c r="N26" s="28"/>
      <c r="O26" s="28"/>
    </row>
    <row r="27" spans="1:16">
      <c r="A27" s="11" t="s">
        <v>22</v>
      </c>
      <c r="B27" s="12"/>
      <c r="C27" s="12"/>
      <c r="D27" s="12">
        <f>D25+D19</f>
        <v>5065839</v>
      </c>
      <c r="E27" s="12">
        <f>E25+E19</f>
        <v>31391109</v>
      </c>
      <c r="F27" s="12">
        <f>F25+F19</f>
        <v>52380414</v>
      </c>
      <c r="G27" s="12">
        <f>G25+G19</f>
        <v>66992487</v>
      </c>
      <c r="N27" s="28"/>
      <c r="O27" s="28"/>
    </row>
    <row r="28" spans="1:16">
      <c r="A28" s="6"/>
      <c r="B28" s="7"/>
      <c r="C28" s="7"/>
      <c r="D28" s="7"/>
      <c r="E28" s="7"/>
      <c r="F28" s="7"/>
      <c r="G28" s="7"/>
      <c r="N28" s="28"/>
      <c r="O28" s="28"/>
    </row>
    <row r="29" spans="1:16">
      <c r="A29" s="6" t="s">
        <v>23</v>
      </c>
      <c r="B29" s="7"/>
      <c r="C29" s="7"/>
      <c r="D29" s="7"/>
      <c r="E29" s="7"/>
      <c r="F29" s="7"/>
      <c r="G29" s="7"/>
      <c r="N29" s="28"/>
      <c r="O29" s="28"/>
    </row>
    <row r="30" spans="1:16">
      <c r="A30" s="6"/>
      <c r="B30" s="7" t="s">
        <v>24</v>
      </c>
      <c r="C30" s="7"/>
      <c r="D30" s="7"/>
      <c r="E30" s="7"/>
      <c r="F30" s="7"/>
      <c r="G30" s="7"/>
    </row>
    <row r="31" spans="1:16">
      <c r="A31" s="7"/>
      <c r="B31" s="7" t="s">
        <v>25</v>
      </c>
      <c r="C31" s="7"/>
      <c r="D31" s="7"/>
      <c r="E31" s="7"/>
      <c r="F31" s="7"/>
      <c r="G31" s="7"/>
    </row>
    <row r="32" spans="1:16">
      <c r="A32" s="7"/>
      <c r="B32" s="7" t="s">
        <v>26</v>
      </c>
      <c r="C32" s="7"/>
      <c r="D32" s="3"/>
      <c r="E32" s="3"/>
      <c r="F32" s="3"/>
      <c r="G32" s="3"/>
      <c r="O32" s="28"/>
      <c r="P32" s="28"/>
    </row>
    <row r="33" spans="1:16">
      <c r="A33" s="13" t="s">
        <v>27</v>
      </c>
      <c r="B33" s="3"/>
      <c r="C33" s="7"/>
      <c r="D33" s="6"/>
      <c r="E33" s="6"/>
      <c r="F33" s="6"/>
      <c r="G33" s="6"/>
      <c r="O33" s="28"/>
      <c r="P33" s="28"/>
    </row>
    <row r="34" spans="1:16">
      <c r="A34" s="6"/>
      <c r="B34" s="6"/>
      <c r="C34" s="7"/>
      <c r="D34" s="7"/>
      <c r="E34" s="7"/>
      <c r="F34" s="7"/>
      <c r="G34" s="7"/>
      <c r="N34" s="28"/>
      <c r="O34" s="28"/>
      <c r="P34" s="28"/>
    </row>
    <row r="35" spans="1:16">
      <c r="A35" s="6" t="s">
        <v>28</v>
      </c>
      <c r="B35" s="6"/>
      <c r="C35" s="7"/>
      <c r="D35" s="7"/>
      <c r="E35" s="7"/>
      <c r="F35" s="7"/>
      <c r="G35" s="7"/>
      <c r="N35" s="28"/>
      <c r="O35" s="28"/>
      <c r="P35" s="28"/>
    </row>
    <row r="36" spans="1:16">
      <c r="A36" s="6" t="s">
        <v>29</v>
      </c>
      <c r="B36" s="7"/>
      <c r="C36" s="7"/>
      <c r="D36" s="7"/>
      <c r="E36" s="7"/>
      <c r="F36" s="7"/>
      <c r="G36" s="7"/>
      <c r="N36" s="28"/>
      <c r="O36" s="28"/>
      <c r="P36" s="28"/>
    </row>
    <row r="37" spans="1:16">
      <c r="A37" s="7"/>
      <c r="B37" s="7"/>
      <c r="C37" s="7"/>
      <c r="D37" s="7"/>
      <c r="E37" s="7"/>
      <c r="F37" s="7"/>
      <c r="G37" s="7"/>
      <c r="N37" s="28"/>
      <c r="O37" s="28"/>
      <c r="P37" s="28"/>
    </row>
    <row r="38" spans="1:16">
      <c r="A38" s="14" t="s">
        <v>30</v>
      </c>
      <c r="B38" s="15"/>
      <c r="C38" s="15"/>
      <c r="D38" s="15"/>
      <c r="E38" s="15"/>
      <c r="F38" s="15"/>
      <c r="G38" s="15"/>
      <c r="N38" s="28"/>
      <c r="O38" s="28"/>
      <c r="P38" s="28"/>
    </row>
    <row r="39" spans="1:16">
      <c r="A39" s="6"/>
      <c r="B39" s="3"/>
      <c r="C39" s="3"/>
      <c r="D39" s="3"/>
      <c r="E39" s="3"/>
      <c r="F39" s="3"/>
      <c r="G39" s="3"/>
      <c r="N39" s="28"/>
      <c r="O39" s="28"/>
      <c r="P39" s="28"/>
    </row>
    <row r="40" spans="1:16">
      <c r="A40" s="6" t="s">
        <v>31</v>
      </c>
      <c r="B40" s="6"/>
      <c r="C40" s="6"/>
      <c r="D40" s="3"/>
      <c r="E40" s="3"/>
      <c r="F40" s="3"/>
      <c r="G40" s="3"/>
      <c r="N40" s="28"/>
      <c r="O40" s="28"/>
      <c r="P40" s="28"/>
    </row>
    <row r="41" spans="1:16">
      <c r="A41" s="14" t="s">
        <v>32</v>
      </c>
      <c r="B41" s="15"/>
      <c r="C41" s="15"/>
      <c r="D41" s="15"/>
      <c r="E41" s="15"/>
      <c r="F41" s="15"/>
      <c r="G41" s="15"/>
    </row>
    <row r="42" spans="1:16">
      <c r="A42" s="6"/>
      <c r="B42" s="3"/>
      <c r="C42" s="3"/>
      <c r="D42" s="3"/>
      <c r="E42" s="3"/>
      <c r="F42" s="3"/>
      <c r="G42" s="3"/>
    </row>
    <row r="43" spans="1:16">
      <c r="A43" s="14" t="s">
        <v>33</v>
      </c>
      <c r="B43" s="15"/>
      <c r="C43" s="15"/>
      <c r="D43" s="29">
        <v>9513422</v>
      </c>
      <c r="E43" s="29">
        <f>E41+E38</f>
        <v>0</v>
      </c>
      <c r="F43" s="29">
        <f>F41+F38</f>
        <v>0</v>
      </c>
      <c r="G43" s="29">
        <f>G41+G38</f>
        <v>0</v>
      </c>
    </row>
    <row r="44" spans="1:16">
      <c r="N44" s="28"/>
    </row>
    <row r="45" spans="1:16">
      <c r="N45" s="28"/>
    </row>
    <row r="46" spans="1:16">
      <c r="N46" s="28"/>
    </row>
    <row r="47" spans="1:16">
      <c r="N47" s="28"/>
    </row>
    <row r="48" spans="1:16">
      <c r="N48" s="28"/>
    </row>
    <row r="49" spans="14:14">
      <c r="N49" s="28"/>
    </row>
    <row r="50" spans="14:14">
      <c r="N50" s="28"/>
    </row>
    <row r="51" spans="14:14">
      <c r="N51" s="28"/>
    </row>
    <row r="52" spans="14:14">
      <c r="N5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I9"/>
  <sheetViews>
    <sheetView showGridLines="0" zoomScale="205" zoomScaleNormal="205" workbookViewId="0">
      <selection activeCell="E6" sqref="E6:E9"/>
    </sheetView>
  </sheetViews>
  <sheetFormatPr baseColWidth="10" defaultColWidth="8.83203125" defaultRowHeight="15"/>
  <cols>
    <col min="2" max="2" width="5.5" customWidth="1"/>
    <col min="3" max="3" width="3.1640625" customWidth="1"/>
    <col min="4" max="4" width="12.5" customWidth="1"/>
    <col min="5" max="5" width="21.33203125" customWidth="1"/>
    <col min="6" max="6" width="29" customWidth="1"/>
  </cols>
  <sheetData>
    <row r="3" spans="4:9">
      <c r="D3" s="152" t="s">
        <v>34</v>
      </c>
      <c r="E3" s="153"/>
      <c r="F3" s="153"/>
    </row>
    <row r="4" spans="4:9">
      <c r="D4" s="153"/>
      <c r="E4" s="153"/>
      <c r="F4" s="153"/>
    </row>
    <row r="5" spans="4:9">
      <c r="D5" s="153"/>
      <c r="E5" s="153"/>
      <c r="F5" s="153"/>
      <c r="H5" s="25"/>
      <c r="I5" s="25"/>
    </row>
    <row r="6" spans="4:9" ht="23" customHeight="1">
      <c r="E6" s="24" t="s">
        <v>35</v>
      </c>
    </row>
    <row r="7" spans="4:9" ht="23" customHeight="1">
      <c r="E7" s="24" t="s">
        <v>36</v>
      </c>
      <c r="F7" t="s">
        <v>37</v>
      </c>
    </row>
    <row r="8" spans="4:9" ht="23" customHeight="1">
      <c r="E8" s="24" t="s">
        <v>38</v>
      </c>
    </row>
    <row r="9" spans="4:9" ht="23" customHeight="1">
      <c r="E9" s="24" t="s">
        <v>39</v>
      </c>
    </row>
  </sheetData>
  <mergeCells count="1">
    <mergeCell ref="D3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5"/>
  <sheetViews>
    <sheetView showGridLines="0" zoomScale="115" zoomScaleNormal="115" zoomScaleSheetLayoutView="1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H17" sqref="H17"/>
    </sheetView>
  </sheetViews>
  <sheetFormatPr baseColWidth="10" defaultColWidth="8.83203125" defaultRowHeight="15" outlineLevelRow="1" outlineLevelCol="1"/>
  <cols>
    <col min="1" max="1" width="17.6640625" customWidth="1"/>
    <col min="2" max="2" width="35.83203125" customWidth="1"/>
    <col min="3" max="3" width="8.83203125" hidden="1" customWidth="1" outlineLevel="1"/>
    <col min="4" max="4" width="10.5" hidden="1" customWidth="1" outlineLevel="1"/>
    <col min="5" max="5" width="15.1640625" hidden="1" customWidth="1" outlineLevel="1"/>
    <col min="6" max="6" width="12" hidden="1" customWidth="1" outlineLevel="1"/>
    <col min="7" max="7" width="14.83203125" hidden="1" customWidth="1" outlineLevel="1"/>
    <col min="8" max="8" width="16.5" bestFit="1" customWidth="1" collapsed="1"/>
    <col min="9" max="20" width="14.83203125" bestFit="1" customWidth="1"/>
  </cols>
  <sheetData>
    <row r="1" spans="1:20" ht="22.5" customHeight="1">
      <c r="A1" s="23" t="s">
        <v>40</v>
      </c>
    </row>
    <row r="2" spans="1:20">
      <c r="A2" s="18"/>
      <c r="B2" s="19"/>
      <c r="C2" s="27" t="s">
        <v>41</v>
      </c>
      <c r="D2" s="27" t="s">
        <v>42</v>
      </c>
      <c r="E2" s="27" t="s">
        <v>43</v>
      </c>
      <c r="F2" s="27" t="s">
        <v>44</v>
      </c>
      <c r="G2" s="27" t="s">
        <v>45</v>
      </c>
      <c r="H2" s="27" t="s">
        <v>46</v>
      </c>
      <c r="I2" s="27" t="s">
        <v>47</v>
      </c>
      <c r="J2" s="27" t="s">
        <v>48</v>
      </c>
      <c r="K2" s="27" t="s">
        <v>49</v>
      </c>
      <c r="L2" s="27" t="s">
        <v>50</v>
      </c>
      <c r="M2" s="27" t="s">
        <v>51</v>
      </c>
      <c r="N2" s="27" t="s">
        <v>52</v>
      </c>
      <c r="O2" s="27" t="s">
        <v>53</v>
      </c>
      <c r="P2" s="27" t="s">
        <v>54</v>
      </c>
      <c r="Q2" s="27" t="s">
        <v>55</v>
      </c>
      <c r="R2" s="27" t="s">
        <v>56</v>
      </c>
      <c r="S2" s="27" t="s">
        <v>57</v>
      </c>
      <c r="T2" s="27" t="s">
        <v>58</v>
      </c>
    </row>
    <row r="3" spans="1:20" ht="17.5" customHeight="1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.5" customHeight="1">
      <c r="A5" s="7"/>
      <c r="B5" s="7" t="s">
        <v>60</v>
      </c>
      <c r="C5" s="26"/>
      <c r="D5" s="31" t="e">
        <f>('FA &amp; Operating Model'!D6-'FA &amp; Operating Model'!C6)/'FA &amp; Operating Model'!C6</f>
        <v>#DIV/0!</v>
      </c>
      <c r="E5" s="31" t="e">
        <f>('FA &amp; Operating Model'!E6-'FA &amp; Operating Model'!D6)/'FA &amp; Operating Model'!D6</f>
        <v>#DIV/0!</v>
      </c>
      <c r="F5" s="31" t="e">
        <f>('FA &amp; Operating Model'!F6-'FA &amp; Operating Model'!E6)/'FA &amp; Operating Model'!E6</f>
        <v>#DIV/0!</v>
      </c>
      <c r="G5" s="31" t="e">
        <f>('FA &amp; Operating Model'!G6-'FA &amp; Operating Model'!F6)/'FA &amp; Operating Model'!F6</f>
        <v>#DIV/0!</v>
      </c>
      <c r="H5" s="78">
        <v>0.3</v>
      </c>
      <c r="I5" s="78">
        <v>0.3</v>
      </c>
      <c r="J5" s="78">
        <v>0.3</v>
      </c>
      <c r="K5" s="78">
        <v>0.3</v>
      </c>
      <c r="L5" s="78">
        <v>0.3</v>
      </c>
      <c r="M5" s="78">
        <v>0.3</v>
      </c>
      <c r="N5" s="78">
        <v>0.3</v>
      </c>
      <c r="O5" s="78">
        <v>0.3</v>
      </c>
      <c r="P5" s="78">
        <v>0.3</v>
      </c>
      <c r="Q5" s="78">
        <v>0.3</v>
      </c>
      <c r="R5" s="78">
        <v>0.3</v>
      </c>
      <c r="S5" s="78">
        <v>0.3</v>
      </c>
      <c r="T5" s="78">
        <v>0.3</v>
      </c>
    </row>
    <row r="6" spans="1:20" ht="15.5" customHeight="1">
      <c r="A6" s="6"/>
      <c r="B6" s="8" t="s">
        <v>61</v>
      </c>
      <c r="C6" s="26"/>
      <c r="D6" s="32" t="e">
        <f>('FA &amp; Operating Model'!D6+'FA &amp; Operating Model'!D7)/'FA &amp; Operating Model'!D6</f>
        <v>#DIV/0!</v>
      </c>
      <c r="E6" s="32" t="e">
        <f>('FA &amp; Operating Model'!E6+'FA &amp; Operating Model'!E7)/'FA &amp; Operating Model'!E6</f>
        <v>#DIV/0!</v>
      </c>
      <c r="F6" s="32" t="e">
        <f>('FA &amp; Operating Model'!F6+'FA &amp; Operating Model'!F7)/'FA &amp; Operating Model'!F6</f>
        <v>#DIV/0!</v>
      </c>
      <c r="G6" s="32" t="e">
        <f>('FA &amp; Operating Model'!G6+'FA &amp; Operating Model'!G7)/'FA &amp; Operating Model'!G6</f>
        <v>#DIV/0!</v>
      </c>
      <c r="H6" s="78">
        <v>0.6</v>
      </c>
      <c r="I6" s="78">
        <v>0.6</v>
      </c>
      <c r="J6" s="78">
        <v>0.6</v>
      </c>
      <c r="K6" s="78">
        <v>0.6</v>
      </c>
      <c r="L6" s="78">
        <v>0.6</v>
      </c>
      <c r="M6" s="78">
        <v>0.6</v>
      </c>
      <c r="N6" s="78">
        <v>0.6</v>
      </c>
      <c r="O6" s="78">
        <v>0.6</v>
      </c>
      <c r="P6" s="78">
        <v>0.6</v>
      </c>
      <c r="Q6" s="78">
        <v>0.6</v>
      </c>
      <c r="R6" s="78">
        <v>0.6</v>
      </c>
      <c r="S6" s="78">
        <v>0.6</v>
      </c>
      <c r="T6" s="78">
        <v>0.6</v>
      </c>
    </row>
    <row r="7" spans="1:20" ht="15.5" customHeight="1">
      <c r="A7" s="6"/>
      <c r="B7" s="7" t="s">
        <v>62</v>
      </c>
      <c r="C7" s="26"/>
      <c r="D7" s="31" t="e">
        <f>'FA &amp; Operating Model'!D10/'FA &amp; Operating Model'!D6</f>
        <v>#DIV/0!</v>
      </c>
      <c r="E7" s="31" t="e">
        <f>'FA &amp; Operating Model'!E10/'FA &amp; Operating Model'!E6</f>
        <v>#DIV/0!</v>
      </c>
      <c r="F7" s="31" t="e">
        <f>'FA &amp; Operating Model'!F10/'FA &amp; Operating Model'!F6</f>
        <v>#DIV/0!</v>
      </c>
      <c r="G7" s="31" t="e">
        <f>'FA &amp; Operating Model'!G10/'FA &amp; Operating Model'!G6</f>
        <v>#DIV/0!</v>
      </c>
      <c r="H7" s="78">
        <v>-0.1</v>
      </c>
      <c r="I7" s="78">
        <v>-0.1</v>
      </c>
      <c r="J7" s="78">
        <v>-0.1</v>
      </c>
      <c r="K7" s="78">
        <v>-0.1</v>
      </c>
      <c r="L7" s="78">
        <v>-0.1</v>
      </c>
      <c r="M7" s="78">
        <v>-0.1</v>
      </c>
      <c r="N7" s="78">
        <v>-0.1</v>
      </c>
      <c r="O7" s="78">
        <v>-0.1</v>
      </c>
      <c r="P7" s="78">
        <v>-0.1</v>
      </c>
      <c r="Q7" s="78">
        <v>-0.1</v>
      </c>
      <c r="R7" s="78">
        <v>-0.1</v>
      </c>
      <c r="S7" s="78">
        <v>-0.1</v>
      </c>
      <c r="T7" s="78">
        <v>-0.1</v>
      </c>
    </row>
    <row r="8" spans="1:20" ht="15.5" customHeight="1">
      <c r="A8" s="6"/>
      <c r="B8" s="7" t="s">
        <v>63</v>
      </c>
      <c r="C8" s="26"/>
      <c r="D8" s="31" t="e">
        <f>'FA &amp; Operating Model'!D11/'FA &amp; Operating Model'!D6</f>
        <v>#DIV/0!</v>
      </c>
      <c r="E8" s="31" t="e">
        <f>'Financial Numbers From AR'!E5/'Financial Numbers From AR'!E2</f>
        <v>#DIV/0!</v>
      </c>
      <c r="F8" s="31" t="e">
        <f>'Financial Numbers From AR'!F5/'Financial Numbers From AR'!F2</f>
        <v>#DIV/0!</v>
      </c>
      <c r="G8" s="31" t="e">
        <f>'Financial Numbers From AR'!G5/'Financial Numbers From AR'!G2</f>
        <v>#DIV/0!</v>
      </c>
      <c r="H8" s="78">
        <v>-0.1</v>
      </c>
      <c r="I8" s="78">
        <v>-0.1</v>
      </c>
      <c r="J8" s="78">
        <v>-0.1</v>
      </c>
      <c r="K8" s="78">
        <v>-0.1</v>
      </c>
      <c r="L8" s="78">
        <v>-0.1</v>
      </c>
      <c r="M8" s="78">
        <v>-0.1</v>
      </c>
      <c r="N8" s="78">
        <v>-0.1</v>
      </c>
      <c r="O8" s="78">
        <v>-0.1</v>
      </c>
      <c r="P8" s="78">
        <v>-0.1</v>
      </c>
      <c r="Q8" s="78">
        <v>-0.1</v>
      </c>
      <c r="R8" s="78">
        <v>-0.1</v>
      </c>
      <c r="S8" s="78">
        <v>-0.1</v>
      </c>
      <c r="T8" s="78">
        <v>-0.1</v>
      </c>
    </row>
    <row r="9" spans="1:20" ht="15.5" customHeight="1">
      <c r="A9" s="6"/>
      <c r="B9" s="7" t="s">
        <v>64</v>
      </c>
      <c r="C9" s="26"/>
      <c r="D9" s="32" t="e">
        <f>'FA &amp; Operating Model'!D12/'FA &amp; Operating Model'!D6</f>
        <v>#DIV/0!</v>
      </c>
      <c r="E9" s="32" t="e">
        <f>'FA &amp; Operating Model'!E12/'FA &amp; Operating Model'!E6</f>
        <v>#DIV/0!</v>
      </c>
      <c r="F9" s="32" t="e">
        <f>'FA &amp; Operating Model'!F12/'FA &amp; Operating Model'!F6</f>
        <v>#DIV/0!</v>
      </c>
      <c r="G9" s="32" t="e">
        <f>'FA &amp; Operating Model'!G12/'FA &amp; Operating Model'!G6</f>
        <v>#DIV/0!</v>
      </c>
      <c r="H9" s="78">
        <v>-0.18</v>
      </c>
      <c r="I9" s="78">
        <v>-0.18</v>
      </c>
      <c r="J9" s="78">
        <v>-0.18</v>
      </c>
      <c r="K9" s="78">
        <v>-0.18</v>
      </c>
      <c r="L9" s="78">
        <v>-0.18</v>
      </c>
      <c r="M9" s="78">
        <v>-0.18</v>
      </c>
      <c r="N9" s="78">
        <v>-0.18</v>
      </c>
      <c r="O9" s="78">
        <v>-0.18</v>
      </c>
      <c r="P9" s="78">
        <v>-0.18</v>
      </c>
      <c r="Q9" s="78">
        <v>-0.18</v>
      </c>
      <c r="R9" s="78">
        <v>-0.18</v>
      </c>
      <c r="S9" s="78">
        <v>-0.18</v>
      </c>
      <c r="T9" s="78">
        <v>-0.18</v>
      </c>
    </row>
    <row r="10" spans="1:20" ht="15.5" customHeight="1">
      <c r="A10" s="6"/>
      <c r="B10" s="7" t="s">
        <v>65</v>
      </c>
      <c r="C10" s="26"/>
      <c r="D10" s="32"/>
      <c r="E10" s="32"/>
      <c r="F10" s="32"/>
      <c r="G10" s="32"/>
      <c r="H10" s="78">
        <v>0.05</v>
      </c>
      <c r="I10" s="78">
        <v>0.05</v>
      </c>
      <c r="J10" s="78">
        <v>0.05</v>
      </c>
      <c r="K10" s="78">
        <v>0.05</v>
      </c>
      <c r="L10" s="78">
        <v>0.05</v>
      </c>
      <c r="M10" s="78">
        <v>0.05</v>
      </c>
      <c r="N10" s="78">
        <v>0.05</v>
      </c>
      <c r="O10" s="78">
        <v>0.05</v>
      </c>
      <c r="P10" s="78">
        <v>0.05</v>
      </c>
      <c r="Q10" s="78">
        <v>0.05</v>
      </c>
      <c r="R10" s="78">
        <v>0.05</v>
      </c>
      <c r="S10" s="78">
        <v>0.05</v>
      </c>
      <c r="T10" s="78">
        <v>0.05</v>
      </c>
    </row>
    <row r="11" spans="1:20" s="148" customFormat="1" ht="15.5" customHeight="1">
      <c r="A11" s="71"/>
      <c r="B11" s="71" t="s">
        <v>66</v>
      </c>
      <c r="C11" s="72"/>
      <c r="D11" s="72"/>
      <c r="E11" s="72"/>
      <c r="F11" s="72"/>
      <c r="G11" s="72"/>
      <c r="H11" s="78">
        <v>0.02</v>
      </c>
      <c r="I11" s="78">
        <v>0.02</v>
      </c>
      <c r="J11" s="78">
        <v>0.02</v>
      </c>
      <c r="K11" s="78">
        <v>0.02</v>
      </c>
      <c r="L11" s="78">
        <v>0.02</v>
      </c>
      <c r="M11" s="78">
        <v>0.02</v>
      </c>
      <c r="N11" s="78">
        <v>0.02</v>
      </c>
      <c r="O11" s="78">
        <v>0.02</v>
      </c>
      <c r="P11" s="78">
        <v>0.02</v>
      </c>
      <c r="Q11" s="78">
        <v>0.02</v>
      </c>
      <c r="R11" s="78">
        <v>0.02</v>
      </c>
      <c r="S11" s="78">
        <v>0.02</v>
      </c>
      <c r="T11" s="78">
        <v>0.02</v>
      </c>
    </row>
    <row r="12" spans="1:20" ht="15.5" customHeight="1">
      <c r="A12" s="71"/>
      <c r="B12" s="71" t="s">
        <v>67</v>
      </c>
      <c r="C12" s="72"/>
      <c r="D12" s="76" t="e">
        <f>'FA &amp; Operating Model'!D17/'FA &amp; Operating Model'!D6</f>
        <v>#DIV/0!</v>
      </c>
      <c r="E12" s="76" t="e">
        <f>'FA &amp; Operating Model'!E17/'FA &amp; Operating Model'!E6</f>
        <v>#DIV/0!</v>
      </c>
      <c r="F12" s="76" t="e">
        <f>'FA &amp; Operating Model'!F17/'FA &amp; Operating Model'!F6</f>
        <v>#DIV/0!</v>
      </c>
      <c r="G12" s="76" t="e">
        <f>'FA &amp; Operating Model'!G17/'FA &amp; Operating Model'!G6</f>
        <v>#DIV/0!</v>
      </c>
      <c r="H12" s="78">
        <v>0.01</v>
      </c>
      <c r="I12" s="78">
        <v>0.01</v>
      </c>
      <c r="J12" s="78">
        <v>0.01</v>
      </c>
      <c r="K12" s="78">
        <v>0.01</v>
      </c>
      <c r="L12" s="78">
        <v>0.01</v>
      </c>
      <c r="M12" s="78">
        <v>0.01</v>
      </c>
      <c r="N12" s="78">
        <v>0.01</v>
      </c>
      <c r="O12" s="78">
        <v>0.01</v>
      </c>
      <c r="P12" s="78">
        <v>0.01</v>
      </c>
      <c r="Q12" s="78">
        <v>0.01</v>
      </c>
      <c r="R12" s="78">
        <v>0.01</v>
      </c>
      <c r="S12" s="78">
        <v>0.01</v>
      </c>
      <c r="T12" s="78">
        <v>0.01</v>
      </c>
    </row>
    <row r="13" spans="1:20" ht="15.5" customHeight="1">
      <c r="A13" s="7"/>
      <c r="B13" s="7" t="s">
        <v>68</v>
      </c>
      <c r="C13" s="31"/>
      <c r="D13" s="31"/>
      <c r="E13" s="31"/>
      <c r="F13" s="31"/>
      <c r="H13" s="78">
        <v>0.2</v>
      </c>
      <c r="I13" s="78">
        <v>0.2</v>
      </c>
      <c r="J13" s="78">
        <v>0.2</v>
      </c>
      <c r="K13" s="78">
        <v>0.2</v>
      </c>
      <c r="L13" s="78">
        <v>0.2</v>
      </c>
      <c r="M13" s="78">
        <v>0.2</v>
      </c>
      <c r="N13" s="78">
        <v>0.2</v>
      </c>
      <c r="O13" s="78">
        <v>0.2</v>
      </c>
      <c r="P13" s="78">
        <v>0.2</v>
      </c>
      <c r="Q13" s="78">
        <v>0.2</v>
      </c>
      <c r="R13" s="78">
        <v>0.2</v>
      </c>
      <c r="S13" s="78">
        <v>0.2</v>
      </c>
      <c r="T13" s="78">
        <v>0.2</v>
      </c>
    </row>
    <row r="14" spans="1:20" ht="17.5" customHeight="1">
      <c r="A14" s="22" t="s">
        <v>69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6"/>
      <c r="B16" s="3" t="s">
        <v>70</v>
      </c>
      <c r="C16" s="7">
        <f>'FA &amp; Operating Model'!C31</f>
        <v>0</v>
      </c>
      <c r="D16" s="7">
        <f>'FA &amp; Operating Model'!D31</f>
        <v>5065839</v>
      </c>
      <c r="E16" s="7">
        <f>'FA &amp; Operating Model'!E31</f>
        <v>31391109</v>
      </c>
      <c r="F16" s="7">
        <f>'FA &amp; Operating Model'!F31</f>
        <v>52380414</v>
      </c>
      <c r="G16" s="7">
        <f>'FA &amp; Operating Model'!G31</f>
        <v>66992487</v>
      </c>
      <c r="H16" s="79">
        <f t="shared" ref="H16:T16" si="0">G16</f>
        <v>66992487</v>
      </c>
      <c r="I16" s="79">
        <f t="shared" si="0"/>
        <v>66992487</v>
      </c>
      <c r="J16" s="79">
        <f t="shared" si="0"/>
        <v>66992487</v>
      </c>
      <c r="K16" s="79">
        <f t="shared" si="0"/>
        <v>66992487</v>
      </c>
      <c r="L16" s="79">
        <f t="shared" si="0"/>
        <v>66992487</v>
      </c>
      <c r="M16" s="79">
        <f t="shared" si="0"/>
        <v>66992487</v>
      </c>
      <c r="N16" s="79">
        <f t="shared" si="0"/>
        <v>66992487</v>
      </c>
      <c r="O16" s="79">
        <f t="shared" si="0"/>
        <v>66992487</v>
      </c>
      <c r="P16" s="79">
        <f t="shared" si="0"/>
        <v>66992487</v>
      </c>
      <c r="Q16" s="79">
        <f t="shared" si="0"/>
        <v>66992487</v>
      </c>
      <c r="R16" s="79">
        <f t="shared" si="0"/>
        <v>66992487</v>
      </c>
      <c r="S16" s="79">
        <f t="shared" si="0"/>
        <v>66992487</v>
      </c>
      <c r="T16" s="79">
        <f t="shared" si="0"/>
        <v>66992487</v>
      </c>
    </row>
    <row r="17" spans="1:20">
      <c r="A17" s="7"/>
      <c r="B17" s="7" t="s">
        <v>19</v>
      </c>
      <c r="C17" s="7">
        <f>'FA &amp; Operating Model'!C36</f>
        <v>0</v>
      </c>
      <c r="D17" s="7">
        <f>'FA &amp; Operating Model'!D36</f>
        <v>0</v>
      </c>
      <c r="E17" s="7">
        <f>'FA &amp; Operating Model'!E36</f>
        <v>0</v>
      </c>
      <c r="F17" s="7">
        <f>'FA &amp; Operating Model'!F36</f>
        <v>0</v>
      </c>
      <c r="G17" s="7">
        <f>'FA &amp; Operating Model'!G36</f>
        <v>0</v>
      </c>
      <c r="H17" s="79">
        <f t="shared" ref="H17:T17" si="1">G17</f>
        <v>0</v>
      </c>
      <c r="I17" s="79">
        <f t="shared" si="1"/>
        <v>0</v>
      </c>
      <c r="J17" s="79">
        <f t="shared" si="1"/>
        <v>0</v>
      </c>
      <c r="K17" s="79">
        <f t="shared" si="1"/>
        <v>0</v>
      </c>
      <c r="L17" s="79">
        <f t="shared" si="1"/>
        <v>0</v>
      </c>
      <c r="M17" s="79">
        <f t="shared" si="1"/>
        <v>0</v>
      </c>
      <c r="N17" s="79">
        <f t="shared" si="1"/>
        <v>0</v>
      </c>
      <c r="O17" s="79">
        <f t="shared" si="1"/>
        <v>0</v>
      </c>
      <c r="P17" s="79">
        <f t="shared" si="1"/>
        <v>0</v>
      </c>
      <c r="Q17" s="79">
        <f t="shared" si="1"/>
        <v>0</v>
      </c>
      <c r="R17" s="79">
        <f t="shared" si="1"/>
        <v>0</v>
      </c>
      <c r="S17" s="79">
        <f t="shared" si="1"/>
        <v>0</v>
      </c>
      <c r="T17" s="79">
        <f t="shared" si="1"/>
        <v>0</v>
      </c>
    </row>
    <row r="18" spans="1:20">
      <c r="A18" s="6"/>
      <c r="B18" s="3" t="s">
        <v>71</v>
      </c>
      <c r="C18" s="7">
        <f>'FA &amp; Operating Model'!C38</f>
        <v>0</v>
      </c>
      <c r="D18" s="7">
        <f>'FA &amp; Operating Model'!D38</f>
        <v>0</v>
      </c>
      <c r="E18" s="7">
        <f>'FA &amp; Operating Model'!E38</f>
        <v>0</v>
      </c>
      <c r="F18" s="7">
        <f>'FA &amp; Operating Model'!F38</f>
        <v>0</v>
      </c>
      <c r="G18" s="7">
        <f>'FA &amp; Operating Model'!G38</f>
        <v>0</v>
      </c>
      <c r="H18" s="79">
        <f t="shared" ref="H18:T18" si="2">G18</f>
        <v>0</v>
      </c>
      <c r="I18" s="79">
        <f t="shared" si="2"/>
        <v>0</v>
      </c>
      <c r="J18" s="79">
        <f t="shared" si="2"/>
        <v>0</v>
      </c>
      <c r="K18" s="79">
        <f t="shared" si="2"/>
        <v>0</v>
      </c>
      <c r="L18" s="79">
        <f t="shared" si="2"/>
        <v>0</v>
      </c>
      <c r="M18" s="79">
        <f t="shared" si="2"/>
        <v>0</v>
      </c>
      <c r="N18" s="79">
        <f t="shared" si="2"/>
        <v>0</v>
      </c>
      <c r="O18" s="79">
        <f t="shared" si="2"/>
        <v>0</v>
      </c>
      <c r="P18" s="79">
        <f t="shared" si="2"/>
        <v>0</v>
      </c>
      <c r="Q18" s="79">
        <f t="shared" si="2"/>
        <v>0</v>
      </c>
      <c r="R18" s="79">
        <f t="shared" si="2"/>
        <v>0</v>
      </c>
      <c r="S18" s="79">
        <f t="shared" si="2"/>
        <v>0</v>
      </c>
      <c r="T18" s="79">
        <f t="shared" si="2"/>
        <v>0</v>
      </c>
    </row>
    <row r="19" spans="1:20" s="95" customFormat="1">
      <c r="A19" s="77"/>
      <c r="B19" s="71" t="s">
        <v>24</v>
      </c>
      <c r="C19" s="71">
        <f>'FA &amp; Operating Model'!C44</f>
        <v>0</v>
      </c>
      <c r="D19" s="71">
        <f>'FA &amp; Operating Model'!D44</f>
        <v>0</v>
      </c>
      <c r="E19" s="71">
        <f>'FA &amp; Operating Model'!E44</f>
        <v>0</v>
      </c>
      <c r="F19" s="71">
        <f>'FA &amp; Operating Model'!F44</f>
        <v>0</v>
      </c>
      <c r="G19" s="71">
        <f>'FA &amp; Operating Model'!G44</f>
        <v>0</v>
      </c>
      <c r="H19" s="79">
        <v>0</v>
      </c>
      <c r="I19" s="79">
        <f t="shared" ref="I19:T19" si="3">H19</f>
        <v>0</v>
      </c>
      <c r="J19" s="79">
        <f t="shared" si="3"/>
        <v>0</v>
      </c>
      <c r="K19" s="79">
        <f t="shared" si="3"/>
        <v>0</v>
      </c>
      <c r="L19" s="79">
        <f t="shared" si="3"/>
        <v>0</v>
      </c>
      <c r="M19" s="79">
        <f t="shared" si="3"/>
        <v>0</v>
      </c>
      <c r="N19" s="79">
        <f t="shared" si="3"/>
        <v>0</v>
      </c>
      <c r="O19" s="79">
        <f t="shared" si="3"/>
        <v>0</v>
      </c>
      <c r="P19" s="79">
        <f t="shared" si="3"/>
        <v>0</v>
      </c>
      <c r="Q19" s="79">
        <f t="shared" si="3"/>
        <v>0</v>
      </c>
      <c r="R19" s="79">
        <f t="shared" si="3"/>
        <v>0</v>
      </c>
      <c r="S19" s="79">
        <f t="shared" si="3"/>
        <v>0</v>
      </c>
      <c r="T19" s="79">
        <f t="shared" si="3"/>
        <v>0</v>
      </c>
    </row>
    <row r="20" spans="1:20">
      <c r="A20" s="7"/>
      <c r="B20" s="7" t="s">
        <v>72</v>
      </c>
      <c r="C20" s="7">
        <f>'FA &amp; Operating Model'!C47</f>
        <v>0</v>
      </c>
      <c r="D20" s="7">
        <f>'FA &amp; Operating Model'!D47</f>
        <v>0</v>
      </c>
      <c r="E20" s="7">
        <f>'FA &amp; Operating Model'!E47</f>
        <v>0</v>
      </c>
      <c r="F20" s="7">
        <f>'FA &amp; Operating Model'!F47</f>
        <v>0</v>
      </c>
      <c r="G20" s="7">
        <f>'FA &amp; Operating Model'!G47</f>
        <v>0</v>
      </c>
      <c r="H20" s="79">
        <f>G20</f>
        <v>0</v>
      </c>
      <c r="I20" s="79">
        <f t="shared" ref="I20:T20" si="4">H20</f>
        <v>0</v>
      </c>
      <c r="J20" s="79">
        <f t="shared" si="4"/>
        <v>0</v>
      </c>
      <c r="K20" s="79">
        <f t="shared" si="4"/>
        <v>0</v>
      </c>
      <c r="L20" s="79">
        <f t="shared" si="4"/>
        <v>0</v>
      </c>
      <c r="M20" s="79">
        <f t="shared" si="4"/>
        <v>0</v>
      </c>
      <c r="N20" s="79">
        <f t="shared" si="4"/>
        <v>0</v>
      </c>
      <c r="O20" s="79">
        <f t="shared" si="4"/>
        <v>0</v>
      </c>
      <c r="P20" s="79">
        <f t="shared" si="4"/>
        <v>0</v>
      </c>
      <c r="Q20" s="79">
        <f t="shared" si="4"/>
        <v>0</v>
      </c>
      <c r="R20" s="79">
        <f t="shared" si="4"/>
        <v>0</v>
      </c>
      <c r="S20" s="79">
        <f t="shared" si="4"/>
        <v>0</v>
      </c>
      <c r="T20" s="79">
        <f t="shared" si="4"/>
        <v>0</v>
      </c>
    </row>
    <row r="21" spans="1:20">
      <c r="A21" s="6"/>
      <c r="B21" s="3" t="s">
        <v>73</v>
      </c>
      <c r="C21" s="6"/>
      <c r="D21" s="6"/>
      <c r="E21" s="6"/>
      <c r="F21" s="6"/>
      <c r="G21" s="6"/>
      <c r="H21" s="79">
        <f>'FA &amp; Operating Model'!H20</f>
        <v>-254486.28899999996</v>
      </c>
      <c r="I21" s="79" t="e">
        <f>'FA &amp; Operating Model'!I20</f>
        <v>#DIV/0!</v>
      </c>
      <c r="J21" s="79" t="e">
        <f>'FA &amp; Operating Model'!J20</f>
        <v>#DIV/0!</v>
      </c>
      <c r="K21" s="79" t="e">
        <f>'FA &amp; Operating Model'!K20</f>
        <v>#DIV/0!</v>
      </c>
      <c r="L21" s="79" t="e">
        <f>'FA &amp; Operating Model'!L20</f>
        <v>#DIV/0!</v>
      </c>
      <c r="M21" s="79" t="e">
        <f>'FA &amp; Operating Model'!M20</f>
        <v>#DIV/0!</v>
      </c>
      <c r="N21" s="79" t="e">
        <f>'FA &amp; Operating Model'!N20</f>
        <v>#DIV/0!</v>
      </c>
      <c r="O21" s="79" t="e">
        <f>'FA &amp; Operating Model'!O20</f>
        <v>#DIV/0!</v>
      </c>
      <c r="P21" s="79" t="e">
        <f>'FA &amp; Operating Model'!P20</f>
        <v>#DIV/0!</v>
      </c>
      <c r="Q21" s="79" t="e">
        <f>'FA &amp; Operating Model'!Q20</f>
        <v>#DIV/0!</v>
      </c>
      <c r="R21" s="79" t="e">
        <f>'FA &amp; Operating Model'!R20</f>
        <v>#DIV/0!</v>
      </c>
      <c r="S21" s="79" t="e">
        <f>'FA &amp; Operating Model'!S20</f>
        <v>#DIV/0!</v>
      </c>
      <c r="T21" s="79" t="e">
        <f>'FA &amp; Operating Model'!T20</f>
        <v>#DIV/0!</v>
      </c>
    </row>
    <row r="22" spans="1:20">
      <c r="A22" s="6"/>
      <c r="B22" s="3" t="s">
        <v>74</v>
      </c>
      <c r="C22" s="6"/>
      <c r="D22" s="6"/>
      <c r="E22" s="6"/>
      <c r="F22" s="6"/>
      <c r="G22" s="6"/>
      <c r="H22" s="80">
        <v>0.3</v>
      </c>
      <c r="I22" s="80">
        <v>0.3</v>
      </c>
      <c r="J22" s="80">
        <v>0.3</v>
      </c>
      <c r="K22" s="80">
        <v>0.3</v>
      </c>
      <c r="L22" s="80">
        <v>0.3</v>
      </c>
      <c r="M22" s="80">
        <v>0.3</v>
      </c>
      <c r="N22" s="80">
        <v>0.3</v>
      </c>
      <c r="O22" s="80">
        <v>0.3</v>
      </c>
      <c r="P22" s="80">
        <v>0.3</v>
      </c>
      <c r="Q22" s="80">
        <v>0.3</v>
      </c>
      <c r="R22" s="80">
        <v>0.3</v>
      </c>
      <c r="S22" s="80">
        <v>0.3</v>
      </c>
      <c r="T22" s="80">
        <v>0.3</v>
      </c>
    </row>
    <row r="23" spans="1:20">
      <c r="A23" s="6"/>
      <c r="B23" s="3" t="s">
        <v>75</v>
      </c>
      <c r="C23" s="6"/>
      <c r="D23" s="6"/>
      <c r="E23" s="6"/>
      <c r="F23" s="6"/>
      <c r="G23" s="6"/>
      <c r="H23" s="80">
        <v>0.3</v>
      </c>
      <c r="I23" s="80">
        <v>0.3</v>
      </c>
      <c r="J23" s="80">
        <v>0.3</v>
      </c>
      <c r="K23" s="80">
        <v>0.3</v>
      </c>
      <c r="L23" s="80">
        <v>0.3</v>
      </c>
      <c r="M23" s="80">
        <v>0.3</v>
      </c>
      <c r="N23" s="80">
        <v>0.3</v>
      </c>
      <c r="O23" s="80">
        <v>0.3</v>
      </c>
      <c r="P23" s="80">
        <v>0.3</v>
      </c>
      <c r="Q23" s="80">
        <v>0.3</v>
      </c>
      <c r="R23" s="80">
        <v>0.3</v>
      </c>
      <c r="S23" s="80">
        <v>0.3</v>
      </c>
      <c r="T23" s="80">
        <v>0.3</v>
      </c>
    </row>
    <row r="24" spans="1:20">
      <c r="A24" s="6"/>
      <c r="B24" s="3" t="s">
        <v>76</v>
      </c>
      <c r="C24" s="6"/>
      <c r="D24" s="6"/>
      <c r="E24" s="6"/>
      <c r="F24" s="6"/>
      <c r="G24" s="6"/>
      <c r="H24" s="79">
        <f>15</f>
        <v>15</v>
      </c>
      <c r="I24" s="79">
        <f>15</f>
        <v>15</v>
      </c>
      <c r="J24" s="79">
        <f>15</f>
        <v>15</v>
      </c>
      <c r="K24" s="79">
        <f>15</f>
        <v>15</v>
      </c>
      <c r="L24" s="79">
        <f>15</f>
        <v>15</v>
      </c>
      <c r="M24" s="79">
        <f>15</f>
        <v>15</v>
      </c>
      <c r="N24" s="79">
        <f>15</f>
        <v>15</v>
      </c>
      <c r="O24" s="79">
        <f>15</f>
        <v>15</v>
      </c>
      <c r="P24" s="79">
        <f>15</f>
        <v>15</v>
      </c>
      <c r="Q24" s="79">
        <f>15</f>
        <v>15</v>
      </c>
      <c r="R24" s="79">
        <f>15</f>
        <v>15</v>
      </c>
      <c r="S24" s="79">
        <f>15</f>
        <v>15</v>
      </c>
      <c r="T24" s="79">
        <f>15</f>
        <v>15</v>
      </c>
    </row>
    <row r="25" spans="1:20">
      <c r="A25" s="6"/>
      <c r="B25" s="3" t="s">
        <v>77</v>
      </c>
      <c r="C25" s="6"/>
      <c r="D25" s="6"/>
      <c r="E25" s="6"/>
      <c r="F25" s="6"/>
      <c r="G25" s="6"/>
      <c r="H25" s="79">
        <v>30</v>
      </c>
      <c r="I25" s="79">
        <v>30</v>
      </c>
      <c r="J25" s="79">
        <v>30</v>
      </c>
      <c r="K25" s="79">
        <v>30</v>
      </c>
      <c r="L25" s="79">
        <v>30</v>
      </c>
      <c r="M25" s="79">
        <v>30</v>
      </c>
      <c r="N25" s="79">
        <v>30</v>
      </c>
      <c r="O25" s="79">
        <v>30</v>
      </c>
      <c r="P25" s="79">
        <v>30</v>
      </c>
      <c r="Q25" s="79">
        <v>30</v>
      </c>
      <c r="R25" s="79">
        <v>30</v>
      </c>
      <c r="S25" s="79">
        <v>30</v>
      </c>
      <c r="T25" s="79">
        <v>30</v>
      </c>
    </row>
    <row r="26" spans="1:20">
      <c r="A26" s="6"/>
      <c r="B26" s="3" t="s">
        <v>78</v>
      </c>
      <c r="C26" s="6"/>
      <c r="D26" s="6"/>
      <c r="E26" s="6"/>
      <c r="F26" s="6"/>
      <c r="G26" s="6"/>
      <c r="H26" s="80">
        <v>0.25</v>
      </c>
      <c r="I26" s="80">
        <v>0.25</v>
      </c>
      <c r="J26" s="80">
        <v>0.25</v>
      </c>
      <c r="K26" s="80">
        <v>0.25</v>
      </c>
      <c r="L26" s="80">
        <v>0.25</v>
      </c>
      <c r="M26" s="80">
        <v>0.25</v>
      </c>
      <c r="N26" s="80">
        <v>0.25</v>
      </c>
      <c r="O26" s="80">
        <v>0.25</v>
      </c>
      <c r="P26" s="80">
        <v>0.25</v>
      </c>
      <c r="Q26" s="80">
        <v>0.25</v>
      </c>
      <c r="R26" s="80">
        <v>0.25</v>
      </c>
      <c r="S26" s="80">
        <v>0.25</v>
      </c>
      <c r="T26" s="80">
        <v>0.25</v>
      </c>
    </row>
    <row r="27" spans="1:20" s="73" customFormat="1" ht="14" customHeight="1">
      <c r="A27" s="6" t="s">
        <v>79</v>
      </c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</row>
    <row r="28" spans="1:20" s="73" customFormat="1" ht="14" customHeight="1">
      <c r="A28" s="74" t="s">
        <v>80</v>
      </c>
      <c r="B28" s="150" t="s">
        <v>81</v>
      </c>
      <c r="C28" s="73" t="e">
        <f>'FA &amp; Operating Model'!C7/'FA &amp; Operating Model'!C29</f>
        <v>#DIV/0!</v>
      </c>
      <c r="D28" s="75" t="e">
        <f>'FA &amp; Operating Model'!D7/'FA &amp; Operating Model'!D29</f>
        <v>#DIV/0!</v>
      </c>
      <c r="E28" s="75" t="e">
        <f>'FA &amp; Operating Model'!E7/'FA &amp; Operating Model'!E29</f>
        <v>#DIV/0!</v>
      </c>
      <c r="F28" s="75" t="e">
        <f>'FA &amp; Operating Model'!F7/'FA &amp; Operating Model'!F29</f>
        <v>#DIV/0!</v>
      </c>
      <c r="G28" s="75" t="e">
        <f>'FA &amp; Operating Model'!G7/'FA &amp; Operating Model'!G29</f>
        <v>#DIV/0!</v>
      </c>
      <c r="H28" s="82" t="e">
        <f t="shared" ref="H28:T32" si="5">AVERAGE(D28:G28)</f>
        <v>#DIV/0!</v>
      </c>
      <c r="I28" s="82" t="e">
        <f t="shared" si="5"/>
        <v>#DIV/0!</v>
      </c>
      <c r="J28" s="82" t="e">
        <f t="shared" si="5"/>
        <v>#DIV/0!</v>
      </c>
      <c r="K28" s="82" t="e">
        <f t="shared" si="5"/>
        <v>#DIV/0!</v>
      </c>
      <c r="L28" s="82" t="e">
        <f t="shared" si="5"/>
        <v>#DIV/0!</v>
      </c>
      <c r="M28" s="82" t="e">
        <f t="shared" si="5"/>
        <v>#DIV/0!</v>
      </c>
      <c r="N28" s="82" t="e">
        <f t="shared" si="5"/>
        <v>#DIV/0!</v>
      </c>
      <c r="O28" s="82" t="e">
        <f t="shared" si="5"/>
        <v>#DIV/0!</v>
      </c>
      <c r="P28" s="82" t="e">
        <f t="shared" si="5"/>
        <v>#DIV/0!</v>
      </c>
      <c r="Q28" s="82" t="e">
        <f t="shared" si="5"/>
        <v>#DIV/0!</v>
      </c>
      <c r="R28" s="82" t="e">
        <f t="shared" si="5"/>
        <v>#DIV/0!</v>
      </c>
      <c r="S28" s="82" t="e">
        <f t="shared" si="5"/>
        <v>#DIV/0!</v>
      </c>
      <c r="T28" s="82" t="e">
        <f t="shared" si="5"/>
        <v>#DIV/0!</v>
      </c>
    </row>
    <row r="29" spans="1:20" s="73" customFormat="1" ht="14" customHeight="1">
      <c r="A29" s="74" t="s">
        <v>82</v>
      </c>
      <c r="B29" s="150" t="s">
        <v>83</v>
      </c>
      <c r="C29" s="73" t="e">
        <f>'FA &amp; Operating Model'!C6/'FA &amp; Operating Model'!C28</f>
        <v>#DIV/0!</v>
      </c>
      <c r="D29" s="75" t="e">
        <f>'FA &amp; Operating Model'!D6/'FA &amp; Operating Model'!D28</f>
        <v>#DIV/0!</v>
      </c>
      <c r="E29" s="75" t="e">
        <f>'FA &amp; Operating Model'!E6/'FA &amp; Operating Model'!E28</f>
        <v>#DIV/0!</v>
      </c>
      <c r="F29" s="75" t="e">
        <f>'FA &amp; Operating Model'!F6/'FA &amp; Operating Model'!F28</f>
        <v>#DIV/0!</v>
      </c>
      <c r="G29" s="75" t="e">
        <f>'FA &amp; Operating Model'!G6/'FA &amp; Operating Model'!G28</f>
        <v>#DIV/0!</v>
      </c>
      <c r="H29" s="82" t="e">
        <f t="shared" si="5"/>
        <v>#DIV/0!</v>
      </c>
      <c r="I29" s="82" t="e">
        <f t="shared" si="5"/>
        <v>#DIV/0!</v>
      </c>
      <c r="J29" s="82" t="e">
        <f t="shared" si="5"/>
        <v>#DIV/0!</v>
      </c>
      <c r="K29" s="82" t="e">
        <f t="shared" si="5"/>
        <v>#DIV/0!</v>
      </c>
      <c r="L29" s="82" t="e">
        <f t="shared" si="5"/>
        <v>#DIV/0!</v>
      </c>
      <c r="M29" s="82" t="e">
        <f t="shared" si="5"/>
        <v>#DIV/0!</v>
      </c>
      <c r="N29" s="82" t="e">
        <f t="shared" si="5"/>
        <v>#DIV/0!</v>
      </c>
      <c r="O29" s="82" t="e">
        <f t="shared" si="5"/>
        <v>#DIV/0!</v>
      </c>
      <c r="P29" s="82" t="e">
        <f t="shared" si="5"/>
        <v>#DIV/0!</v>
      </c>
      <c r="Q29" s="82" t="e">
        <f t="shared" si="5"/>
        <v>#DIV/0!</v>
      </c>
      <c r="R29" s="82" t="e">
        <f t="shared" si="5"/>
        <v>#DIV/0!</v>
      </c>
      <c r="S29" s="82" t="e">
        <f t="shared" si="5"/>
        <v>#DIV/0!</v>
      </c>
      <c r="T29" s="82" t="e">
        <f t="shared" si="5"/>
        <v>#DIV/0!</v>
      </c>
    </row>
    <row r="30" spans="1:20" s="73" customFormat="1" ht="14" customHeight="1">
      <c r="A30" s="74" t="s">
        <v>15</v>
      </c>
      <c r="B30" s="150" t="s">
        <v>81</v>
      </c>
      <c r="C30" s="73" t="e">
        <f>'FA &amp; Operating Model'!C30/'FA &amp; Operating Model'!C7</f>
        <v>#DIV/0!</v>
      </c>
      <c r="D30" s="75" t="e">
        <f>'FA &amp; Operating Model'!D7/'FA &amp; Operating Model'!D30</f>
        <v>#DIV/0!</v>
      </c>
      <c r="E30" s="75" t="e">
        <f>'FA &amp; Operating Model'!E7/'FA &amp; Operating Model'!E30</f>
        <v>#DIV/0!</v>
      </c>
      <c r="F30" s="75" t="e">
        <f>'FA &amp; Operating Model'!F7/'FA &amp; Operating Model'!F30</f>
        <v>#DIV/0!</v>
      </c>
      <c r="G30" s="75" t="e">
        <f>'FA &amp; Operating Model'!G7/'FA &amp; Operating Model'!G30</f>
        <v>#DIV/0!</v>
      </c>
      <c r="H30" s="82" t="e">
        <f t="shared" si="5"/>
        <v>#DIV/0!</v>
      </c>
      <c r="I30" s="82" t="e">
        <f t="shared" si="5"/>
        <v>#DIV/0!</v>
      </c>
      <c r="J30" s="82" t="e">
        <f t="shared" si="5"/>
        <v>#DIV/0!</v>
      </c>
      <c r="K30" s="82" t="e">
        <f t="shared" si="5"/>
        <v>#DIV/0!</v>
      </c>
      <c r="L30" s="82" t="e">
        <f t="shared" si="5"/>
        <v>#DIV/0!</v>
      </c>
      <c r="M30" s="82" t="e">
        <f t="shared" si="5"/>
        <v>#DIV/0!</v>
      </c>
      <c r="N30" s="82" t="e">
        <f t="shared" si="5"/>
        <v>#DIV/0!</v>
      </c>
      <c r="O30" s="82" t="e">
        <f t="shared" si="5"/>
        <v>#DIV/0!</v>
      </c>
      <c r="P30" s="82" t="e">
        <f t="shared" si="5"/>
        <v>#DIV/0!</v>
      </c>
      <c r="Q30" s="82" t="e">
        <f t="shared" si="5"/>
        <v>#DIV/0!</v>
      </c>
      <c r="R30" s="82" t="e">
        <f t="shared" si="5"/>
        <v>#DIV/0!</v>
      </c>
      <c r="S30" s="82" t="e">
        <f t="shared" si="5"/>
        <v>#DIV/0!</v>
      </c>
      <c r="T30" s="82" t="e">
        <f t="shared" si="5"/>
        <v>#DIV/0!</v>
      </c>
    </row>
    <row r="31" spans="1:20" s="73" customFormat="1" ht="14" customHeight="1">
      <c r="A31" s="74" t="s">
        <v>84</v>
      </c>
      <c r="B31" s="150" t="s">
        <v>81</v>
      </c>
      <c r="C31" s="73" t="e">
        <f>'FA &amp; Operating Model'!C7/'FA &amp; Operating Model'!C45</f>
        <v>#DIV/0!</v>
      </c>
      <c r="D31" s="75" t="e">
        <f>'FA &amp; Operating Model'!D7/'FA &amp; Operating Model'!D45</f>
        <v>#DIV/0!</v>
      </c>
      <c r="E31" s="75" t="e">
        <f>'FA &amp; Operating Model'!E7/'FA &amp; Operating Model'!E45</f>
        <v>#DIV/0!</v>
      </c>
      <c r="F31" s="75" t="e">
        <f>'FA &amp; Operating Model'!F7/'FA &amp; Operating Model'!F45</f>
        <v>#DIV/0!</v>
      </c>
      <c r="G31" s="75" t="e">
        <f>'FA &amp; Operating Model'!G7/'FA &amp; Operating Model'!G45</f>
        <v>#DIV/0!</v>
      </c>
      <c r="H31" s="82" t="e">
        <f t="shared" si="5"/>
        <v>#DIV/0!</v>
      </c>
      <c r="I31" s="82" t="e">
        <f t="shared" si="5"/>
        <v>#DIV/0!</v>
      </c>
      <c r="J31" s="82" t="e">
        <f t="shared" si="5"/>
        <v>#DIV/0!</v>
      </c>
      <c r="K31" s="82" t="e">
        <f t="shared" si="5"/>
        <v>#DIV/0!</v>
      </c>
      <c r="L31" s="82" t="e">
        <f t="shared" si="5"/>
        <v>#DIV/0!</v>
      </c>
      <c r="M31" s="82" t="e">
        <f t="shared" si="5"/>
        <v>#DIV/0!</v>
      </c>
      <c r="N31" s="82" t="e">
        <f t="shared" si="5"/>
        <v>#DIV/0!</v>
      </c>
      <c r="O31" s="82" t="e">
        <f t="shared" si="5"/>
        <v>#DIV/0!</v>
      </c>
      <c r="P31" s="82" t="e">
        <f t="shared" si="5"/>
        <v>#DIV/0!</v>
      </c>
      <c r="Q31" s="82" t="e">
        <f t="shared" si="5"/>
        <v>#DIV/0!</v>
      </c>
      <c r="R31" s="82" t="e">
        <f t="shared" si="5"/>
        <v>#DIV/0!</v>
      </c>
      <c r="S31" s="82" t="e">
        <f t="shared" si="5"/>
        <v>#DIV/0!</v>
      </c>
      <c r="T31" s="82" t="e">
        <f t="shared" si="5"/>
        <v>#DIV/0!</v>
      </c>
    </row>
    <row r="32" spans="1:20">
      <c r="A32" s="74" t="s">
        <v>26</v>
      </c>
      <c r="B32" s="151" t="s">
        <v>81</v>
      </c>
      <c r="C32" s="73" t="e">
        <f>'FA &amp; Operating Model'!C46/'FA &amp; Operating Model'!C7</f>
        <v>#DIV/0!</v>
      </c>
      <c r="D32" s="75" t="e">
        <f>'FA &amp; Operating Model'!D46/'FA &amp; Operating Model'!D7</f>
        <v>#DIV/0!</v>
      </c>
      <c r="E32" s="75" t="e">
        <f>'FA &amp; Operating Model'!E46/'FA &amp; Operating Model'!E7</f>
        <v>#DIV/0!</v>
      </c>
      <c r="F32" s="75" t="e">
        <f>'FA &amp; Operating Model'!F46/'FA &amp; Operating Model'!F7</f>
        <v>#DIV/0!</v>
      </c>
      <c r="G32" s="75" t="e">
        <f>'FA &amp; Operating Model'!G46/'FA &amp; Operating Model'!G7</f>
        <v>#DIV/0!</v>
      </c>
      <c r="H32" s="82" t="e">
        <f t="shared" si="5"/>
        <v>#DIV/0!</v>
      </c>
      <c r="I32" s="82" t="e">
        <f t="shared" si="5"/>
        <v>#DIV/0!</v>
      </c>
      <c r="J32" s="82" t="e">
        <f t="shared" si="5"/>
        <v>#DIV/0!</v>
      </c>
      <c r="K32" s="82" t="e">
        <f t="shared" si="5"/>
        <v>#DIV/0!</v>
      </c>
      <c r="L32" s="82" t="e">
        <f t="shared" si="5"/>
        <v>#DIV/0!</v>
      </c>
      <c r="M32" s="82" t="e">
        <f t="shared" si="5"/>
        <v>#DIV/0!</v>
      </c>
      <c r="N32" s="82" t="e">
        <f t="shared" si="5"/>
        <v>#DIV/0!</v>
      </c>
      <c r="O32" s="82" t="e">
        <f t="shared" si="5"/>
        <v>#DIV/0!</v>
      </c>
      <c r="P32" s="82" t="e">
        <f t="shared" si="5"/>
        <v>#DIV/0!</v>
      </c>
      <c r="Q32" s="82" t="e">
        <f t="shared" si="5"/>
        <v>#DIV/0!</v>
      </c>
      <c r="R32" s="82" t="e">
        <f t="shared" si="5"/>
        <v>#DIV/0!</v>
      </c>
      <c r="S32" s="82" t="e">
        <f t="shared" si="5"/>
        <v>#DIV/0!</v>
      </c>
      <c r="T32" s="82" t="e">
        <f t="shared" si="5"/>
        <v>#DIV/0!</v>
      </c>
    </row>
    <row r="33" spans="1:20">
      <c r="B33" s="30"/>
    </row>
    <row r="35" spans="1:20" ht="17.5" customHeight="1">
      <c r="A35" s="20" t="s">
        <v>85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154" t="s">
        <v>86</v>
      </c>
      <c r="B37" s="93" t="s">
        <v>87</v>
      </c>
      <c r="H37" s="126">
        <v>15</v>
      </c>
    </row>
    <row r="38" spans="1:20">
      <c r="A38" s="155"/>
      <c r="B38" s="93" t="s">
        <v>88</v>
      </c>
      <c r="H38" s="126">
        <v>30</v>
      </c>
    </row>
    <row r="39" spans="1:20">
      <c r="A39" s="156" t="s">
        <v>89</v>
      </c>
      <c r="B39" s="149" t="s">
        <v>90</v>
      </c>
      <c r="H39" s="127">
        <v>2.29E-2</v>
      </c>
    </row>
    <row r="40" spans="1:20">
      <c r="A40" s="157"/>
      <c r="B40" s="149" t="s">
        <v>91</v>
      </c>
      <c r="H40" s="127">
        <v>2.29E-2</v>
      </c>
    </row>
    <row r="41" spans="1:20">
      <c r="A41" s="157"/>
      <c r="B41" s="149" t="s">
        <v>92</v>
      </c>
      <c r="H41" s="127">
        <v>4.3400000000000001E-2</v>
      </c>
    </row>
    <row r="42" spans="1:20">
      <c r="A42" s="157"/>
      <c r="B42" s="149" t="s">
        <v>93</v>
      </c>
      <c r="H42" s="126">
        <v>2</v>
      </c>
    </row>
    <row r="43" spans="1:20">
      <c r="A43" s="157"/>
      <c r="B43" s="149" t="s">
        <v>94</v>
      </c>
      <c r="H43" s="127">
        <v>5.2999999999999999E-2</v>
      </c>
    </row>
    <row r="44" spans="1:20" ht="15.5" customHeight="1">
      <c r="A44" s="157"/>
      <c r="B44" s="105" t="s">
        <v>95</v>
      </c>
      <c r="H44" s="128">
        <v>15000000</v>
      </c>
    </row>
    <row r="45" spans="1:20" ht="15.5" customHeight="1">
      <c r="A45" s="157"/>
      <c r="B45" s="105" t="s">
        <v>96</v>
      </c>
      <c r="H45" s="128">
        <v>36440000000</v>
      </c>
    </row>
    <row r="46" spans="1:20" ht="15.5" customHeight="1">
      <c r="A46" s="155"/>
      <c r="B46" s="105" t="s">
        <v>97</v>
      </c>
      <c r="H46" s="128">
        <v>1002000000</v>
      </c>
    </row>
    <row r="47" spans="1:20" ht="15.5" customHeight="1">
      <c r="B47" s="26"/>
    </row>
    <row r="49" spans="1:20" ht="17.5" hidden="1" customHeight="1" outlineLevel="1">
      <c r="A49" s="20" t="s">
        <v>98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hidden="1" outlineLevel="1">
      <c r="A50" s="36"/>
      <c r="B50" s="37" t="s">
        <v>24</v>
      </c>
      <c r="C50" s="37">
        <f>'FA &amp; Operating Model'!C44</f>
        <v>0</v>
      </c>
      <c r="D50" s="37">
        <f>'FA &amp; Operating Model'!D44</f>
        <v>0</v>
      </c>
      <c r="E50" s="37">
        <f>'FA &amp; Operating Model'!E44</f>
        <v>0</v>
      </c>
      <c r="F50" s="37">
        <f>'FA &amp; Operating Model'!F44</f>
        <v>0</v>
      </c>
      <c r="G50" s="37">
        <f>'FA &amp; Operating Model'!G44</f>
        <v>0</v>
      </c>
      <c r="H50" s="37">
        <f t="shared" ref="H50:T50" si="6">H19</f>
        <v>0</v>
      </c>
      <c r="I50" s="37">
        <f t="shared" si="6"/>
        <v>0</v>
      </c>
      <c r="J50" s="37">
        <f t="shared" si="6"/>
        <v>0</v>
      </c>
      <c r="K50" s="37">
        <f t="shared" si="6"/>
        <v>0</v>
      </c>
      <c r="L50" s="37">
        <f t="shared" si="6"/>
        <v>0</v>
      </c>
      <c r="M50" s="37">
        <f t="shared" si="6"/>
        <v>0</v>
      </c>
      <c r="N50" s="37">
        <f t="shared" si="6"/>
        <v>0</v>
      </c>
      <c r="O50" s="37">
        <f t="shared" si="6"/>
        <v>0</v>
      </c>
      <c r="P50" s="37">
        <f t="shared" si="6"/>
        <v>0</v>
      </c>
      <c r="Q50" s="37">
        <f t="shared" si="6"/>
        <v>0</v>
      </c>
      <c r="R50" s="37">
        <f t="shared" si="6"/>
        <v>0</v>
      </c>
      <c r="S50" s="37">
        <f t="shared" si="6"/>
        <v>0</v>
      </c>
      <c r="T50" s="37">
        <f t="shared" si="6"/>
        <v>0</v>
      </c>
    </row>
    <row r="51" spans="1:20" hidden="1" outlineLevel="1">
      <c r="A51" s="37"/>
      <c r="B51" s="37" t="s">
        <v>99</v>
      </c>
      <c r="C51" s="37">
        <f>'FA &amp; Operating Model'!C51</f>
        <v>0</v>
      </c>
      <c r="D51" s="37">
        <f>'FA &amp; Operating Model'!D51</f>
        <v>0</v>
      </c>
      <c r="E51" s="37">
        <f>'FA &amp; Operating Model'!E51</f>
        <v>0</v>
      </c>
      <c r="F51" s="37">
        <f>'FA &amp; Operating Model'!F51</f>
        <v>0</v>
      </c>
      <c r="G51" s="37">
        <f>'FA &amp; Operating Model'!G51</f>
        <v>0</v>
      </c>
      <c r="H51" s="37">
        <f t="shared" ref="H51:T51" si="7">H61</f>
        <v>1002874.4249999998</v>
      </c>
      <c r="I51" s="37">
        <f t="shared" si="7"/>
        <v>2306611.1775000002</v>
      </c>
      <c r="J51" s="37">
        <f t="shared" si="7"/>
        <v>4001468.9557500007</v>
      </c>
      <c r="K51" s="37">
        <f t="shared" si="7"/>
        <v>6204784.0674750004</v>
      </c>
      <c r="L51" s="37">
        <f t="shared" si="7"/>
        <v>9069093.7127175014</v>
      </c>
      <c r="M51" s="37">
        <f t="shared" si="7"/>
        <v>12792696.251532752</v>
      </c>
      <c r="N51" s="37">
        <f t="shared" si="7"/>
        <v>17633379.551992577</v>
      </c>
      <c r="O51" s="37">
        <f t="shared" si="7"/>
        <v>23926267.842590351</v>
      </c>
      <c r="P51" s="37">
        <f t="shared" si="7"/>
        <v>32107022.62036746</v>
      </c>
      <c r="Q51" s="37">
        <f t="shared" si="7"/>
        <v>42742003.831477702</v>
      </c>
      <c r="R51" s="37">
        <f t="shared" si="7"/>
        <v>56567479.405921012</v>
      </c>
      <c r="S51" s="37">
        <f t="shared" si="7"/>
        <v>74540597.652697325</v>
      </c>
      <c r="T51" s="37">
        <f t="shared" si="7"/>
        <v>97905651.373506531</v>
      </c>
    </row>
    <row r="52" spans="1:20" hidden="1" outlineLevel="1">
      <c r="A52" s="37"/>
      <c r="B52" s="37" t="s">
        <v>100</v>
      </c>
      <c r="C52" s="37">
        <f t="shared" ref="C52:T52" si="8">C50+C51</f>
        <v>0</v>
      </c>
      <c r="D52" s="37">
        <f t="shared" si="8"/>
        <v>0</v>
      </c>
      <c r="E52" s="37">
        <f t="shared" si="8"/>
        <v>0</v>
      </c>
      <c r="F52" s="37">
        <f t="shared" si="8"/>
        <v>0</v>
      </c>
      <c r="G52" s="37">
        <f t="shared" si="8"/>
        <v>0</v>
      </c>
      <c r="H52" s="37">
        <f t="shared" si="8"/>
        <v>1002874.4249999998</v>
      </c>
      <c r="I52" s="37">
        <f t="shared" si="8"/>
        <v>2306611.1775000002</v>
      </c>
      <c r="J52" s="37">
        <f t="shared" si="8"/>
        <v>4001468.9557500007</v>
      </c>
      <c r="K52" s="37">
        <f t="shared" si="8"/>
        <v>6204784.0674750004</v>
      </c>
      <c r="L52" s="37">
        <f t="shared" si="8"/>
        <v>9069093.7127175014</v>
      </c>
      <c r="M52" s="37">
        <f t="shared" si="8"/>
        <v>12792696.251532752</v>
      </c>
      <c r="N52" s="37">
        <f t="shared" si="8"/>
        <v>17633379.551992577</v>
      </c>
      <c r="O52" s="37">
        <f t="shared" si="8"/>
        <v>23926267.842590351</v>
      </c>
      <c r="P52" s="37">
        <f t="shared" si="8"/>
        <v>32107022.62036746</v>
      </c>
      <c r="Q52" s="37">
        <f t="shared" si="8"/>
        <v>42742003.831477702</v>
      </c>
      <c r="R52" s="37">
        <f t="shared" si="8"/>
        <v>56567479.405921012</v>
      </c>
      <c r="S52" s="37">
        <f t="shared" si="8"/>
        <v>74540597.652697325</v>
      </c>
      <c r="T52" s="37">
        <f t="shared" si="8"/>
        <v>97905651.373506531</v>
      </c>
    </row>
    <row r="53" spans="1:20" hidden="1" outlineLevel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spans="1:20" hidden="1" outlineLevel="1">
      <c r="A54" s="37"/>
      <c r="B54" s="37" t="s">
        <v>78</v>
      </c>
      <c r="C54" s="37"/>
      <c r="D54" s="37"/>
      <c r="E54" s="37"/>
      <c r="H54" s="92">
        <f t="shared" ref="H54:T54" si="9">H26</f>
        <v>0.25</v>
      </c>
      <c r="I54" s="92">
        <f t="shared" si="9"/>
        <v>0.25</v>
      </c>
      <c r="J54" s="92">
        <f t="shared" si="9"/>
        <v>0.25</v>
      </c>
      <c r="K54" s="92">
        <f t="shared" si="9"/>
        <v>0.25</v>
      </c>
      <c r="L54" s="92">
        <f t="shared" si="9"/>
        <v>0.25</v>
      </c>
      <c r="M54" s="92">
        <f t="shared" si="9"/>
        <v>0.25</v>
      </c>
      <c r="N54" s="92">
        <f t="shared" si="9"/>
        <v>0.25</v>
      </c>
      <c r="O54" s="92">
        <f t="shared" si="9"/>
        <v>0.25</v>
      </c>
      <c r="P54" s="92">
        <f t="shared" si="9"/>
        <v>0.25</v>
      </c>
      <c r="Q54" s="92">
        <f t="shared" si="9"/>
        <v>0.25</v>
      </c>
      <c r="R54" s="92">
        <f t="shared" si="9"/>
        <v>0.25</v>
      </c>
      <c r="S54" s="92">
        <f t="shared" si="9"/>
        <v>0.25</v>
      </c>
      <c r="T54" s="92">
        <f t="shared" si="9"/>
        <v>0.25</v>
      </c>
    </row>
    <row r="55" spans="1:20" hidden="1" outlineLevel="1">
      <c r="A55" s="36"/>
      <c r="B55" s="37" t="s">
        <v>101</v>
      </c>
      <c r="C55" s="37"/>
      <c r="D55" s="37"/>
      <c r="E55" s="37"/>
      <c r="H55" s="37">
        <f t="shared" ref="H55:T55" si="10">H79*H26</f>
        <v>1002874.4249999998</v>
      </c>
      <c r="I55" s="37">
        <f t="shared" si="10"/>
        <v>1303736.7525000004</v>
      </c>
      <c r="J55" s="37">
        <f t="shared" si="10"/>
        <v>1694857.7782500004</v>
      </c>
      <c r="K55" s="37">
        <f t="shared" si="10"/>
        <v>2203315.1117249997</v>
      </c>
      <c r="L55" s="37">
        <f t="shared" si="10"/>
        <v>2864309.6452425011</v>
      </c>
      <c r="M55" s="37">
        <f t="shared" si="10"/>
        <v>3723602.5388152506</v>
      </c>
      <c r="N55" s="37">
        <f t="shared" si="10"/>
        <v>4840683.3004598245</v>
      </c>
      <c r="O55" s="37">
        <f t="shared" si="10"/>
        <v>6292888.2905977741</v>
      </c>
      <c r="P55" s="37">
        <f t="shared" si="10"/>
        <v>8180754.7777771093</v>
      </c>
      <c r="Q55" s="37">
        <f t="shared" si="10"/>
        <v>10634981.211110242</v>
      </c>
      <c r="R55" s="37">
        <f t="shared" si="10"/>
        <v>13825475.57444331</v>
      </c>
      <c r="S55" s="37">
        <f t="shared" si="10"/>
        <v>17973118.246776313</v>
      </c>
      <c r="T55" s="37">
        <f t="shared" si="10"/>
        <v>23365053.720809206</v>
      </c>
    </row>
    <row r="56" spans="1:20" hidden="1" outlineLevel="1">
      <c r="A56" s="37"/>
      <c r="B56" s="37"/>
      <c r="C56" s="37"/>
      <c r="D56" s="37"/>
      <c r="E56" s="37"/>
      <c r="H56" s="38"/>
      <c r="I56" s="38"/>
      <c r="J56" s="38"/>
      <c r="K56" s="38"/>
      <c r="L56" s="38"/>
    </row>
    <row r="57" spans="1:20" hidden="1" outlineLevel="1">
      <c r="A57" s="37"/>
      <c r="B57" s="39" t="s">
        <v>102</v>
      </c>
      <c r="C57" s="37"/>
      <c r="D57" s="37"/>
      <c r="E57" s="37"/>
      <c r="H57" s="38"/>
      <c r="I57" s="38"/>
      <c r="J57" s="38"/>
      <c r="K57" s="38"/>
      <c r="L57" s="38"/>
    </row>
    <row r="58" spans="1:20" hidden="1" outlineLevel="1">
      <c r="A58" s="37"/>
      <c r="B58" s="37" t="s">
        <v>103</v>
      </c>
      <c r="C58" s="37"/>
      <c r="D58" s="37"/>
      <c r="E58" s="37"/>
      <c r="H58" s="38">
        <f>G52</f>
        <v>0</v>
      </c>
      <c r="I58" s="38">
        <f t="shared" ref="I58:T58" si="11">H61</f>
        <v>1002874.4249999998</v>
      </c>
      <c r="J58" s="38">
        <f t="shared" si="11"/>
        <v>2306611.1775000002</v>
      </c>
      <c r="K58" s="38">
        <f t="shared" si="11"/>
        <v>4001468.9557500007</v>
      </c>
      <c r="L58" s="38">
        <f t="shared" si="11"/>
        <v>6204784.0674750004</v>
      </c>
      <c r="M58" s="38">
        <f t="shared" si="11"/>
        <v>9069093.7127175014</v>
      </c>
      <c r="N58" s="38">
        <f t="shared" si="11"/>
        <v>12792696.251532752</v>
      </c>
      <c r="O58" s="38">
        <f t="shared" si="11"/>
        <v>17633379.551992577</v>
      </c>
      <c r="P58" s="38">
        <f t="shared" si="11"/>
        <v>23926267.842590351</v>
      </c>
      <c r="Q58" s="38">
        <f t="shared" si="11"/>
        <v>32107022.62036746</v>
      </c>
      <c r="R58" s="38">
        <f t="shared" si="11"/>
        <v>42742003.831477702</v>
      </c>
      <c r="S58" s="38">
        <f t="shared" si="11"/>
        <v>56567479.405921012</v>
      </c>
      <c r="T58" s="38">
        <f t="shared" si="11"/>
        <v>74540597.652697325</v>
      </c>
    </row>
    <row r="59" spans="1:20" hidden="1" outlineLevel="1">
      <c r="A59" s="37"/>
      <c r="B59" s="37" t="s">
        <v>104</v>
      </c>
      <c r="C59" s="40"/>
      <c r="D59" s="37"/>
      <c r="E59" s="41"/>
      <c r="H59" s="38">
        <f>G50</f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</row>
    <row r="60" spans="1:20" hidden="1" outlineLevel="1">
      <c r="A60" s="37"/>
      <c r="B60" s="37" t="s">
        <v>105</v>
      </c>
      <c r="C60" s="37"/>
      <c r="D60" s="37"/>
      <c r="E60" s="37"/>
      <c r="F60" s="42"/>
      <c r="G60" s="42"/>
      <c r="H60" s="37">
        <f t="shared" ref="H60:T60" si="12">H55</f>
        <v>1002874.4249999998</v>
      </c>
      <c r="I60" s="37">
        <f t="shared" si="12"/>
        <v>1303736.7525000004</v>
      </c>
      <c r="J60" s="37">
        <f t="shared" si="12"/>
        <v>1694857.7782500004</v>
      </c>
      <c r="K60" s="37">
        <f t="shared" si="12"/>
        <v>2203315.1117249997</v>
      </c>
      <c r="L60" s="37">
        <f t="shared" si="12"/>
        <v>2864309.6452425011</v>
      </c>
      <c r="M60" s="37">
        <f t="shared" si="12"/>
        <v>3723602.5388152506</v>
      </c>
      <c r="N60" s="37">
        <f t="shared" si="12"/>
        <v>4840683.3004598245</v>
      </c>
      <c r="O60" s="37">
        <f t="shared" si="12"/>
        <v>6292888.2905977741</v>
      </c>
      <c r="P60" s="37">
        <f t="shared" si="12"/>
        <v>8180754.7777771093</v>
      </c>
      <c r="Q60" s="37">
        <f t="shared" si="12"/>
        <v>10634981.211110242</v>
      </c>
      <c r="R60" s="37">
        <f t="shared" si="12"/>
        <v>13825475.57444331</v>
      </c>
      <c r="S60" s="37">
        <f t="shared" si="12"/>
        <v>17973118.246776313</v>
      </c>
      <c r="T60" s="37">
        <f t="shared" si="12"/>
        <v>23365053.720809206</v>
      </c>
    </row>
    <row r="61" spans="1:20" hidden="1" outlineLevel="1">
      <c r="A61" s="36"/>
      <c r="B61" s="43" t="s">
        <v>106</v>
      </c>
      <c r="C61" s="43"/>
      <c r="D61" s="43"/>
      <c r="E61" s="43"/>
      <c r="H61" s="43">
        <f t="shared" ref="H61:T61" si="13">H60+H58+H59</f>
        <v>1002874.4249999998</v>
      </c>
      <c r="I61" s="43">
        <f t="shared" si="13"/>
        <v>2306611.1775000002</v>
      </c>
      <c r="J61" s="43">
        <f t="shared" si="13"/>
        <v>4001468.9557500007</v>
      </c>
      <c r="K61" s="43">
        <f t="shared" si="13"/>
        <v>6204784.0674750004</v>
      </c>
      <c r="L61" s="43">
        <f t="shared" si="13"/>
        <v>9069093.7127175014</v>
      </c>
      <c r="M61" s="43">
        <f t="shared" si="13"/>
        <v>12792696.251532752</v>
      </c>
      <c r="N61" s="43">
        <f t="shared" si="13"/>
        <v>17633379.551992577</v>
      </c>
      <c r="O61" s="43">
        <f t="shared" si="13"/>
        <v>23926267.842590351</v>
      </c>
      <c r="P61" s="43">
        <f t="shared" si="13"/>
        <v>32107022.62036746</v>
      </c>
      <c r="Q61" s="43">
        <f t="shared" si="13"/>
        <v>42742003.831477702</v>
      </c>
      <c r="R61" s="43">
        <f t="shared" si="13"/>
        <v>56567479.405921012</v>
      </c>
      <c r="S61" s="43">
        <f t="shared" si="13"/>
        <v>74540597.652697325</v>
      </c>
      <c r="T61" s="43">
        <f t="shared" si="13"/>
        <v>97905651.373506531</v>
      </c>
    </row>
    <row r="62" spans="1:20" hidden="1" outlineLevel="1">
      <c r="A62" s="36"/>
      <c r="B62" s="37"/>
      <c r="C62" s="37"/>
      <c r="D62" s="37"/>
      <c r="E62" s="37"/>
      <c r="H62" s="38"/>
      <c r="I62" s="38"/>
      <c r="J62" s="38"/>
      <c r="K62" s="38"/>
      <c r="L62" s="38"/>
    </row>
    <row r="63" spans="1:20" hidden="1" outlineLevel="1">
      <c r="A63" s="6"/>
      <c r="B63" s="44"/>
      <c r="C63" s="44"/>
      <c r="D63" s="44"/>
      <c r="E63" s="44"/>
      <c r="H63" s="44"/>
      <c r="I63" s="44"/>
      <c r="J63" s="44"/>
      <c r="K63" s="44"/>
      <c r="L63" s="44"/>
    </row>
    <row r="64" spans="1:20" hidden="1" outlineLevel="1">
      <c r="A64" s="37"/>
      <c r="B64" s="37" t="s">
        <v>107</v>
      </c>
      <c r="C64" s="86"/>
      <c r="D64" s="37"/>
      <c r="E64" s="37"/>
      <c r="H64" s="37">
        <f t="shared" ref="H64:T64" si="14">H61*H10</f>
        <v>50143.721249999995</v>
      </c>
      <c r="I64" s="37">
        <f t="shared" si="14"/>
        <v>115330.55887500002</v>
      </c>
      <c r="J64" s="37">
        <f t="shared" si="14"/>
        <v>200073.44778750004</v>
      </c>
      <c r="K64" s="37">
        <f t="shared" si="14"/>
        <v>310239.20337375003</v>
      </c>
      <c r="L64" s="37">
        <f t="shared" si="14"/>
        <v>453454.6856358751</v>
      </c>
      <c r="M64" s="37">
        <f t="shared" si="14"/>
        <v>639634.8125766376</v>
      </c>
      <c r="N64" s="37">
        <f t="shared" si="14"/>
        <v>881668.97759962885</v>
      </c>
      <c r="O64" s="37">
        <f t="shared" si="14"/>
        <v>1196313.3921295176</v>
      </c>
      <c r="P64" s="37">
        <f t="shared" si="14"/>
        <v>1605351.1310183732</v>
      </c>
      <c r="Q64" s="37">
        <f t="shared" si="14"/>
        <v>2137100.1915738853</v>
      </c>
      <c r="R64" s="37">
        <f t="shared" si="14"/>
        <v>2828373.9702960509</v>
      </c>
      <c r="S64" s="37">
        <f t="shared" si="14"/>
        <v>3727029.8826348665</v>
      </c>
      <c r="T64" s="37">
        <f t="shared" si="14"/>
        <v>4895282.5686753271</v>
      </c>
    </row>
    <row r="65" spans="1:20" hidden="1" outlineLevel="1">
      <c r="A65" s="37"/>
      <c r="B65" s="37"/>
      <c r="C65" s="71"/>
      <c r="D65" s="37"/>
      <c r="E65" s="37"/>
      <c r="H65" s="37"/>
      <c r="I65" s="37"/>
      <c r="J65" s="37"/>
      <c r="K65" s="45"/>
      <c r="L65" s="45"/>
    </row>
    <row r="66" spans="1:20" hidden="1" outlineLevel="1">
      <c r="A66" s="37"/>
      <c r="B66" s="37" t="s">
        <v>108</v>
      </c>
      <c r="C66" s="71"/>
      <c r="D66" s="37"/>
      <c r="E66" s="37"/>
      <c r="H66" s="37"/>
      <c r="I66" s="37"/>
      <c r="J66" s="37"/>
      <c r="K66" s="45"/>
      <c r="L66" s="45"/>
    </row>
    <row r="67" spans="1:20" hidden="1" outlineLevel="1">
      <c r="A67" s="37"/>
      <c r="B67" s="37" t="s">
        <v>109</v>
      </c>
      <c r="C67" s="71"/>
      <c r="D67" s="37"/>
      <c r="E67" s="37"/>
      <c r="H67" s="37">
        <f>'FA &amp; Operating Model'!G27</f>
        <v>0</v>
      </c>
      <c r="I67" s="37" t="e">
        <f>'FA &amp; Operating Model'!H27</f>
        <v>#DIV/0!</v>
      </c>
      <c r="J67" s="37" t="e">
        <f>'FA &amp; Operating Model'!I27</f>
        <v>#DIV/0!</v>
      </c>
      <c r="K67" s="37" t="e">
        <f>'FA &amp; Operating Model'!J27</f>
        <v>#DIV/0!</v>
      </c>
      <c r="L67" s="37" t="e">
        <f>'FA &amp; Operating Model'!K27</f>
        <v>#DIV/0!</v>
      </c>
      <c r="M67" s="37" t="e">
        <f>'FA &amp; Operating Model'!L27</f>
        <v>#DIV/0!</v>
      </c>
      <c r="N67" s="37" t="e">
        <f>'FA &amp; Operating Model'!M27</f>
        <v>#DIV/0!</v>
      </c>
      <c r="O67" s="37" t="e">
        <f>'FA &amp; Operating Model'!N27</f>
        <v>#DIV/0!</v>
      </c>
      <c r="P67" s="37" t="e">
        <f>'FA &amp; Operating Model'!O27</f>
        <v>#DIV/0!</v>
      </c>
      <c r="Q67" s="37" t="e">
        <f>'FA &amp; Operating Model'!P27</f>
        <v>#DIV/0!</v>
      </c>
      <c r="R67" s="37" t="e">
        <f>'FA &amp; Operating Model'!Q27</f>
        <v>#DIV/0!</v>
      </c>
      <c r="S67" s="37" t="e">
        <f>'FA &amp; Operating Model'!R27</f>
        <v>#DIV/0!</v>
      </c>
      <c r="T67" s="37" t="e">
        <f>'FA &amp; Operating Model'!S27</f>
        <v>#DIV/0!</v>
      </c>
    </row>
    <row r="68" spans="1:20" hidden="1" outlineLevel="1">
      <c r="A68" s="37"/>
      <c r="B68" s="37" t="s">
        <v>110</v>
      </c>
      <c r="C68" s="86"/>
      <c r="D68" s="37"/>
      <c r="E68" s="37"/>
      <c r="H68" s="37">
        <f t="shared" ref="H68:T68" si="15">H67*H11</f>
        <v>0</v>
      </c>
      <c r="I68" s="37" t="e">
        <f t="shared" si="15"/>
        <v>#DIV/0!</v>
      </c>
      <c r="J68" s="37" t="e">
        <f t="shared" si="15"/>
        <v>#DIV/0!</v>
      </c>
      <c r="K68" s="37" t="e">
        <f t="shared" si="15"/>
        <v>#DIV/0!</v>
      </c>
      <c r="L68" s="37" t="e">
        <f t="shared" si="15"/>
        <v>#DIV/0!</v>
      </c>
      <c r="M68" s="37" t="e">
        <f t="shared" si="15"/>
        <v>#DIV/0!</v>
      </c>
      <c r="N68" s="37" t="e">
        <f t="shared" si="15"/>
        <v>#DIV/0!</v>
      </c>
      <c r="O68" s="37" t="e">
        <f t="shared" si="15"/>
        <v>#DIV/0!</v>
      </c>
      <c r="P68" s="37" t="e">
        <f t="shared" si="15"/>
        <v>#DIV/0!</v>
      </c>
      <c r="Q68" s="37" t="e">
        <f t="shared" si="15"/>
        <v>#DIV/0!</v>
      </c>
      <c r="R68" s="37" t="e">
        <f t="shared" si="15"/>
        <v>#DIV/0!</v>
      </c>
      <c r="S68" s="37" t="e">
        <f t="shared" si="15"/>
        <v>#DIV/0!</v>
      </c>
      <c r="T68" s="37" t="e">
        <f t="shared" si="15"/>
        <v>#DIV/0!</v>
      </c>
    </row>
    <row r="69" spans="1:20" hidden="1" outlineLevel="1">
      <c r="A69" s="37"/>
      <c r="B69" s="37"/>
      <c r="C69" s="46"/>
      <c r="D69" s="37"/>
      <c r="E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</row>
    <row r="70" spans="1:20" ht="17.5" hidden="1" customHeight="1" outlineLevel="1">
      <c r="A70" s="20" t="s">
        <v>111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hidden="1" outlineLevel="1">
      <c r="A71" s="47" t="s">
        <v>112</v>
      </c>
      <c r="B71" s="7"/>
      <c r="C71" s="48"/>
      <c r="D71" s="48"/>
      <c r="E71" s="48"/>
      <c r="F71" s="48"/>
      <c r="G71" s="49">
        <v>13371659</v>
      </c>
      <c r="H71" s="48">
        <f t="shared" ref="H71:T71" si="16">G71*(1+H22)</f>
        <v>17383156.699999999</v>
      </c>
      <c r="I71" s="48">
        <f t="shared" si="16"/>
        <v>22598103.710000001</v>
      </c>
      <c r="J71" s="48">
        <f t="shared" si="16"/>
        <v>29377534.823000003</v>
      </c>
      <c r="K71" s="48">
        <f t="shared" si="16"/>
        <v>38190795.269900002</v>
      </c>
      <c r="L71" s="48">
        <f t="shared" si="16"/>
        <v>49648033.850870006</v>
      </c>
      <c r="M71" s="48">
        <f t="shared" si="16"/>
        <v>64542444.006131008</v>
      </c>
      <c r="N71" s="48">
        <f t="shared" si="16"/>
        <v>83905177.207970306</v>
      </c>
      <c r="O71" s="48">
        <f t="shared" si="16"/>
        <v>109076730.3703614</v>
      </c>
      <c r="P71" s="48">
        <f t="shared" si="16"/>
        <v>141799749.48146984</v>
      </c>
      <c r="Q71" s="48">
        <f t="shared" si="16"/>
        <v>184339674.32591081</v>
      </c>
      <c r="R71" s="48">
        <f t="shared" si="16"/>
        <v>239641576.62368405</v>
      </c>
      <c r="S71" s="48">
        <f t="shared" si="16"/>
        <v>311534049.6107893</v>
      </c>
      <c r="T71" s="48">
        <f t="shared" si="16"/>
        <v>404994264.49402612</v>
      </c>
    </row>
    <row r="72" spans="1:20" hidden="1" outlineLevel="1">
      <c r="A72" s="50" t="s">
        <v>113</v>
      </c>
      <c r="B72" s="7"/>
      <c r="C72" s="48"/>
      <c r="D72" s="48"/>
      <c r="E72" s="48"/>
      <c r="F72" s="48"/>
      <c r="G72" s="51">
        <f>G71-G73</f>
        <v>13371659</v>
      </c>
      <c r="H72" s="48">
        <f t="shared" ref="H72:T72" si="17">G72-H95</f>
        <v>13639092.18</v>
      </c>
      <c r="I72" s="48">
        <f t="shared" si="17"/>
        <v>14254188.493999999</v>
      </c>
      <c r="J72" s="48">
        <f t="shared" si="17"/>
        <v>15321246.882199999</v>
      </c>
      <c r="K72" s="48">
        <f t="shared" si="17"/>
        <v>16975855.96686</v>
      </c>
      <c r="L72" s="48">
        <f t="shared" si="17"/>
        <v>19394280.956918001</v>
      </c>
      <c r="M72" s="48">
        <f t="shared" si="17"/>
        <v>22805666.6239934</v>
      </c>
      <c r="N72" s="48">
        <f t="shared" si="17"/>
        <v>27507901.17119142</v>
      </c>
      <c r="O72" s="48">
        <f t="shared" si="17"/>
        <v>33888239.262548849</v>
      </c>
      <c r="P72" s="48">
        <f t="shared" si="17"/>
        <v>42450111.961313501</v>
      </c>
      <c r="Q72" s="48">
        <f t="shared" si="17"/>
        <v>53847979.649707556</v>
      </c>
      <c r="R72" s="48">
        <f t="shared" si="17"/>
        <v>68932640.82461983</v>
      </c>
      <c r="S72" s="48">
        <f t="shared" si="17"/>
        <v>88810133.532005787</v>
      </c>
      <c r="T72" s="48">
        <f t="shared" si="17"/>
        <v>114918307.23160753</v>
      </c>
    </row>
    <row r="73" spans="1:20" hidden="1" outlineLevel="1">
      <c r="A73" s="52" t="s">
        <v>114</v>
      </c>
      <c r="B73" s="52"/>
      <c r="C73" s="52">
        <f>'FA &amp; Operating Model'!C35</f>
        <v>0</v>
      </c>
      <c r="D73" s="52">
        <f>'FA &amp; Operating Model'!D35</f>
        <v>0</v>
      </c>
      <c r="E73" s="52">
        <f>'FA &amp; Operating Model'!E35</f>
        <v>0</v>
      </c>
      <c r="F73" s="52">
        <f>'FA &amp; Operating Model'!F35</f>
        <v>0</v>
      </c>
      <c r="G73" s="52">
        <f>'FA &amp; Operating Model'!G35</f>
        <v>0</v>
      </c>
      <c r="H73" s="52">
        <f t="shared" ref="H73:T73" si="18">H71-H72</f>
        <v>3744064.5199999996</v>
      </c>
      <c r="I73" s="52">
        <f t="shared" si="18"/>
        <v>8343915.2160000019</v>
      </c>
      <c r="J73" s="52">
        <f t="shared" si="18"/>
        <v>14056287.940800004</v>
      </c>
      <c r="K73" s="52">
        <f t="shared" si="18"/>
        <v>21214939.303040002</v>
      </c>
      <c r="L73" s="52">
        <f t="shared" si="18"/>
        <v>30253752.893952005</v>
      </c>
      <c r="M73" s="52">
        <f t="shared" si="18"/>
        <v>41736777.382137612</v>
      </c>
      <c r="N73" s="52">
        <f t="shared" si="18"/>
        <v>56397276.036778882</v>
      </c>
      <c r="O73" s="52">
        <f t="shared" si="18"/>
        <v>75188491.107812554</v>
      </c>
      <c r="P73" s="52">
        <f t="shared" si="18"/>
        <v>99349637.520156339</v>
      </c>
      <c r="Q73" s="52">
        <f t="shared" si="18"/>
        <v>130491694.67620325</v>
      </c>
      <c r="R73" s="52">
        <f t="shared" si="18"/>
        <v>170708935.79906422</v>
      </c>
      <c r="S73" s="52">
        <f t="shared" si="18"/>
        <v>222723916.07878351</v>
      </c>
      <c r="T73" s="52">
        <f t="shared" si="18"/>
        <v>290075957.26241863</v>
      </c>
    </row>
    <row r="74" spans="1:20" hidden="1" outlineLevel="1">
      <c r="A74" s="3"/>
      <c r="B74" s="7"/>
      <c r="C74" s="53"/>
      <c r="D74" s="53"/>
      <c r="E74" s="53"/>
      <c r="F74" s="53"/>
      <c r="G74" s="53"/>
      <c r="H74" s="53"/>
      <c r="I74" s="53"/>
      <c r="J74" s="53"/>
    </row>
    <row r="75" spans="1:20" hidden="1" outlineLevel="1">
      <c r="A75" s="6" t="s">
        <v>115</v>
      </c>
      <c r="B75" s="35"/>
      <c r="C75" s="35"/>
      <c r="D75" s="35"/>
      <c r="E75" s="35"/>
      <c r="H75" s="54">
        <f>G73</f>
        <v>0</v>
      </c>
      <c r="I75" s="54"/>
      <c r="J75" s="54"/>
      <c r="K75" s="54"/>
      <c r="L75" s="54"/>
    </row>
    <row r="76" spans="1:20" hidden="1" outlineLevel="1">
      <c r="A76" s="7"/>
      <c r="B76" s="7" t="s">
        <v>116</v>
      </c>
      <c r="C76" s="3"/>
      <c r="D76" s="55">
        <v>15</v>
      </c>
      <c r="E76" s="3"/>
      <c r="H76" s="3"/>
      <c r="I76" s="3"/>
      <c r="J76" s="3"/>
      <c r="K76" s="3"/>
      <c r="L76" s="3"/>
    </row>
    <row r="77" spans="1:20" hidden="1" outlineLevel="1">
      <c r="A77" s="7"/>
      <c r="B77" s="7" t="s">
        <v>117</v>
      </c>
      <c r="C77" s="3"/>
      <c r="D77" s="3"/>
      <c r="E77" s="3"/>
      <c r="H77" s="56">
        <f>-H75/D76</f>
        <v>0</v>
      </c>
      <c r="I77" s="56">
        <f t="shared" ref="I77:T77" si="19">H77</f>
        <v>0</v>
      </c>
      <c r="J77" s="56">
        <f t="shared" si="19"/>
        <v>0</v>
      </c>
      <c r="K77" s="56">
        <f t="shared" si="19"/>
        <v>0</v>
      </c>
      <c r="L77" s="56">
        <f t="shared" si="19"/>
        <v>0</v>
      </c>
      <c r="M77" s="56">
        <f t="shared" si="19"/>
        <v>0</v>
      </c>
      <c r="N77" s="56">
        <f t="shared" si="19"/>
        <v>0</v>
      </c>
      <c r="O77" s="56">
        <f t="shared" si="19"/>
        <v>0</v>
      </c>
      <c r="P77" s="56">
        <f t="shared" si="19"/>
        <v>0</v>
      </c>
      <c r="Q77" s="56">
        <f t="shared" si="19"/>
        <v>0</v>
      </c>
      <c r="R77" s="56">
        <f t="shared" si="19"/>
        <v>0</v>
      </c>
      <c r="S77" s="56">
        <f t="shared" si="19"/>
        <v>0</v>
      </c>
      <c r="T77" s="56">
        <f t="shared" si="19"/>
        <v>0</v>
      </c>
    </row>
    <row r="78" spans="1:20" hidden="1" outlineLevel="1">
      <c r="A78" s="7"/>
      <c r="B78" s="7"/>
      <c r="C78" s="3"/>
      <c r="D78" s="3"/>
      <c r="E78" s="3"/>
      <c r="H78" s="57"/>
      <c r="I78" s="3"/>
      <c r="J78" s="3"/>
      <c r="K78" s="3"/>
      <c r="L78" s="3"/>
    </row>
    <row r="79" spans="1:20" hidden="1" outlineLevel="1">
      <c r="A79" s="6" t="s">
        <v>118</v>
      </c>
      <c r="B79" s="35"/>
      <c r="C79" s="35"/>
      <c r="D79" s="35"/>
      <c r="E79" s="35"/>
      <c r="H79" s="54">
        <f t="shared" ref="H79:T79" si="20">H71-G71</f>
        <v>4011497.6999999993</v>
      </c>
      <c r="I79" s="54">
        <f t="shared" si="20"/>
        <v>5214947.0100000016</v>
      </c>
      <c r="J79" s="54">
        <f t="shared" si="20"/>
        <v>6779431.1130000018</v>
      </c>
      <c r="K79" s="54">
        <f t="shared" si="20"/>
        <v>8813260.4468999989</v>
      </c>
      <c r="L79" s="54">
        <f t="shared" si="20"/>
        <v>11457238.580970004</v>
      </c>
      <c r="M79" s="54">
        <f t="shared" si="20"/>
        <v>14894410.155261002</v>
      </c>
      <c r="N79" s="54">
        <f t="shared" si="20"/>
        <v>19362733.201839298</v>
      </c>
      <c r="O79" s="54">
        <f t="shared" si="20"/>
        <v>25171553.162391096</v>
      </c>
      <c r="P79" s="54">
        <f t="shared" si="20"/>
        <v>32723019.111108437</v>
      </c>
      <c r="Q79" s="54">
        <f t="shared" si="20"/>
        <v>42539924.844440967</v>
      </c>
      <c r="R79" s="54">
        <f t="shared" si="20"/>
        <v>55301902.297773242</v>
      </c>
      <c r="S79" s="54">
        <f t="shared" si="20"/>
        <v>71892472.98710525</v>
      </c>
      <c r="T79" s="54">
        <f t="shared" si="20"/>
        <v>93460214.883236825</v>
      </c>
    </row>
    <row r="80" spans="1:20" hidden="1" outlineLevel="1">
      <c r="A80" s="7"/>
      <c r="B80" s="7" t="str">
        <f>B76</f>
        <v>Deprecaition year</v>
      </c>
      <c r="C80" s="3"/>
      <c r="D80" s="55"/>
      <c r="E80" s="3"/>
      <c r="H80" s="48">
        <f>-SLN(H79,0,H$24)</f>
        <v>-267433.17999999993</v>
      </c>
      <c r="I80" s="3">
        <f t="shared" ref="I80:T80" si="21">H80</f>
        <v>-267433.17999999993</v>
      </c>
      <c r="J80" s="3">
        <f t="shared" si="21"/>
        <v>-267433.17999999993</v>
      </c>
      <c r="K80" s="3">
        <f t="shared" si="21"/>
        <v>-267433.17999999993</v>
      </c>
      <c r="L80" s="3">
        <f t="shared" si="21"/>
        <v>-267433.17999999993</v>
      </c>
      <c r="M80" s="3">
        <f t="shared" si="21"/>
        <v>-267433.17999999993</v>
      </c>
      <c r="N80" s="3">
        <f t="shared" si="21"/>
        <v>-267433.17999999993</v>
      </c>
      <c r="O80" s="3">
        <f t="shared" si="21"/>
        <v>-267433.17999999993</v>
      </c>
      <c r="P80" s="3">
        <f t="shared" si="21"/>
        <v>-267433.17999999993</v>
      </c>
      <c r="Q80" s="3">
        <f t="shared" si="21"/>
        <v>-267433.17999999993</v>
      </c>
      <c r="R80" s="3">
        <f t="shared" si="21"/>
        <v>-267433.17999999993</v>
      </c>
      <c r="S80" s="3">
        <f t="shared" si="21"/>
        <v>-267433.17999999993</v>
      </c>
      <c r="T80" s="3">
        <f t="shared" si="21"/>
        <v>-267433.17999999993</v>
      </c>
    </row>
    <row r="81" spans="1:20" hidden="1" outlineLevel="1">
      <c r="A81" s="7"/>
      <c r="B81" s="7" t="s">
        <v>117</v>
      </c>
      <c r="C81" s="3"/>
      <c r="D81" s="58" t="s">
        <v>46</v>
      </c>
      <c r="E81" s="3"/>
      <c r="H81" s="56"/>
      <c r="I81" s="48">
        <f>-SLN(I$79,0,I$24)</f>
        <v>-347663.13400000014</v>
      </c>
      <c r="J81" s="56">
        <f t="shared" ref="J81:T81" si="22">I81</f>
        <v>-347663.13400000014</v>
      </c>
      <c r="K81" s="56">
        <f t="shared" si="22"/>
        <v>-347663.13400000014</v>
      </c>
      <c r="L81" s="56">
        <f t="shared" si="22"/>
        <v>-347663.13400000014</v>
      </c>
      <c r="M81" s="56">
        <f t="shared" si="22"/>
        <v>-347663.13400000014</v>
      </c>
      <c r="N81" s="56">
        <f t="shared" si="22"/>
        <v>-347663.13400000014</v>
      </c>
      <c r="O81" s="56">
        <f t="shared" si="22"/>
        <v>-347663.13400000014</v>
      </c>
      <c r="P81" s="56">
        <f t="shared" si="22"/>
        <v>-347663.13400000014</v>
      </c>
      <c r="Q81" s="56">
        <f t="shared" si="22"/>
        <v>-347663.13400000014</v>
      </c>
      <c r="R81" s="56">
        <f t="shared" si="22"/>
        <v>-347663.13400000014</v>
      </c>
      <c r="S81" s="56">
        <f t="shared" si="22"/>
        <v>-347663.13400000014</v>
      </c>
      <c r="T81" s="56">
        <f t="shared" si="22"/>
        <v>-347663.13400000014</v>
      </c>
    </row>
    <row r="82" spans="1:20" hidden="1" outlineLevel="1">
      <c r="A82" s="7"/>
      <c r="B82" s="7"/>
      <c r="C82" s="3"/>
      <c r="D82" s="58" t="s">
        <v>47</v>
      </c>
      <c r="E82" s="3"/>
      <c r="H82" s="3"/>
      <c r="I82" s="56"/>
      <c r="J82" s="48">
        <f>-SLN(J$79,0,J$24)</f>
        <v>-451962.07420000009</v>
      </c>
      <c r="K82" s="56">
        <f t="shared" ref="K82:T82" si="23">J82</f>
        <v>-451962.07420000009</v>
      </c>
      <c r="L82" s="56">
        <f t="shared" si="23"/>
        <v>-451962.07420000009</v>
      </c>
      <c r="M82" s="56">
        <f t="shared" si="23"/>
        <v>-451962.07420000009</v>
      </c>
      <c r="N82" s="56">
        <f t="shared" si="23"/>
        <v>-451962.07420000009</v>
      </c>
      <c r="O82" s="56">
        <f t="shared" si="23"/>
        <v>-451962.07420000009</v>
      </c>
      <c r="P82" s="56">
        <f t="shared" si="23"/>
        <v>-451962.07420000009</v>
      </c>
      <c r="Q82" s="56">
        <f t="shared" si="23"/>
        <v>-451962.07420000009</v>
      </c>
      <c r="R82" s="56">
        <f t="shared" si="23"/>
        <v>-451962.07420000009</v>
      </c>
      <c r="S82" s="56">
        <f t="shared" si="23"/>
        <v>-451962.07420000009</v>
      </c>
      <c r="T82" s="56">
        <f t="shared" si="23"/>
        <v>-451962.07420000009</v>
      </c>
    </row>
    <row r="83" spans="1:20" hidden="1" outlineLevel="1">
      <c r="A83" s="7"/>
      <c r="B83" s="7"/>
      <c r="C83" s="3"/>
      <c r="D83" s="58" t="s">
        <v>48</v>
      </c>
      <c r="E83" s="3"/>
      <c r="H83" s="3"/>
      <c r="I83" s="3"/>
      <c r="J83" s="56"/>
      <c r="K83" s="48">
        <f>-SLN(K$79,0,K$24)</f>
        <v>-587550.69645999989</v>
      </c>
      <c r="L83" s="56">
        <f t="shared" ref="L83:T83" si="24">K83</f>
        <v>-587550.69645999989</v>
      </c>
      <c r="M83" s="56">
        <f t="shared" si="24"/>
        <v>-587550.69645999989</v>
      </c>
      <c r="N83" s="56">
        <f t="shared" si="24"/>
        <v>-587550.69645999989</v>
      </c>
      <c r="O83" s="56">
        <f t="shared" si="24"/>
        <v>-587550.69645999989</v>
      </c>
      <c r="P83" s="56">
        <f t="shared" si="24"/>
        <v>-587550.69645999989</v>
      </c>
      <c r="Q83" s="56">
        <f t="shared" si="24"/>
        <v>-587550.69645999989</v>
      </c>
      <c r="R83" s="56">
        <f t="shared" si="24"/>
        <v>-587550.69645999989</v>
      </c>
      <c r="S83" s="56">
        <f t="shared" si="24"/>
        <v>-587550.69645999989</v>
      </c>
      <c r="T83" s="56">
        <f t="shared" si="24"/>
        <v>-587550.69645999989</v>
      </c>
    </row>
    <row r="84" spans="1:20" hidden="1" outlineLevel="1">
      <c r="A84" s="7"/>
      <c r="B84" s="7"/>
      <c r="C84" s="7"/>
      <c r="D84" s="58" t="s">
        <v>49</v>
      </c>
      <c r="E84" s="7"/>
      <c r="H84" s="7"/>
      <c r="I84" s="7"/>
      <c r="J84" s="7"/>
      <c r="K84" s="56"/>
      <c r="L84" s="48">
        <f>-SLN(L$79,0,L$24)</f>
        <v>-763815.90539800026</v>
      </c>
      <c r="M84" s="3">
        <f t="shared" ref="M84:T84" si="25">L84</f>
        <v>-763815.90539800026</v>
      </c>
      <c r="N84" s="3">
        <f t="shared" si="25"/>
        <v>-763815.90539800026</v>
      </c>
      <c r="O84" s="3">
        <f t="shared" si="25"/>
        <v>-763815.90539800026</v>
      </c>
      <c r="P84" s="3">
        <f t="shared" si="25"/>
        <v>-763815.90539800026</v>
      </c>
      <c r="Q84" s="3">
        <f t="shared" si="25"/>
        <v>-763815.90539800026</v>
      </c>
      <c r="R84" s="3">
        <f t="shared" si="25"/>
        <v>-763815.90539800026</v>
      </c>
      <c r="S84" s="3">
        <f t="shared" si="25"/>
        <v>-763815.90539800026</v>
      </c>
      <c r="T84" s="3">
        <f t="shared" si="25"/>
        <v>-763815.90539800026</v>
      </c>
    </row>
    <row r="85" spans="1:20" hidden="1" outlineLevel="1">
      <c r="A85" s="7"/>
      <c r="B85" s="7"/>
      <c r="C85" s="7"/>
      <c r="D85" s="58" t="s">
        <v>50</v>
      </c>
      <c r="E85" s="7"/>
      <c r="F85" s="7"/>
      <c r="G85" s="7"/>
      <c r="H85" s="7"/>
      <c r="I85" s="56"/>
      <c r="J85" s="56"/>
      <c r="M85" s="48">
        <f>-SLN(M$79,0,M$24)</f>
        <v>-992960.67701740016</v>
      </c>
      <c r="N85" s="3">
        <f t="shared" ref="N85:T85" si="26">M85</f>
        <v>-992960.67701740016</v>
      </c>
      <c r="O85" s="3">
        <f t="shared" si="26"/>
        <v>-992960.67701740016</v>
      </c>
      <c r="P85" s="3">
        <f t="shared" si="26"/>
        <v>-992960.67701740016</v>
      </c>
      <c r="Q85" s="3">
        <f t="shared" si="26"/>
        <v>-992960.67701740016</v>
      </c>
      <c r="R85" s="3">
        <f t="shared" si="26"/>
        <v>-992960.67701740016</v>
      </c>
      <c r="S85" s="3">
        <f t="shared" si="26"/>
        <v>-992960.67701740016</v>
      </c>
      <c r="T85" s="3">
        <f t="shared" si="26"/>
        <v>-992960.67701740016</v>
      </c>
    </row>
    <row r="86" spans="1:20" hidden="1" outlineLevel="1">
      <c r="A86" s="7"/>
      <c r="B86" s="7"/>
      <c r="C86" s="7"/>
      <c r="D86" s="58" t="s">
        <v>51</v>
      </c>
      <c r="E86" s="7"/>
      <c r="F86" s="7"/>
      <c r="G86" s="7"/>
      <c r="H86" s="7"/>
      <c r="I86" s="56"/>
      <c r="J86" s="56"/>
      <c r="N86" s="48">
        <f>-SLN(N$79,0,N$24)</f>
        <v>-1290848.8801226199</v>
      </c>
      <c r="O86" s="3">
        <f t="shared" ref="O86:T86" si="27">N86</f>
        <v>-1290848.8801226199</v>
      </c>
      <c r="P86" s="3">
        <f t="shared" si="27"/>
        <v>-1290848.8801226199</v>
      </c>
      <c r="Q86" s="3">
        <f t="shared" si="27"/>
        <v>-1290848.8801226199</v>
      </c>
      <c r="R86" s="3">
        <f t="shared" si="27"/>
        <v>-1290848.8801226199</v>
      </c>
      <c r="S86" s="3">
        <f t="shared" si="27"/>
        <v>-1290848.8801226199</v>
      </c>
      <c r="T86" s="3">
        <f t="shared" si="27"/>
        <v>-1290848.8801226199</v>
      </c>
    </row>
    <row r="87" spans="1:20" hidden="1" outlineLevel="1">
      <c r="A87" s="7"/>
      <c r="B87" s="7"/>
      <c r="C87" s="7"/>
      <c r="D87" s="58" t="s">
        <v>52</v>
      </c>
      <c r="E87" s="7"/>
      <c r="F87" s="7"/>
      <c r="G87" s="7"/>
      <c r="H87" s="7"/>
      <c r="I87" s="56"/>
      <c r="J87" s="56"/>
      <c r="O87" s="48">
        <f>-SLN(O$79,0,O$24)</f>
        <v>-1678103.5441594063</v>
      </c>
      <c r="P87" s="3">
        <f>O87</f>
        <v>-1678103.5441594063</v>
      </c>
      <c r="Q87" s="3">
        <f>P87</f>
        <v>-1678103.5441594063</v>
      </c>
      <c r="R87" s="3">
        <f>Q87</f>
        <v>-1678103.5441594063</v>
      </c>
      <c r="S87" s="3">
        <f>R87</f>
        <v>-1678103.5441594063</v>
      </c>
      <c r="T87" s="3">
        <f>S87</f>
        <v>-1678103.5441594063</v>
      </c>
    </row>
    <row r="88" spans="1:20" hidden="1" outlineLevel="1">
      <c r="A88" s="7"/>
      <c r="B88" s="7"/>
      <c r="C88" s="7"/>
      <c r="D88" s="58" t="s">
        <v>53</v>
      </c>
      <c r="E88" s="7"/>
      <c r="F88" s="7"/>
      <c r="G88" s="7"/>
      <c r="H88" s="7"/>
      <c r="I88" s="56"/>
      <c r="J88" s="56"/>
      <c r="P88" s="48">
        <f>-SLN(P$79,0,P$24)</f>
        <v>-2181534.607407229</v>
      </c>
      <c r="Q88" s="3">
        <f>P88</f>
        <v>-2181534.607407229</v>
      </c>
      <c r="R88" s="3">
        <f>Q88</f>
        <v>-2181534.607407229</v>
      </c>
      <c r="S88" s="3">
        <f>R88</f>
        <v>-2181534.607407229</v>
      </c>
      <c r="T88" s="3">
        <f>S88</f>
        <v>-2181534.607407229</v>
      </c>
    </row>
    <row r="89" spans="1:20" hidden="1" outlineLevel="1">
      <c r="A89" s="7"/>
      <c r="B89" s="7"/>
      <c r="C89" s="7"/>
      <c r="D89" s="58" t="s">
        <v>54</v>
      </c>
      <c r="E89" s="7"/>
      <c r="F89" s="7"/>
      <c r="G89" s="7"/>
      <c r="H89" s="7"/>
      <c r="I89" s="56"/>
      <c r="J89" s="56"/>
      <c r="Q89" s="48">
        <f>-SLN(Q$79,0,Q$24)</f>
        <v>-2835994.9896293976</v>
      </c>
      <c r="R89" s="3">
        <f>Q89</f>
        <v>-2835994.9896293976</v>
      </c>
      <c r="S89" s="3">
        <f>R89</f>
        <v>-2835994.9896293976</v>
      </c>
      <c r="T89" s="3">
        <f>S89</f>
        <v>-2835994.9896293976</v>
      </c>
    </row>
    <row r="90" spans="1:20" hidden="1" outlineLevel="1">
      <c r="A90" s="7"/>
      <c r="B90" s="7"/>
      <c r="C90" s="7"/>
      <c r="D90" s="58" t="s">
        <v>55</v>
      </c>
      <c r="E90" s="7"/>
      <c r="F90" s="7"/>
      <c r="G90" s="7"/>
      <c r="H90" s="7"/>
      <c r="I90" s="56"/>
      <c r="J90" s="56"/>
      <c r="R90" s="48">
        <f>-SLN(R$79,0,R$24)</f>
        <v>-3686793.4865182163</v>
      </c>
      <c r="S90" s="3">
        <f>R90</f>
        <v>-3686793.4865182163</v>
      </c>
      <c r="T90" s="3">
        <f>S90</f>
        <v>-3686793.4865182163</v>
      </c>
    </row>
    <row r="91" spans="1:20" hidden="1" outlineLevel="1">
      <c r="A91" s="7"/>
      <c r="B91" s="7"/>
      <c r="C91" s="7"/>
      <c r="D91" s="58" t="s">
        <v>56</v>
      </c>
      <c r="E91" s="7"/>
      <c r="F91" s="7"/>
      <c r="G91" s="7"/>
      <c r="H91" s="7"/>
      <c r="I91" s="56"/>
      <c r="J91" s="56"/>
      <c r="S91" s="48">
        <f>-SLN(S$79,0,S$24)</f>
        <v>-4792831.5324736834</v>
      </c>
      <c r="T91" s="3">
        <f>S91</f>
        <v>-4792831.5324736834</v>
      </c>
    </row>
    <row r="92" spans="1:20" hidden="1" outlineLevel="1">
      <c r="A92" s="7"/>
      <c r="B92" s="7"/>
      <c r="C92" s="7"/>
      <c r="D92" s="58" t="s">
        <v>57</v>
      </c>
      <c r="E92" s="7"/>
      <c r="F92" s="7"/>
      <c r="G92" s="7"/>
      <c r="H92" s="7"/>
      <c r="I92" s="56"/>
      <c r="J92" s="56"/>
      <c r="T92" s="48">
        <f>-SLN(T$79,0,T$24)</f>
        <v>-6230680.992215788</v>
      </c>
    </row>
    <row r="93" spans="1:20" hidden="1" outlineLevel="1">
      <c r="A93" s="3"/>
      <c r="B93" s="7"/>
      <c r="C93" s="7"/>
      <c r="D93" s="58" t="s">
        <v>58</v>
      </c>
      <c r="E93" s="7"/>
      <c r="F93" s="7"/>
      <c r="G93" s="7"/>
      <c r="H93" s="7"/>
      <c r="I93" s="3"/>
      <c r="J93" s="56"/>
    </row>
    <row r="94" spans="1:20" hidden="1" outlineLevel="1">
      <c r="A94" s="6"/>
      <c r="B94" s="59"/>
      <c r="C94" s="7"/>
      <c r="D94" s="58"/>
      <c r="E94" s="7"/>
      <c r="F94" s="7"/>
      <c r="G94" s="7"/>
      <c r="H94" s="7"/>
      <c r="I94" s="7"/>
      <c r="J94" s="7"/>
    </row>
    <row r="95" spans="1:20" hidden="1" outlineLevel="1">
      <c r="A95" s="14" t="s">
        <v>119</v>
      </c>
      <c r="B95" s="14"/>
      <c r="C95" s="14"/>
      <c r="D95" s="14"/>
      <c r="E95" s="14"/>
      <c r="F95" s="60"/>
      <c r="G95" s="60"/>
      <c r="H95" s="60">
        <f t="shared" ref="H95:T95" si="28">SUM(H80:H92)+H77</f>
        <v>-267433.17999999993</v>
      </c>
      <c r="I95" s="60">
        <f t="shared" si="28"/>
        <v>-615096.31400000001</v>
      </c>
      <c r="J95" s="60">
        <f t="shared" si="28"/>
        <v>-1067058.3882000002</v>
      </c>
      <c r="K95" s="60">
        <f t="shared" si="28"/>
        <v>-1654609.0846600002</v>
      </c>
      <c r="L95" s="60">
        <f t="shared" si="28"/>
        <v>-2418424.9900580002</v>
      </c>
      <c r="M95" s="60">
        <f t="shared" si="28"/>
        <v>-3411385.6670754002</v>
      </c>
      <c r="N95" s="60">
        <f t="shared" si="28"/>
        <v>-4702234.5471980199</v>
      </c>
      <c r="O95" s="60">
        <f t="shared" si="28"/>
        <v>-6380338.0913574267</v>
      </c>
      <c r="P95" s="60">
        <f t="shared" si="28"/>
        <v>-8561872.6987646557</v>
      </c>
      <c r="Q95" s="60">
        <f t="shared" si="28"/>
        <v>-11397867.688394053</v>
      </c>
      <c r="R95" s="60">
        <f t="shared" si="28"/>
        <v>-15084661.17491227</v>
      </c>
      <c r="S95" s="60">
        <f t="shared" si="28"/>
        <v>-19877492.707385954</v>
      </c>
      <c r="T95" s="60">
        <f t="shared" si="28"/>
        <v>-26108173.69960174</v>
      </c>
    </row>
    <row r="96" spans="1:20" hidden="1" outlineLevel="1">
      <c r="A96" s="6"/>
      <c r="B96" s="7"/>
      <c r="C96" s="7"/>
      <c r="D96" s="58"/>
      <c r="E96" s="7"/>
      <c r="F96" s="7"/>
      <c r="G96" s="7"/>
      <c r="H96" s="7"/>
      <c r="I96" s="7"/>
      <c r="J96" s="7"/>
    </row>
    <row r="97" spans="1:20" hidden="1" outlineLevel="1">
      <c r="A97" s="61" t="s">
        <v>120</v>
      </c>
      <c r="B97" s="62"/>
      <c r="C97" s="62"/>
      <c r="D97" s="63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</row>
    <row r="98" spans="1:20" hidden="1" outlineLevel="1">
      <c r="A98" s="64"/>
      <c r="B98" s="65" t="s">
        <v>121</v>
      </c>
      <c r="C98" s="65"/>
      <c r="D98" s="65"/>
      <c r="E98" s="65"/>
      <c r="F98" s="65"/>
      <c r="G98" s="49">
        <f>G100+G99</f>
        <v>53096</v>
      </c>
      <c r="H98" s="65">
        <f t="shared" ref="H98:T98" si="29">G98*(1+H23)</f>
        <v>69024.800000000003</v>
      </c>
      <c r="I98" s="65">
        <f t="shared" si="29"/>
        <v>89732.24</v>
      </c>
      <c r="J98" s="65">
        <f t="shared" si="29"/>
        <v>116651.91200000001</v>
      </c>
      <c r="K98" s="65">
        <f t="shared" si="29"/>
        <v>151647.48560000001</v>
      </c>
      <c r="L98" s="65">
        <f t="shared" si="29"/>
        <v>197141.73128000004</v>
      </c>
      <c r="M98" s="65">
        <f t="shared" si="29"/>
        <v>256284.25066400005</v>
      </c>
      <c r="N98" s="65">
        <f t="shared" si="29"/>
        <v>333169.52586320008</v>
      </c>
      <c r="O98" s="65">
        <f t="shared" si="29"/>
        <v>433120.38362216012</v>
      </c>
      <c r="P98" s="65">
        <f t="shared" si="29"/>
        <v>563056.49870880821</v>
      </c>
      <c r="Q98" s="65">
        <f t="shared" si="29"/>
        <v>731973.44832145073</v>
      </c>
      <c r="R98" s="65">
        <f t="shared" si="29"/>
        <v>951565.48281788593</v>
      </c>
      <c r="S98" s="65">
        <f t="shared" si="29"/>
        <v>1237035.1276632517</v>
      </c>
      <c r="T98" s="65">
        <f t="shared" si="29"/>
        <v>1608145.6659622274</v>
      </c>
    </row>
    <row r="99" spans="1:20" ht="14.5" hidden="1" customHeight="1" outlineLevel="1" thickBot="1">
      <c r="A99" s="66"/>
      <c r="B99" s="67" t="s">
        <v>122</v>
      </c>
      <c r="C99" s="68"/>
      <c r="D99" s="68"/>
      <c r="E99" s="68"/>
      <c r="F99" s="68"/>
      <c r="G99" s="69">
        <v>53096</v>
      </c>
      <c r="H99" s="68">
        <f t="shared" ref="H99:T99" si="30">G99-H122</f>
        <v>53626.96</v>
      </c>
      <c r="I99" s="68">
        <f t="shared" si="30"/>
        <v>54848.167999999998</v>
      </c>
      <c r="J99" s="68">
        <f t="shared" si="30"/>
        <v>56966.698400000001</v>
      </c>
      <c r="K99" s="68">
        <f t="shared" si="30"/>
        <v>60251.747920000002</v>
      </c>
      <c r="L99" s="68">
        <f t="shared" si="30"/>
        <v>65053.272296000003</v>
      </c>
      <c r="M99" s="68">
        <f t="shared" si="30"/>
        <v>71826.213984800008</v>
      </c>
      <c r="N99" s="68">
        <f t="shared" si="30"/>
        <v>81161.998180240014</v>
      </c>
      <c r="O99" s="68">
        <f t="shared" si="30"/>
        <v>93829.477634312017</v>
      </c>
      <c r="P99" s="68">
        <f t="shared" si="30"/>
        <v>110828.16092460562</v>
      </c>
      <c r="Q99" s="68">
        <f t="shared" si="30"/>
        <v>133457.40920198732</v>
      </c>
      <c r="R99" s="68">
        <f t="shared" si="30"/>
        <v>163406.39196258353</v>
      </c>
      <c r="S99" s="68">
        <f t="shared" si="30"/>
        <v>202871.0295513586</v>
      </c>
      <c r="T99" s="68">
        <f t="shared" si="30"/>
        <v>254706.01841676619</v>
      </c>
    </row>
    <row r="100" spans="1:20" hidden="1" outlineLevel="1">
      <c r="A100" s="6"/>
      <c r="B100" s="6" t="s">
        <v>123</v>
      </c>
      <c r="C100" s="6">
        <f>'FA &amp; Operating Model'!C37</f>
        <v>0</v>
      </c>
      <c r="D100" s="6">
        <f>'FA &amp; Operating Model'!D37</f>
        <v>0</v>
      </c>
      <c r="E100" s="6">
        <f>'FA &amp; Operating Model'!E37</f>
        <v>0</v>
      </c>
      <c r="F100" s="6">
        <f>'FA &amp; Operating Model'!F37</f>
        <v>0</v>
      </c>
      <c r="G100" s="6">
        <f>'FA &amp; Operating Model'!G37</f>
        <v>0</v>
      </c>
      <c r="H100" s="6">
        <f t="shared" ref="H100:T100" si="31">H98-H99</f>
        <v>15397.840000000004</v>
      </c>
      <c r="I100" s="6">
        <f t="shared" si="31"/>
        <v>34884.072000000007</v>
      </c>
      <c r="J100" s="6">
        <f t="shared" si="31"/>
        <v>59685.21360000001</v>
      </c>
      <c r="K100" s="6">
        <f t="shared" si="31"/>
        <v>91395.73768000002</v>
      </c>
      <c r="L100" s="6">
        <f t="shared" si="31"/>
        <v>132088.45898400003</v>
      </c>
      <c r="M100" s="6">
        <f t="shared" si="31"/>
        <v>184458.03667920004</v>
      </c>
      <c r="N100" s="6">
        <f t="shared" si="31"/>
        <v>252007.52768296006</v>
      </c>
      <c r="O100" s="6">
        <f t="shared" si="31"/>
        <v>339290.90598784812</v>
      </c>
      <c r="P100" s="6">
        <f t="shared" si="31"/>
        <v>452228.33778420259</v>
      </c>
      <c r="Q100" s="6">
        <f t="shared" si="31"/>
        <v>598516.03911946341</v>
      </c>
      <c r="R100" s="6">
        <f t="shared" si="31"/>
        <v>788159.09085530241</v>
      </c>
      <c r="S100" s="6">
        <f t="shared" si="31"/>
        <v>1034164.0981118931</v>
      </c>
      <c r="T100" s="6">
        <f t="shared" si="31"/>
        <v>1353439.6475454611</v>
      </c>
    </row>
    <row r="101" spans="1:20" hidden="1" outlineLevel="1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20" hidden="1" outlineLevel="1">
      <c r="A102" s="6"/>
      <c r="B102" s="6" t="s">
        <v>124</v>
      </c>
      <c r="C102" s="6"/>
      <c r="D102" s="6"/>
      <c r="E102" s="6"/>
      <c r="H102" s="54">
        <f>G100</f>
        <v>0</v>
      </c>
      <c r="I102" s="54"/>
      <c r="J102" s="54"/>
      <c r="K102" s="54"/>
      <c r="L102" s="54"/>
    </row>
    <row r="103" spans="1:20" hidden="1" outlineLevel="1">
      <c r="A103" s="6"/>
      <c r="B103" s="6" t="s">
        <v>125</v>
      </c>
      <c r="C103" s="6"/>
      <c r="D103" s="55">
        <v>30</v>
      </c>
      <c r="E103" s="6"/>
      <c r="H103" s="3"/>
      <c r="I103" s="3"/>
      <c r="J103" s="3"/>
      <c r="K103" s="3"/>
      <c r="L103" s="3"/>
    </row>
    <row r="104" spans="1:20" hidden="1" outlineLevel="1">
      <c r="A104" s="6"/>
      <c r="B104" s="6" t="s">
        <v>126</v>
      </c>
      <c r="C104" s="6"/>
      <c r="D104" s="6"/>
      <c r="E104" s="6"/>
      <c r="H104" s="56">
        <f>-H102/D103</f>
        <v>0</v>
      </c>
      <c r="I104" s="56">
        <f t="shared" ref="I104:T104" si="32">H104</f>
        <v>0</v>
      </c>
      <c r="J104" s="56">
        <f t="shared" si="32"/>
        <v>0</v>
      </c>
      <c r="K104" s="56">
        <f t="shared" si="32"/>
        <v>0</v>
      </c>
      <c r="L104" s="56">
        <f t="shared" si="32"/>
        <v>0</v>
      </c>
      <c r="M104" s="56">
        <f t="shared" si="32"/>
        <v>0</v>
      </c>
      <c r="N104" s="56">
        <f t="shared" si="32"/>
        <v>0</v>
      </c>
      <c r="O104" s="56">
        <f t="shared" si="32"/>
        <v>0</v>
      </c>
      <c r="P104" s="56">
        <f t="shared" si="32"/>
        <v>0</v>
      </c>
      <c r="Q104" s="56">
        <f t="shared" si="32"/>
        <v>0</v>
      </c>
      <c r="R104" s="56">
        <f t="shared" si="32"/>
        <v>0</v>
      </c>
      <c r="S104" s="56">
        <f t="shared" si="32"/>
        <v>0</v>
      </c>
      <c r="T104" s="56">
        <f t="shared" si="32"/>
        <v>0</v>
      </c>
    </row>
    <row r="105" spans="1:20" hidden="1" outlineLevel="1">
      <c r="A105" s="6"/>
      <c r="B105" s="6"/>
      <c r="C105" s="6"/>
      <c r="D105" s="6"/>
      <c r="E105" s="6"/>
      <c r="H105" s="57"/>
      <c r="I105" s="3"/>
      <c r="J105" s="3"/>
      <c r="K105" s="3"/>
      <c r="L105" s="3"/>
    </row>
    <row r="106" spans="1:20" hidden="1" outlineLevel="1">
      <c r="A106" s="6"/>
      <c r="B106" s="6" t="s">
        <v>127</v>
      </c>
      <c r="C106" s="6"/>
      <c r="D106" s="6"/>
      <c r="E106" s="6"/>
      <c r="H106" s="54">
        <f t="shared" ref="H106:T106" si="33">H98-G98</f>
        <v>15928.800000000003</v>
      </c>
      <c r="I106" s="54">
        <f t="shared" si="33"/>
        <v>20707.440000000002</v>
      </c>
      <c r="J106" s="54">
        <f t="shared" si="33"/>
        <v>26919.672000000006</v>
      </c>
      <c r="K106" s="54">
        <f t="shared" si="33"/>
        <v>34995.573600000003</v>
      </c>
      <c r="L106" s="54">
        <f t="shared" si="33"/>
        <v>45494.245680000022</v>
      </c>
      <c r="M106" s="54">
        <f t="shared" si="33"/>
        <v>59142.519384000014</v>
      </c>
      <c r="N106" s="54">
        <f t="shared" si="33"/>
        <v>76885.275199200027</v>
      </c>
      <c r="O106" s="54">
        <f t="shared" si="33"/>
        <v>99950.857758960046</v>
      </c>
      <c r="P106" s="54">
        <f t="shared" si="33"/>
        <v>129936.11508664809</v>
      </c>
      <c r="Q106" s="54">
        <f t="shared" si="33"/>
        <v>168916.94961264252</v>
      </c>
      <c r="R106" s="54">
        <f t="shared" si="33"/>
        <v>219592.0344964352</v>
      </c>
      <c r="S106" s="54">
        <f t="shared" si="33"/>
        <v>285469.64484536578</v>
      </c>
      <c r="T106" s="54">
        <f t="shared" si="33"/>
        <v>371110.53829897568</v>
      </c>
    </row>
    <row r="107" spans="1:20" hidden="1" outlineLevel="1">
      <c r="A107" s="6"/>
      <c r="B107" s="6" t="s">
        <v>125</v>
      </c>
      <c r="C107" s="6"/>
      <c r="D107" s="55"/>
      <c r="E107" s="6"/>
      <c r="H107" s="48">
        <f>-SLN(H$106,0,H$25)</f>
        <v>-530.96000000000015</v>
      </c>
      <c r="I107" s="3">
        <f t="shared" ref="I107:T107" si="34">H107</f>
        <v>-530.96000000000015</v>
      </c>
      <c r="J107" s="3">
        <f t="shared" si="34"/>
        <v>-530.96000000000015</v>
      </c>
      <c r="K107" s="3">
        <f t="shared" si="34"/>
        <v>-530.96000000000015</v>
      </c>
      <c r="L107" s="3">
        <f t="shared" si="34"/>
        <v>-530.96000000000015</v>
      </c>
      <c r="M107" s="3">
        <f t="shared" si="34"/>
        <v>-530.96000000000015</v>
      </c>
      <c r="N107" s="3">
        <f t="shared" si="34"/>
        <v>-530.96000000000015</v>
      </c>
      <c r="O107" s="3">
        <f t="shared" si="34"/>
        <v>-530.96000000000015</v>
      </c>
      <c r="P107" s="3">
        <f t="shared" si="34"/>
        <v>-530.96000000000015</v>
      </c>
      <c r="Q107" s="3">
        <f t="shared" si="34"/>
        <v>-530.96000000000015</v>
      </c>
      <c r="R107" s="3">
        <f t="shared" si="34"/>
        <v>-530.96000000000015</v>
      </c>
      <c r="S107" s="3">
        <f t="shared" si="34"/>
        <v>-530.96000000000015</v>
      </c>
      <c r="T107" s="3">
        <f t="shared" si="34"/>
        <v>-530.96000000000015</v>
      </c>
    </row>
    <row r="108" spans="1:20" hidden="1" outlineLevel="1">
      <c r="A108" s="6"/>
      <c r="B108" s="6" t="s">
        <v>126</v>
      </c>
      <c r="C108" s="6"/>
      <c r="D108" s="58" t="s">
        <v>46</v>
      </c>
      <c r="E108" s="6"/>
      <c r="H108" s="56"/>
      <c r="I108" s="48">
        <f>-SLN(I$106,0,I$25)</f>
        <v>-690.24800000000005</v>
      </c>
      <c r="J108" s="56">
        <f t="shared" ref="J108:T108" si="35">I108</f>
        <v>-690.24800000000005</v>
      </c>
      <c r="K108" s="56">
        <f t="shared" si="35"/>
        <v>-690.24800000000005</v>
      </c>
      <c r="L108" s="56">
        <f t="shared" si="35"/>
        <v>-690.24800000000005</v>
      </c>
      <c r="M108" s="56">
        <f t="shared" si="35"/>
        <v>-690.24800000000005</v>
      </c>
      <c r="N108" s="56">
        <f t="shared" si="35"/>
        <v>-690.24800000000005</v>
      </c>
      <c r="O108" s="56">
        <f t="shared" si="35"/>
        <v>-690.24800000000005</v>
      </c>
      <c r="P108" s="56">
        <f t="shared" si="35"/>
        <v>-690.24800000000005</v>
      </c>
      <c r="Q108" s="56">
        <f t="shared" si="35"/>
        <v>-690.24800000000005</v>
      </c>
      <c r="R108" s="56">
        <f t="shared" si="35"/>
        <v>-690.24800000000005</v>
      </c>
      <c r="S108" s="56">
        <f t="shared" si="35"/>
        <v>-690.24800000000005</v>
      </c>
      <c r="T108" s="56">
        <f t="shared" si="35"/>
        <v>-690.24800000000005</v>
      </c>
    </row>
    <row r="109" spans="1:20" hidden="1" outlineLevel="1">
      <c r="A109" s="6"/>
      <c r="B109" s="6"/>
      <c r="C109" s="6"/>
      <c r="D109" s="58" t="s">
        <v>47</v>
      </c>
      <c r="E109" s="6"/>
      <c r="H109" s="3"/>
      <c r="I109" s="56"/>
      <c r="J109" s="48">
        <f>-SLN(J$106,0,J$25)</f>
        <v>-897.32240000000024</v>
      </c>
      <c r="K109" s="56">
        <f t="shared" ref="K109:T109" si="36">J109</f>
        <v>-897.32240000000024</v>
      </c>
      <c r="L109" s="56">
        <f t="shared" si="36"/>
        <v>-897.32240000000024</v>
      </c>
      <c r="M109" s="56">
        <f t="shared" si="36"/>
        <v>-897.32240000000024</v>
      </c>
      <c r="N109" s="56">
        <f t="shared" si="36"/>
        <v>-897.32240000000024</v>
      </c>
      <c r="O109" s="56">
        <f t="shared" si="36"/>
        <v>-897.32240000000024</v>
      </c>
      <c r="P109" s="56">
        <f t="shared" si="36"/>
        <v>-897.32240000000024</v>
      </c>
      <c r="Q109" s="56">
        <f t="shared" si="36"/>
        <v>-897.32240000000024</v>
      </c>
      <c r="R109" s="56">
        <f t="shared" si="36"/>
        <v>-897.32240000000024</v>
      </c>
      <c r="S109" s="56">
        <f t="shared" si="36"/>
        <v>-897.32240000000024</v>
      </c>
      <c r="T109" s="56">
        <f t="shared" si="36"/>
        <v>-897.32240000000024</v>
      </c>
    </row>
    <row r="110" spans="1:20" hidden="1" outlineLevel="1">
      <c r="A110" s="6"/>
      <c r="B110" s="6"/>
      <c r="C110" s="6"/>
      <c r="D110" s="58" t="s">
        <v>48</v>
      </c>
      <c r="E110" s="6"/>
      <c r="H110" s="3"/>
      <c r="I110" s="3"/>
      <c r="J110" s="56"/>
      <c r="K110" s="48">
        <f>-SLN(K$106,0,K$25)</f>
        <v>-1166.5191200000002</v>
      </c>
      <c r="L110" s="56">
        <f t="shared" ref="L110:T110" si="37">K110</f>
        <v>-1166.5191200000002</v>
      </c>
      <c r="M110" s="56">
        <f t="shared" si="37"/>
        <v>-1166.5191200000002</v>
      </c>
      <c r="N110" s="56">
        <f t="shared" si="37"/>
        <v>-1166.5191200000002</v>
      </c>
      <c r="O110" s="56">
        <f t="shared" si="37"/>
        <v>-1166.5191200000002</v>
      </c>
      <c r="P110" s="56">
        <f t="shared" si="37"/>
        <v>-1166.5191200000002</v>
      </c>
      <c r="Q110" s="56">
        <f t="shared" si="37"/>
        <v>-1166.5191200000002</v>
      </c>
      <c r="R110" s="56">
        <f t="shared" si="37"/>
        <v>-1166.5191200000002</v>
      </c>
      <c r="S110" s="56">
        <f t="shared" si="37"/>
        <v>-1166.5191200000002</v>
      </c>
      <c r="T110" s="56">
        <f t="shared" si="37"/>
        <v>-1166.5191200000002</v>
      </c>
    </row>
    <row r="111" spans="1:20" hidden="1" outlineLevel="1">
      <c r="A111" s="6"/>
      <c r="B111" s="6"/>
      <c r="C111" s="6"/>
      <c r="D111" s="58" t="s">
        <v>49</v>
      </c>
      <c r="E111" s="6"/>
      <c r="H111" s="7"/>
      <c r="I111" s="7"/>
      <c r="J111" s="7"/>
      <c r="K111" s="56"/>
      <c r="L111" s="48">
        <f>-SLN(L$106,0,L$25)</f>
        <v>-1516.4748560000007</v>
      </c>
      <c r="M111" s="3">
        <f t="shared" ref="M111:T111" si="38">L111</f>
        <v>-1516.4748560000007</v>
      </c>
      <c r="N111" s="3">
        <f t="shared" si="38"/>
        <v>-1516.4748560000007</v>
      </c>
      <c r="O111" s="3">
        <f t="shared" si="38"/>
        <v>-1516.4748560000007</v>
      </c>
      <c r="P111" s="3">
        <f t="shared" si="38"/>
        <v>-1516.4748560000007</v>
      </c>
      <c r="Q111" s="3">
        <f t="shared" si="38"/>
        <v>-1516.4748560000007</v>
      </c>
      <c r="R111" s="3">
        <f t="shared" si="38"/>
        <v>-1516.4748560000007</v>
      </c>
      <c r="S111" s="3">
        <f t="shared" si="38"/>
        <v>-1516.4748560000007</v>
      </c>
      <c r="T111" s="3">
        <f t="shared" si="38"/>
        <v>-1516.4748560000007</v>
      </c>
    </row>
    <row r="112" spans="1:20" hidden="1" outlineLevel="1">
      <c r="A112" s="6"/>
      <c r="B112" s="6"/>
      <c r="C112" s="6"/>
      <c r="D112" s="58" t="s">
        <v>50</v>
      </c>
      <c r="E112" s="6"/>
      <c r="F112" s="7"/>
      <c r="G112" s="7"/>
      <c r="H112" s="7"/>
      <c r="I112" s="56"/>
      <c r="J112" s="56"/>
      <c r="M112" s="48">
        <f>-SLN(M$106,0,M$25)</f>
        <v>-1971.4173128000004</v>
      </c>
      <c r="N112" s="3">
        <f t="shared" ref="N112:T112" si="39">M112</f>
        <v>-1971.4173128000004</v>
      </c>
      <c r="O112" s="3">
        <f t="shared" si="39"/>
        <v>-1971.4173128000004</v>
      </c>
      <c r="P112" s="3">
        <f t="shared" si="39"/>
        <v>-1971.4173128000004</v>
      </c>
      <c r="Q112" s="3">
        <f t="shared" si="39"/>
        <v>-1971.4173128000004</v>
      </c>
      <c r="R112" s="3">
        <f t="shared" si="39"/>
        <v>-1971.4173128000004</v>
      </c>
      <c r="S112" s="3">
        <f t="shared" si="39"/>
        <v>-1971.4173128000004</v>
      </c>
      <c r="T112" s="3">
        <f t="shared" si="39"/>
        <v>-1971.4173128000004</v>
      </c>
    </row>
    <row r="113" spans="1:20" hidden="1" outlineLevel="1">
      <c r="A113" s="6"/>
      <c r="B113" s="6"/>
      <c r="C113" s="6"/>
      <c r="D113" s="58" t="s">
        <v>51</v>
      </c>
      <c r="E113" s="6"/>
      <c r="F113" s="7"/>
      <c r="G113" s="7"/>
      <c r="H113" s="7"/>
      <c r="I113" s="56"/>
      <c r="J113" s="56"/>
      <c r="N113" s="48">
        <f>-SLN(N$106,0,N$25)</f>
        <v>-2562.8425066400009</v>
      </c>
      <c r="O113" s="3">
        <f t="shared" ref="O113:T113" si="40">N113</f>
        <v>-2562.8425066400009</v>
      </c>
      <c r="P113" s="3">
        <f t="shared" si="40"/>
        <v>-2562.8425066400009</v>
      </c>
      <c r="Q113" s="3">
        <f t="shared" si="40"/>
        <v>-2562.8425066400009</v>
      </c>
      <c r="R113" s="3">
        <f t="shared" si="40"/>
        <v>-2562.8425066400009</v>
      </c>
      <c r="S113" s="3">
        <f t="shared" si="40"/>
        <v>-2562.8425066400009</v>
      </c>
      <c r="T113" s="3">
        <f t="shared" si="40"/>
        <v>-2562.8425066400009</v>
      </c>
    </row>
    <row r="114" spans="1:20" hidden="1" outlineLevel="1">
      <c r="A114" s="6"/>
      <c r="B114" s="6"/>
      <c r="C114" s="6"/>
      <c r="D114" s="58" t="s">
        <v>52</v>
      </c>
      <c r="E114" s="6"/>
      <c r="F114" s="7"/>
      <c r="G114" s="7"/>
      <c r="H114" s="7"/>
      <c r="I114" s="56"/>
      <c r="J114" s="56"/>
      <c r="O114" s="48">
        <f>-SLN(O$106,0,O$25)</f>
        <v>-3331.6952586320017</v>
      </c>
      <c r="P114" s="3">
        <f>O114</f>
        <v>-3331.6952586320017</v>
      </c>
      <c r="Q114" s="3">
        <f>P114</f>
        <v>-3331.6952586320017</v>
      </c>
      <c r="R114" s="3">
        <f>Q114</f>
        <v>-3331.6952586320017</v>
      </c>
      <c r="S114" s="3">
        <f>R114</f>
        <v>-3331.6952586320017</v>
      </c>
      <c r="T114" s="3">
        <f>S114</f>
        <v>-3331.6952586320017</v>
      </c>
    </row>
    <row r="115" spans="1:20" hidden="1" outlineLevel="1">
      <c r="A115" s="6"/>
      <c r="B115" s="6"/>
      <c r="C115" s="6"/>
      <c r="D115" s="58" t="s">
        <v>53</v>
      </c>
      <c r="E115" s="6"/>
      <c r="F115" s="7"/>
      <c r="G115" s="7"/>
      <c r="H115" s="7"/>
      <c r="I115" s="56"/>
      <c r="J115" s="56"/>
      <c r="P115" s="48">
        <f>-SLN(P$106,0,P$25)</f>
        <v>-4331.2038362216026</v>
      </c>
      <c r="Q115" s="3">
        <f>P115</f>
        <v>-4331.2038362216026</v>
      </c>
      <c r="R115" s="3">
        <f>Q115</f>
        <v>-4331.2038362216026</v>
      </c>
      <c r="S115" s="3">
        <f>R115</f>
        <v>-4331.2038362216026</v>
      </c>
      <c r="T115" s="3">
        <f>S115</f>
        <v>-4331.2038362216026</v>
      </c>
    </row>
    <row r="116" spans="1:20" hidden="1" outlineLevel="1">
      <c r="A116" s="6"/>
      <c r="B116" s="6"/>
      <c r="C116" s="6"/>
      <c r="D116" s="58" t="s">
        <v>54</v>
      </c>
      <c r="E116" s="6"/>
      <c r="F116" s="7"/>
      <c r="G116" s="7"/>
      <c r="H116" s="7"/>
      <c r="I116" s="56"/>
      <c r="J116" s="56"/>
      <c r="Q116" s="48">
        <f>-SLN(Q$106,0,Q$25)</f>
        <v>-5630.5649870880843</v>
      </c>
      <c r="R116" s="3">
        <f>Q116</f>
        <v>-5630.5649870880843</v>
      </c>
      <c r="S116" s="3">
        <f>R116</f>
        <v>-5630.5649870880843</v>
      </c>
      <c r="T116" s="3">
        <f>S116</f>
        <v>-5630.5649870880843</v>
      </c>
    </row>
    <row r="117" spans="1:20" hidden="1" outlineLevel="1">
      <c r="A117" s="6"/>
      <c r="B117" s="6"/>
      <c r="C117" s="6"/>
      <c r="D117" s="58" t="s">
        <v>55</v>
      </c>
      <c r="E117" s="6"/>
      <c r="F117" s="7"/>
      <c r="G117" s="7"/>
      <c r="H117" s="7"/>
      <c r="I117" s="56"/>
      <c r="J117" s="56"/>
      <c r="R117" s="48">
        <f>-SLN(R$106,0,R$25)</f>
        <v>-7319.7344832145063</v>
      </c>
      <c r="S117" s="3">
        <f>R117</f>
        <v>-7319.7344832145063</v>
      </c>
      <c r="T117" s="3">
        <f>S117</f>
        <v>-7319.7344832145063</v>
      </c>
    </row>
    <row r="118" spans="1:20" hidden="1" outlineLevel="1">
      <c r="A118" s="6"/>
      <c r="B118" s="6"/>
      <c r="C118" s="6"/>
      <c r="D118" s="58" t="s">
        <v>56</v>
      </c>
      <c r="E118" s="6"/>
      <c r="F118" s="7"/>
      <c r="G118" s="7"/>
      <c r="H118" s="7"/>
      <c r="I118" s="56"/>
      <c r="J118" s="56"/>
      <c r="S118" s="48">
        <f>-SLN(S$106,0,S$25)</f>
        <v>-9515.65482817886</v>
      </c>
      <c r="T118" s="3">
        <f>S118</f>
        <v>-9515.65482817886</v>
      </c>
    </row>
    <row r="119" spans="1:20" hidden="1" outlineLevel="1">
      <c r="A119" s="6"/>
      <c r="B119" s="6"/>
      <c r="C119" s="6"/>
      <c r="D119" s="58" t="s">
        <v>57</v>
      </c>
      <c r="E119" s="6"/>
      <c r="F119" s="7"/>
      <c r="G119" s="7"/>
      <c r="H119" s="7"/>
      <c r="I119" s="56"/>
      <c r="J119" s="56"/>
      <c r="T119" s="48">
        <f>-SLN(T$106,0,T$25)</f>
        <v>-12370.351276632522</v>
      </c>
    </row>
    <row r="120" spans="1:20" hidden="1" outlineLevel="1">
      <c r="A120" s="6"/>
      <c r="B120" s="6"/>
      <c r="C120" s="6"/>
      <c r="D120" s="58" t="s">
        <v>58</v>
      </c>
      <c r="E120" s="6"/>
      <c r="F120" s="7"/>
      <c r="G120" s="7"/>
      <c r="H120" s="7"/>
      <c r="I120" s="3"/>
      <c r="J120" s="56"/>
    </row>
    <row r="121" spans="1:20" hidden="1" outlineLevel="1">
      <c r="A121" s="6"/>
      <c r="B121" s="6"/>
      <c r="C121" s="6"/>
      <c r="D121" s="58"/>
      <c r="E121" s="6"/>
      <c r="F121" s="7"/>
      <c r="G121" s="7"/>
      <c r="H121" s="7"/>
      <c r="I121" s="7"/>
      <c r="J121" s="7"/>
    </row>
    <row r="122" spans="1:20" hidden="1" outlineLevel="1">
      <c r="A122" s="14" t="s">
        <v>128</v>
      </c>
      <c r="B122" s="14"/>
      <c r="C122" s="14"/>
      <c r="D122" s="14"/>
      <c r="E122" s="14"/>
      <c r="F122" s="14"/>
      <c r="G122" s="14"/>
      <c r="H122" s="14">
        <f t="shared" ref="H122:T122" si="41">SUM(H107:H120)+H104</f>
        <v>-530.96000000000015</v>
      </c>
      <c r="I122" s="14">
        <f t="shared" si="41"/>
        <v>-1221.2080000000001</v>
      </c>
      <c r="J122" s="14">
        <f t="shared" si="41"/>
        <v>-2118.5304000000006</v>
      </c>
      <c r="K122" s="14">
        <f t="shared" si="41"/>
        <v>-3285.0495200000005</v>
      </c>
      <c r="L122" s="14">
        <f t="shared" si="41"/>
        <v>-4801.5243760000012</v>
      </c>
      <c r="M122" s="14">
        <f t="shared" si="41"/>
        <v>-6772.9416888000014</v>
      </c>
      <c r="N122" s="14">
        <f t="shared" si="41"/>
        <v>-9335.7841954400028</v>
      </c>
      <c r="O122" s="14">
        <f t="shared" si="41"/>
        <v>-12667.479454072005</v>
      </c>
      <c r="P122" s="14">
        <f t="shared" si="41"/>
        <v>-16998.683290293608</v>
      </c>
      <c r="Q122" s="14">
        <f t="shared" si="41"/>
        <v>-22629.248277381692</v>
      </c>
      <c r="R122" s="14">
        <f t="shared" si="41"/>
        <v>-29948.982760596198</v>
      </c>
      <c r="S122" s="14">
        <f t="shared" si="41"/>
        <v>-39464.637588775062</v>
      </c>
      <c r="T122" s="14">
        <f t="shared" si="41"/>
        <v>-51834.988865407584</v>
      </c>
    </row>
    <row r="123" spans="1:20" hidden="1" outlineLevel="1">
      <c r="A123" s="3"/>
      <c r="B123" s="7"/>
      <c r="C123" s="3"/>
      <c r="D123" s="70"/>
      <c r="E123" s="70"/>
      <c r="F123" s="7"/>
      <c r="G123" s="7"/>
      <c r="H123" s="7"/>
      <c r="I123" s="7"/>
      <c r="J123" s="7"/>
    </row>
    <row r="124" spans="1:20" hidden="1" outlineLevel="1">
      <c r="A124" s="14" t="s">
        <v>129</v>
      </c>
      <c r="B124" s="14"/>
      <c r="C124" s="14"/>
      <c r="D124" s="14"/>
      <c r="E124" s="14"/>
      <c r="F124" s="14"/>
      <c r="G124" s="14"/>
      <c r="H124" s="14">
        <f t="shared" ref="H124:T124" si="42">H95+H122</f>
        <v>-267964.13999999996</v>
      </c>
      <c r="I124" s="14">
        <f t="shared" si="42"/>
        <v>-616317.522</v>
      </c>
      <c r="J124" s="14">
        <f t="shared" si="42"/>
        <v>-1069176.9186000002</v>
      </c>
      <c r="K124" s="14">
        <f t="shared" si="42"/>
        <v>-1657894.1341800001</v>
      </c>
      <c r="L124" s="14">
        <f t="shared" si="42"/>
        <v>-2423226.514434</v>
      </c>
      <c r="M124" s="14">
        <f t="shared" si="42"/>
        <v>-3418158.6087642005</v>
      </c>
      <c r="N124" s="14">
        <f t="shared" si="42"/>
        <v>-4711570.3313934598</v>
      </c>
      <c r="O124" s="14">
        <f t="shared" si="42"/>
        <v>-6393005.5708114989</v>
      </c>
      <c r="P124" s="14">
        <f t="shared" si="42"/>
        <v>-8578871.3820549492</v>
      </c>
      <c r="Q124" s="14">
        <f t="shared" si="42"/>
        <v>-11420496.936671434</v>
      </c>
      <c r="R124" s="14">
        <f t="shared" si="42"/>
        <v>-15114610.157672867</v>
      </c>
      <c r="S124" s="14">
        <f t="shared" si="42"/>
        <v>-19916957.34497473</v>
      </c>
      <c r="T124" s="14">
        <f t="shared" si="42"/>
        <v>-26160008.688467149</v>
      </c>
    </row>
    <row r="125" spans="1:20" collapsed="1">
      <c r="A125" s="7"/>
      <c r="B125" s="7"/>
      <c r="C125" s="7"/>
      <c r="D125" s="7"/>
      <c r="E125" s="7"/>
      <c r="F125" s="7"/>
      <c r="G125" s="7"/>
      <c r="H125" s="7"/>
      <c r="I125" s="7"/>
      <c r="J125" s="7"/>
    </row>
  </sheetData>
  <mergeCells count="2">
    <mergeCell ref="A37:A38"/>
    <mergeCell ref="A39:A4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25"/>
  <sheetViews>
    <sheetView showGridLines="0" zoomScale="115" zoomScaleNormal="115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121" sqref="A121:F125"/>
    </sheetView>
  </sheetViews>
  <sheetFormatPr baseColWidth="10" defaultColWidth="8.83203125" defaultRowHeight="15" outlineLevelCol="1"/>
  <cols>
    <col min="1" max="1" width="12.33203125" customWidth="1"/>
    <col min="2" max="2" width="33.5" customWidth="1"/>
    <col min="3" max="3" width="11.1640625" hidden="1" customWidth="1" outlineLevel="1"/>
    <col min="4" max="4" width="12.83203125" bestFit="1" customWidth="1" collapsed="1"/>
    <col min="5" max="9" width="13.1640625" bestFit="1" customWidth="1"/>
    <col min="10" max="10" width="14" bestFit="1" customWidth="1"/>
    <col min="11" max="13" width="12.5" bestFit="1" customWidth="1"/>
    <col min="14" max="16" width="14.1640625" bestFit="1" customWidth="1"/>
    <col min="17" max="17" width="15" bestFit="1" customWidth="1"/>
    <col min="18" max="20" width="14.1640625" bestFit="1" customWidth="1"/>
    <col min="21" max="21" width="18.5" bestFit="1" customWidth="1"/>
  </cols>
  <sheetData>
    <row r="1" spans="1:20" ht="53" customHeight="1">
      <c r="A1" s="23" t="s">
        <v>40</v>
      </c>
    </row>
    <row r="2" spans="1:20">
      <c r="A2" s="18"/>
      <c r="B2" s="19"/>
      <c r="C2" s="27" t="s">
        <v>41</v>
      </c>
      <c r="D2" s="27" t="s">
        <v>42</v>
      </c>
      <c r="E2" s="27" t="s">
        <v>43</v>
      </c>
      <c r="F2" s="27" t="s">
        <v>44</v>
      </c>
      <c r="G2" s="27" t="s">
        <v>45</v>
      </c>
      <c r="H2" s="27" t="s">
        <v>46</v>
      </c>
      <c r="I2" s="27" t="s">
        <v>47</v>
      </c>
      <c r="J2" s="27" t="s">
        <v>48</v>
      </c>
      <c r="K2" s="27" t="s">
        <v>49</v>
      </c>
      <c r="L2" s="27" t="s">
        <v>50</v>
      </c>
      <c r="M2" s="27" t="s">
        <v>51</v>
      </c>
      <c r="N2" s="27" t="s">
        <v>52</v>
      </c>
      <c r="O2" s="27" t="s">
        <v>53</v>
      </c>
      <c r="P2" s="27" t="s">
        <v>54</v>
      </c>
      <c r="Q2" s="27" t="s">
        <v>55</v>
      </c>
      <c r="R2" s="27" t="s">
        <v>56</v>
      </c>
      <c r="S2" s="27" t="s">
        <v>57</v>
      </c>
      <c r="T2" s="27" t="s">
        <v>58</v>
      </c>
    </row>
    <row r="3" spans="1:20" ht="17.5" customHeight="1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7.5" customHeight="1">
      <c r="A4" s="2" t="s">
        <v>130</v>
      </c>
      <c r="B4" s="3" t="str">
        <f>Cover!F7</f>
        <v>RMB Thousand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5" customHeight="1">
      <c r="A6" s="7"/>
      <c r="B6" s="7" t="s">
        <v>1</v>
      </c>
      <c r="C6" s="26">
        <f>'Financial Numbers From AR'!C2</f>
        <v>0</v>
      </c>
      <c r="D6" s="26">
        <f>'Financial Numbers From AR'!D2</f>
        <v>0</v>
      </c>
      <c r="E6" s="26">
        <f>'Financial Numbers From AR'!E2</f>
        <v>0</v>
      </c>
      <c r="F6" s="26">
        <f>'Financial Numbers From AR'!F2</f>
        <v>0</v>
      </c>
      <c r="G6" s="26">
        <f>'Financial Numbers From AR'!G2</f>
        <v>0</v>
      </c>
      <c r="H6" s="26">
        <f>G6*(1+'Assumption Table'!H5)</f>
        <v>0</v>
      </c>
      <c r="I6" s="26">
        <f>H6*(1+'Assumption Table'!I5)</f>
        <v>0</v>
      </c>
      <c r="J6" s="26">
        <f>I6*(1+'Assumption Table'!J5)</f>
        <v>0</v>
      </c>
      <c r="K6" s="26">
        <f>J6*(1+'Assumption Table'!K5)</f>
        <v>0</v>
      </c>
      <c r="L6" s="26">
        <f>K6*(1+'Assumption Table'!L5)</f>
        <v>0</v>
      </c>
      <c r="M6" s="26">
        <f>L6*(1+'Assumption Table'!M5)</f>
        <v>0</v>
      </c>
      <c r="N6" s="26">
        <f>M6*(1+'Assumption Table'!N5)</f>
        <v>0</v>
      </c>
      <c r="O6" s="26">
        <f>N6*(1+'Assumption Table'!O5)</f>
        <v>0</v>
      </c>
      <c r="P6" s="26">
        <f>O6*(1+'Assumption Table'!P5)</f>
        <v>0</v>
      </c>
      <c r="Q6" s="26">
        <f>P6*(1+'Assumption Table'!Q5)</f>
        <v>0</v>
      </c>
      <c r="R6" s="26">
        <f>Q6*(1+'Assumption Table'!R5)</f>
        <v>0</v>
      </c>
      <c r="S6" s="26">
        <f>R6*(1+'Assumption Table'!S5)</f>
        <v>0</v>
      </c>
      <c r="T6" s="26">
        <f>S6*(1+'Assumption Table'!T5)</f>
        <v>0</v>
      </c>
    </row>
    <row r="7" spans="1:20" ht="15.5" customHeight="1">
      <c r="A7" s="7"/>
      <c r="B7" s="7" t="s">
        <v>2</v>
      </c>
      <c r="C7" s="26">
        <f>'Financial Numbers From AR'!C3</f>
        <v>0</v>
      </c>
      <c r="D7" s="26">
        <f>'Financial Numbers From AR'!D3</f>
        <v>0</v>
      </c>
      <c r="E7" s="26">
        <f>'Financial Numbers From AR'!E3</f>
        <v>0</v>
      </c>
      <c r="F7" s="26">
        <f>'Financial Numbers From AR'!F3</f>
        <v>0</v>
      </c>
      <c r="G7" s="26">
        <f>'Financial Numbers From AR'!G3</f>
        <v>0</v>
      </c>
      <c r="H7" s="26">
        <f t="shared" ref="H7:T7" si="0">H8-H6</f>
        <v>0</v>
      </c>
      <c r="I7" s="26">
        <f t="shared" si="0"/>
        <v>0</v>
      </c>
      <c r="J7" s="26">
        <f t="shared" si="0"/>
        <v>0</v>
      </c>
      <c r="K7" s="26">
        <f t="shared" si="0"/>
        <v>0</v>
      </c>
      <c r="L7" s="26">
        <f t="shared" si="0"/>
        <v>0</v>
      </c>
      <c r="M7" s="26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</row>
    <row r="8" spans="1:20" ht="15.5" customHeight="1">
      <c r="A8" s="6"/>
      <c r="B8" s="8" t="s">
        <v>131</v>
      </c>
      <c r="C8" s="26">
        <f>C6-C7</f>
        <v>0</v>
      </c>
      <c r="D8" s="26">
        <f>D6+D7</f>
        <v>0</v>
      </c>
      <c r="E8" s="26">
        <f>E6+E7</f>
        <v>0</v>
      </c>
      <c r="F8" s="26">
        <f>F6+F7</f>
        <v>0</v>
      </c>
      <c r="G8" s="26">
        <f>G6+G7</f>
        <v>0</v>
      </c>
      <c r="H8" s="26">
        <f>H6*'Assumption Table'!H6</f>
        <v>0</v>
      </c>
      <c r="I8" s="26">
        <f>I6*'Assumption Table'!I6</f>
        <v>0</v>
      </c>
      <c r="J8" s="26">
        <f>J6*'Assumption Table'!J6</f>
        <v>0</v>
      </c>
      <c r="K8" s="26">
        <f>K6*'Assumption Table'!K6</f>
        <v>0</v>
      </c>
      <c r="L8" s="26">
        <f>L6*'Assumption Table'!L6</f>
        <v>0</v>
      </c>
      <c r="M8" s="26">
        <f>M6*'Assumption Table'!M6</f>
        <v>0</v>
      </c>
      <c r="N8" s="26">
        <f>N6*'Assumption Table'!N6</f>
        <v>0</v>
      </c>
      <c r="O8" s="26">
        <f>O6*'Assumption Table'!O6</f>
        <v>0</v>
      </c>
      <c r="P8" s="26">
        <f>P6*'Assumption Table'!P6</f>
        <v>0</v>
      </c>
      <c r="Q8" s="26">
        <f>Q6*'Assumption Table'!Q6</f>
        <v>0</v>
      </c>
      <c r="R8" s="26">
        <f>R6*'Assumption Table'!R6</f>
        <v>0</v>
      </c>
      <c r="S8" s="26">
        <f>S6*'Assumption Table'!S6</f>
        <v>0</v>
      </c>
      <c r="T8" s="26">
        <f>T6*'Assumption Table'!T6</f>
        <v>0</v>
      </c>
    </row>
    <row r="9" spans="1:20" ht="15.5" customHeight="1">
      <c r="A9" s="6"/>
      <c r="B9" s="71" t="s">
        <v>132</v>
      </c>
      <c r="C9" s="26"/>
      <c r="D9" s="26"/>
      <c r="E9" s="26"/>
      <c r="F9" s="26"/>
      <c r="G9" s="26"/>
      <c r="H9" s="26">
        <f>'Assumption Table'!H124</f>
        <v>-267964.13999999996</v>
      </c>
      <c r="I9" s="26">
        <f>'Assumption Table'!I124</f>
        <v>-616317.522</v>
      </c>
      <c r="J9" s="26">
        <f>'Assumption Table'!J124</f>
        <v>-1069176.9186000002</v>
      </c>
      <c r="K9" s="26">
        <f>'Assumption Table'!K124</f>
        <v>-1657894.1341800001</v>
      </c>
      <c r="L9" s="26">
        <f>'Assumption Table'!L124</f>
        <v>-2423226.514434</v>
      </c>
      <c r="M9" s="26">
        <f>'Assumption Table'!M124</f>
        <v>-3418158.6087642005</v>
      </c>
      <c r="N9" s="26">
        <f>'Assumption Table'!N124</f>
        <v>-4711570.3313934598</v>
      </c>
      <c r="O9" s="26">
        <f>'Assumption Table'!O124</f>
        <v>-6393005.5708114989</v>
      </c>
      <c r="P9" s="26">
        <f>'Assumption Table'!P124</f>
        <v>-8578871.3820549492</v>
      </c>
      <c r="Q9" s="26">
        <f>'Assumption Table'!Q124</f>
        <v>-11420496.936671434</v>
      </c>
      <c r="R9" s="26">
        <f>'Assumption Table'!R124</f>
        <v>-15114610.157672867</v>
      </c>
      <c r="S9" s="26">
        <f>'Assumption Table'!S124</f>
        <v>-19916957.34497473</v>
      </c>
      <c r="T9" s="26">
        <f>'Assumption Table'!T124</f>
        <v>-26160008.688467149</v>
      </c>
    </row>
    <row r="10" spans="1:20" ht="15.5" customHeight="1">
      <c r="A10" s="6"/>
      <c r="B10" s="7" t="s">
        <v>3</v>
      </c>
      <c r="C10" s="26">
        <f>'Financial Numbers From AR'!C4</f>
        <v>0</v>
      </c>
      <c r="D10" s="26">
        <f>'Financial Numbers From AR'!D4</f>
        <v>0</v>
      </c>
      <c r="E10" s="26">
        <f>'Financial Numbers From AR'!E4</f>
        <v>0</v>
      </c>
      <c r="F10" s="26">
        <f>'Financial Numbers From AR'!F4</f>
        <v>0</v>
      </c>
      <c r="G10" s="26">
        <f>'Financial Numbers From AR'!G4</f>
        <v>0</v>
      </c>
      <c r="H10" s="26">
        <f>H6*'Assumption Table'!H7</f>
        <v>0</v>
      </c>
      <c r="I10" s="26">
        <f>I6*'Assumption Table'!I7</f>
        <v>0</v>
      </c>
      <c r="J10" s="26">
        <f>J6*'Assumption Table'!J7</f>
        <v>0</v>
      </c>
      <c r="K10" s="26">
        <f>K6*'Assumption Table'!K7</f>
        <v>0</v>
      </c>
      <c r="L10" s="26">
        <f>L6*'Assumption Table'!L7</f>
        <v>0</v>
      </c>
      <c r="M10" s="26">
        <f>M6*'Assumption Table'!M7</f>
        <v>0</v>
      </c>
      <c r="N10" s="26">
        <f>N6*'Assumption Table'!N7</f>
        <v>0</v>
      </c>
      <c r="O10" s="26">
        <f>O6*'Assumption Table'!O7</f>
        <v>0</v>
      </c>
      <c r="P10" s="26">
        <f>P6*'Assumption Table'!P7</f>
        <v>0</v>
      </c>
      <c r="Q10" s="26">
        <f>Q6*'Assumption Table'!Q7</f>
        <v>0</v>
      </c>
      <c r="R10" s="26">
        <f>R6*'Assumption Table'!R7</f>
        <v>0</v>
      </c>
      <c r="S10" s="26">
        <f>S6*'Assumption Table'!S7</f>
        <v>0</v>
      </c>
      <c r="T10" s="26">
        <f>T6*'Assumption Table'!T7</f>
        <v>0</v>
      </c>
    </row>
    <row r="11" spans="1:20" ht="15.5" customHeight="1">
      <c r="A11" s="6"/>
      <c r="B11" s="7" t="s">
        <v>4</v>
      </c>
      <c r="C11" s="26">
        <f>'Financial Numbers From AR'!C5</f>
        <v>0</v>
      </c>
      <c r="D11" s="26">
        <f>'Financial Numbers From AR'!D5</f>
        <v>0</v>
      </c>
      <c r="E11" s="26">
        <f>'Financial Numbers From AR'!E5</f>
        <v>0</v>
      </c>
      <c r="F11" s="26">
        <f>'Financial Numbers From AR'!F5</f>
        <v>0</v>
      </c>
      <c r="G11" s="26">
        <f>'Financial Numbers From AR'!G5</f>
        <v>0</v>
      </c>
      <c r="H11" s="26">
        <f>H6*'Assumption Table'!H8</f>
        <v>0</v>
      </c>
      <c r="I11" s="26">
        <f>I6*'Assumption Table'!I8</f>
        <v>0</v>
      </c>
      <c r="J11" s="26">
        <f>J6*'Assumption Table'!J8</f>
        <v>0</v>
      </c>
      <c r="K11" s="26">
        <f>K6*'Assumption Table'!K8</f>
        <v>0</v>
      </c>
      <c r="L11" s="26">
        <f>L6*'Assumption Table'!L8</f>
        <v>0</v>
      </c>
      <c r="M11" s="26">
        <f>M6*'Assumption Table'!M8</f>
        <v>0</v>
      </c>
      <c r="N11" s="26">
        <f>N6*'Assumption Table'!N8</f>
        <v>0</v>
      </c>
      <c r="O11" s="26">
        <f>O6*'Assumption Table'!O8</f>
        <v>0</v>
      </c>
      <c r="P11" s="26">
        <f>P6*'Assumption Table'!P8</f>
        <v>0</v>
      </c>
      <c r="Q11" s="26">
        <f>Q6*'Assumption Table'!Q8</f>
        <v>0</v>
      </c>
      <c r="R11" s="26">
        <f>R6*'Assumption Table'!R8</f>
        <v>0</v>
      </c>
      <c r="S11" s="26">
        <f>S6*'Assumption Table'!S8</f>
        <v>0</v>
      </c>
      <c r="T11" s="26">
        <f>T6*'Assumption Table'!T8</f>
        <v>0</v>
      </c>
    </row>
    <row r="12" spans="1:20" ht="15.5" customHeight="1">
      <c r="A12" s="6"/>
      <c r="B12" s="7" t="s">
        <v>133</v>
      </c>
      <c r="C12" s="26">
        <f>C13-SUM(C6:C11)</f>
        <v>0</v>
      </c>
      <c r="D12" s="26">
        <f>D13-SUM(D6:D11)</f>
        <v>0</v>
      </c>
      <c r="E12" s="26">
        <f>E13-SUM(E6:E11)</f>
        <v>0</v>
      </c>
      <c r="F12" s="26">
        <f>F13-SUM(F6:F11)</f>
        <v>0</v>
      </c>
      <c r="G12" s="26">
        <f>G13-SUM(G6:G11)</f>
        <v>0</v>
      </c>
      <c r="H12" s="26">
        <f>H6*'Assumption Table'!H9</f>
        <v>0</v>
      </c>
      <c r="I12" s="26">
        <f>I6*'Assumption Table'!I9</f>
        <v>0</v>
      </c>
      <c r="J12" s="26">
        <f>J6*'Assumption Table'!J9</f>
        <v>0</v>
      </c>
      <c r="K12" s="26">
        <f>K6*'Assumption Table'!K9</f>
        <v>0</v>
      </c>
      <c r="L12" s="26">
        <f>L6*'Assumption Table'!L9</f>
        <v>0</v>
      </c>
      <c r="M12" s="26">
        <f>M6*'Assumption Table'!M9</f>
        <v>0</v>
      </c>
      <c r="N12" s="26">
        <f>N6*'Assumption Table'!N9</f>
        <v>0</v>
      </c>
      <c r="O12" s="26">
        <f>O6*'Assumption Table'!O9</f>
        <v>0</v>
      </c>
      <c r="P12" s="26">
        <f>P6*'Assumption Table'!P9</f>
        <v>0</v>
      </c>
      <c r="Q12" s="26">
        <f>Q6*'Assumption Table'!Q9</f>
        <v>0</v>
      </c>
      <c r="R12" s="26">
        <f>R6*'Assumption Table'!R9</f>
        <v>0</v>
      </c>
      <c r="S12" s="26">
        <f>S6*'Assumption Table'!S9</f>
        <v>0</v>
      </c>
      <c r="T12" s="26">
        <f>T6*'Assumption Table'!T9</f>
        <v>0</v>
      </c>
    </row>
    <row r="13" spans="1:20" ht="15.5" customHeight="1">
      <c r="A13" s="6"/>
      <c r="B13" s="8" t="s">
        <v>5</v>
      </c>
      <c r="C13" s="26">
        <f>'Financial Numbers From AR'!C6</f>
        <v>0</v>
      </c>
      <c r="D13" s="26">
        <f>'Financial Numbers From AR'!D6</f>
        <v>0</v>
      </c>
      <c r="E13" s="26">
        <f>'Financial Numbers From AR'!E6</f>
        <v>0</v>
      </c>
      <c r="F13" s="26">
        <f>'Financial Numbers From AR'!F6</f>
        <v>0</v>
      </c>
      <c r="G13" s="26">
        <f>'Financial Numbers From AR'!G6</f>
        <v>0</v>
      </c>
      <c r="H13" s="26">
        <f t="shared" ref="H13:T13" si="1">SUM(H8:H12)</f>
        <v>-267964.13999999996</v>
      </c>
      <c r="I13" s="26">
        <f t="shared" si="1"/>
        <v>-616317.522</v>
      </c>
      <c r="J13" s="26">
        <f t="shared" si="1"/>
        <v>-1069176.9186000002</v>
      </c>
      <c r="K13" s="26">
        <f t="shared" si="1"/>
        <v>-1657894.1341800001</v>
      </c>
      <c r="L13" s="26">
        <f t="shared" si="1"/>
        <v>-2423226.514434</v>
      </c>
      <c r="M13" s="26">
        <f t="shared" si="1"/>
        <v>-3418158.6087642005</v>
      </c>
      <c r="N13" s="26">
        <f t="shared" si="1"/>
        <v>-4711570.3313934598</v>
      </c>
      <c r="O13" s="26">
        <f t="shared" si="1"/>
        <v>-6393005.5708114989</v>
      </c>
      <c r="P13" s="26">
        <f t="shared" si="1"/>
        <v>-8578871.3820549492</v>
      </c>
      <c r="Q13" s="26">
        <f t="shared" si="1"/>
        <v>-11420496.936671434</v>
      </c>
      <c r="R13" s="26">
        <f t="shared" si="1"/>
        <v>-15114610.157672867</v>
      </c>
      <c r="S13" s="26">
        <f t="shared" si="1"/>
        <v>-19916957.34497473</v>
      </c>
      <c r="T13" s="26">
        <f t="shared" si="1"/>
        <v>-26160008.688467149</v>
      </c>
    </row>
    <row r="14" spans="1:20" ht="15.5" customHeight="1">
      <c r="A14" s="6"/>
      <c r="B14" s="7" t="s">
        <v>6</v>
      </c>
      <c r="C14" s="26">
        <f>'Financial Numbers From AR'!C7</f>
        <v>0</v>
      </c>
      <c r="D14" s="26">
        <f>'Financial Numbers From AR'!D7</f>
        <v>0</v>
      </c>
      <c r="E14" s="26">
        <f>'Financial Numbers From AR'!E7</f>
        <v>0</v>
      </c>
      <c r="F14" s="26">
        <f>'Financial Numbers From AR'!F7</f>
        <v>0</v>
      </c>
      <c r="G14" s="26">
        <f>'Financial Numbers From AR'!G7</f>
        <v>0</v>
      </c>
      <c r="H14" s="26">
        <f>'Assumption Table'!H68</f>
        <v>0</v>
      </c>
      <c r="I14" s="26" t="e">
        <f>'Assumption Table'!I68</f>
        <v>#DIV/0!</v>
      </c>
      <c r="J14" s="26" t="e">
        <f>'Assumption Table'!J68</f>
        <v>#DIV/0!</v>
      </c>
      <c r="K14" s="26" t="e">
        <f>'Assumption Table'!K68</f>
        <v>#DIV/0!</v>
      </c>
      <c r="L14" s="26" t="e">
        <f>'Assumption Table'!L68</f>
        <v>#DIV/0!</v>
      </c>
      <c r="M14" s="26" t="e">
        <f>'Assumption Table'!M68</f>
        <v>#DIV/0!</v>
      </c>
      <c r="N14" s="26" t="e">
        <f>'Assumption Table'!N68</f>
        <v>#DIV/0!</v>
      </c>
      <c r="O14" s="26" t="e">
        <f>'Assumption Table'!O68</f>
        <v>#DIV/0!</v>
      </c>
      <c r="P14" s="26" t="e">
        <f>'Assumption Table'!P68</f>
        <v>#DIV/0!</v>
      </c>
      <c r="Q14" s="26" t="e">
        <f>'Assumption Table'!Q68</f>
        <v>#DIV/0!</v>
      </c>
      <c r="R14" s="26" t="e">
        <f>'Assumption Table'!R68</f>
        <v>#DIV/0!</v>
      </c>
      <c r="S14" s="26" t="e">
        <f>'Assumption Table'!S68</f>
        <v>#DIV/0!</v>
      </c>
      <c r="T14" s="26" t="e">
        <f>'Assumption Table'!T68</f>
        <v>#DIV/0!</v>
      </c>
    </row>
    <row r="15" spans="1:20" ht="15.5" customHeight="1">
      <c r="A15" s="6"/>
      <c r="B15" s="7" t="s">
        <v>7</v>
      </c>
      <c r="C15" s="26">
        <f>'Financial Numbers From AR'!C8</f>
        <v>0</v>
      </c>
      <c r="D15" s="26">
        <f>'Financial Numbers From AR'!D8</f>
        <v>0</v>
      </c>
      <c r="E15" s="26">
        <f>'Financial Numbers From AR'!E8</f>
        <v>0</v>
      </c>
      <c r="F15" s="26">
        <f>'Financial Numbers From AR'!F8</f>
        <v>0</v>
      </c>
      <c r="G15" s="26">
        <f>'Financial Numbers From AR'!G8</f>
        <v>0</v>
      </c>
      <c r="H15" s="26">
        <f>-'Assumption Table'!H64</f>
        <v>-50143.721249999995</v>
      </c>
      <c r="I15" s="26">
        <f>-'Assumption Table'!I64</f>
        <v>-115330.55887500002</v>
      </c>
      <c r="J15" s="26">
        <f>-'Assumption Table'!J64</f>
        <v>-200073.44778750004</v>
      </c>
      <c r="K15" s="26">
        <f>-'Assumption Table'!K64</f>
        <v>-310239.20337375003</v>
      </c>
      <c r="L15" s="26">
        <f>-'Assumption Table'!L64</f>
        <v>-453454.6856358751</v>
      </c>
      <c r="M15" s="26">
        <f>-'Assumption Table'!M64</f>
        <v>-639634.8125766376</v>
      </c>
      <c r="N15" s="26">
        <f>-'Assumption Table'!N64</f>
        <v>-881668.97759962885</v>
      </c>
      <c r="O15" s="26">
        <f>-'Assumption Table'!O64</f>
        <v>-1196313.3921295176</v>
      </c>
      <c r="P15" s="26">
        <f>-'Assumption Table'!P64</f>
        <v>-1605351.1310183732</v>
      </c>
      <c r="Q15" s="26">
        <f>-'Assumption Table'!Q64</f>
        <v>-2137100.1915738853</v>
      </c>
      <c r="R15" s="26">
        <f>-'Assumption Table'!R64</f>
        <v>-2828373.9702960509</v>
      </c>
      <c r="S15" s="26">
        <f>-'Assumption Table'!S64</f>
        <v>-3727029.8826348665</v>
      </c>
      <c r="T15" s="26">
        <f>-'Assumption Table'!T64</f>
        <v>-4895282.5686753271</v>
      </c>
    </row>
    <row r="16" spans="1:20" ht="15.5" customHeight="1">
      <c r="A16" s="7"/>
      <c r="B16" s="7" t="s">
        <v>134</v>
      </c>
      <c r="C16" s="26">
        <f t="shared" ref="C16:T16" si="2">SUM(C14:C15)</f>
        <v>0</v>
      </c>
      <c r="D16" s="26">
        <f t="shared" si="2"/>
        <v>0</v>
      </c>
      <c r="E16" s="26">
        <f t="shared" si="2"/>
        <v>0</v>
      </c>
      <c r="F16" s="26">
        <f t="shared" si="2"/>
        <v>0</v>
      </c>
      <c r="G16" s="26">
        <f t="shared" si="2"/>
        <v>0</v>
      </c>
      <c r="H16" s="26">
        <f t="shared" si="2"/>
        <v>-50143.721249999995</v>
      </c>
      <c r="I16" s="26" t="e">
        <f t="shared" si="2"/>
        <v>#DIV/0!</v>
      </c>
      <c r="J16" s="26" t="e">
        <f t="shared" si="2"/>
        <v>#DIV/0!</v>
      </c>
      <c r="K16" s="26" t="e">
        <f t="shared" si="2"/>
        <v>#DIV/0!</v>
      </c>
      <c r="L16" s="26" t="e">
        <f t="shared" si="2"/>
        <v>#DIV/0!</v>
      </c>
      <c r="M16" s="26" t="e">
        <f t="shared" si="2"/>
        <v>#DIV/0!</v>
      </c>
      <c r="N16" s="26" t="e">
        <f t="shared" si="2"/>
        <v>#DIV/0!</v>
      </c>
      <c r="O16" s="26" t="e">
        <f t="shared" si="2"/>
        <v>#DIV/0!</v>
      </c>
      <c r="P16" s="26" t="e">
        <f t="shared" si="2"/>
        <v>#DIV/0!</v>
      </c>
      <c r="Q16" s="26" t="e">
        <f t="shared" si="2"/>
        <v>#DIV/0!</v>
      </c>
      <c r="R16" s="26" t="e">
        <f t="shared" si="2"/>
        <v>#DIV/0!</v>
      </c>
      <c r="S16" s="26" t="e">
        <f t="shared" si="2"/>
        <v>#DIV/0!</v>
      </c>
      <c r="T16" s="26" t="e">
        <f t="shared" si="2"/>
        <v>#DIV/0!</v>
      </c>
    </row>
    <row r="17" spans="1:21" ht="15.5" customHeight="1">
      <c r="A17" s="7"/>
      <c r="B17" s="7" t="s">
        <v>135</v>
      </c>
      <c r="C17" s="26">
        <f>C18-SUM(C13,C16)</f>
        <v>0</v>
      </c>
      <c r="D17" s="26">
        <f>D18-SUM(D13,D16)</f>
        <v>0</v>
      </c>
      <c r="E17" s="26">
        <f>E18-SUM(E13,E16)</f>
        <v>0</v>
      </c>
      <c r="F17" s="26">
        <f>F18-SUM(F13,F16)</f>
        <v>0</v>
      </c>
      <c r="G17" s="26">
        <f>G18-SUM(G13,G16)</f>
        <v>0</v>
      </c>
      <c r="H17" s="26">
        <f>H6*'Assumption Table'!H12</f>
        <v>0</v>
      </c>
      <c r="I17" s="26">
        <f>I6*'Assumption Table'!I12</f>
        <v>0</v>
      </c>
      <c r="J17" s="26">
        <f>J6*'Assumption Table'!J12</f>
        <v>0</v>
      </c>
      <c r="K17" s="26">
        <f>K6*'Assumption Table'!K12</f>
        <v>0</v>
      </c>
      <c r="L17" s="26">
        <f>L6*'Assumption Table'!L12</f>
        <v>0</v>
      </c>
      <c r="M17" s="26">
        <f>M6*'Assumption Table'!M12</f>
        <v>0</v>
      </c>
      <c r="N17" s="26">
        <f>N6*'Assumption Table'!N12</f>
        <v>0</v>
      </c>
      <c r="O17" s="26">
        <f>O6*'Assumption Table'!O12</f>
        <v>0</v>
      </c>
      <c r="P17" s="26">
        <f>P6*'Assumption Table'!P12</f>
        <v>0</v>
      </c>
      <c r="Q17" s="26">
        <f>Q6*'Assumption Table'!Q12</f>
        <v>0</v>
      </c>
      <c r="R17" s="26">
        <f>R6*'Assumption Table'!R12</f>
        <v>0</v>
      </c>
      <c r="S17" s="26">
        <f>S6*'Assumption Table'!S12</f>
        <v>0</v>
      </c>
      <c r="T17" s="26">
        <f>T6*'Assumption Table'!T12</f>
        <v>0</v>
      </c>
    </row>
    <row r="18" spans="1:21" ht="15.5" customHeight="1">
      <c r="A18" s="7"/>
      <c r="B18" s="8" t="s">
        <v>8</v>
      </c>
      <c r="C18" s="26">
        <f>'Financial Numbers From AR'!C9</f>
        <v>0</v>
      </c>
      <c r="D18" s="26">
        <f>'Financial Numbers From AR'!D9</f>
        <v>0</v>
      </c>
      <c r="E18" s="26">
        <f>'Financial Numbers From AR'!E9</f>
        <v>0</v>
      </c>
      <c r="F18" s="26">
        <f>'Financial Numbers From AR'!F9</f>
        <v>0</v>
      </c>
      <c r="G18" s="26">
        <f>'Financial Numbers From AR'!G9</f>
        <v>0</v>
      </c>
      <c r="H18" s="26">
        <f t="shared" ref="H18:T18" si="3">SUM(H13,H16,H17)</f>
        <v>-318107.86124999996</v>
      </c>
      <c r="I18" s="26" t="e">
        <f t="shared" si="3"/>
        <v>#DIV/0!</v>
      </c>
      <c r="J18" s="26" t="e">
        <f t="shared" si="3"/>
        <v>#DIV/0!</v>
      </c>
      <c r="K18" s="26" t="e">
        <f t="shared" si="3"/>
        <v>#DIV/0!</v>
      </c>
      <c r="L18" s="26" t="e">
        <f t="shared" si="3"/>
        <v>#DIV/0!</v>
      </c>
      <c r="M18" s="26" t="e">
        <f t="shared" si="3"/>
        <v>#DIV/0!</v>
      </c>
      <c r="N18" s="26" t="e">
        <f t="shared" si="3"/>
        <v>#DIV/0!</v>
      </c>
      <c r="O18" s="26" t="e">
        <f t="shared" si="3"/>
        <v>#DIV/0!</v>
      </c>
      <c r="P18" s="26" t="e">
        <f t="shared" si="3"/>
        <v>#DIV/0!</v>
      </c>
      <c r="Q18" s="26" t="e">
        <f t="shared" si="3"/>
        <v>#DIV/0!</v>
      </c>
      <c r="R18" s="26" t="e">
        <f t="shared" si="3"/>
        <v>#DIV/0!</v>
      </c>
      <c r="S18" s="26" t="e">
        <f t="shared" si="3"/>
        <v>#DIV/0!</v>
      </c>
      <c r="T18" s="26" t="e">
        <f t="shared" si="3"/>
        <v>#DIV/0!</v>
      </c>
    </row>
    <row r="19" spans="1:21" ht="15.5" customHeight="1">
      <c r="A19" s="7"/>
      <c r="B19" s="7" t="s">
        <v>136</v>
      </c>
      <c r="C19" s="26">
        <f>C20-C18</f>
        <v>0</v>
      </c>
      <c r="D19" s="26">
        <f>D20-D18</f>
        <v>0</v>
      </c>
      <c r="E19" s="26">
        <f>E20-E18</f>
        <v>0</v>
      </c>
      <c r="F19" s="26">
        <f>F20-F18</f>
        <v>0</v>
      </c>
      <c r="G19" s="26">
        <f>G20-G18</f>
        <v>0</v>
      </c>
      <c r="H19" s="26">
        <f>-H18*'Assumption Table'!H13</f>
        <v>63621.572249999997</v>
      </c>
      <c r="I19" s="26" t="e">
        <f>-I18*'Assumption Table'!I13</f>
        <v>#DIV/0!</v>
      </c>
      <c r="J19" s="26" t="e">
        <f>-J18*'Assumption Table'!J13</f>
        <v>#DIV/0!</v>
      </c>
      <c r="K19" s="26" t="e">
        <f>-K18*'Assumption Table'!K13</f>
        <v>#DIV/0!</v>
      </c>
      <c r="L19" s="26" t="e">
        <f>-L18*'Assumption Table'!L13</f>
        <v>#DIV/0!</v>
      </c>
      <c r="M19" s="26" t="e">
        <f>-M18*'Assumption Table'!M13</f>
        <v>#DIV/0!</v>
      </c>
      <c r="N19" s="26" t="e">
        <f>-N18*'Assumption Table'!N13</f>
        <v>#DIV/0!</v>
      </c>
      <c r="O19" s="26" t="e">
        <f>-O18*'Assumption Table'!O13</f>
        <v>#DIV/0!</v>
      </c>
      <c r="P19" s="26" t="e">
        <f>-P18*'Assumption Table'!P13</f>
        <v>#DIV/0!</v>
      </c>
      <c r="Q19" s="26" t="e">
        <f>-Q18*'Assumption Table'!Q13</f>
        <v>#DIV/0!</v>
      </c>
      <c r="R19" s="26" t="e">
        <f>-R18*'Assumption Table'!R13</f>
        <v>#DIV/0!</v>
      </c>
      <c r="S19" s="26" t="e">
        <f>-S18*'Assumption Table'!S13</f>
        <v>#DIV/0!</v>
      </c>
      <c r="T19" s="26" t="e">
        <f>-T18*'Assumption Table'!T13</f>
        <v>#DIV/0!</v>
      </c>
    </row>
    <row r="20" spans="1:21" ht="15.5" customHeight="1">
      <c r="A20" s="7"/>
      <c r="B20" s="8" t="s">
        <v>9</v>
      </c>
      <c r="C20" s="26">
        <f>'Financial Numbers From AR'!C10</f>
        <v>0</v>
      </c>
      <c r="D20" s="26">
        <f>'Financial Numbers From AR'!D10</f>
        <v>0</v>
      </c>
      <c r="E20" s="26">
        <f>'Financial Numbers From AR'!E10</f>
        <v>0</v>
      </c>
      <c r="F20" s="26">
        <f>'Financial Numbers From AR'!F10</f>
        <v>0</v>
      </c>
      <c r="G20" s="26">
        <f>'Financial Numbers From AR'!G10</f>
        <v>0</v>
      </c>
      <c r="H20" s="26">
        <f t="shared" ref="H20:T20" si="4">SUM(H18:H19)</f>
        <v>-254486.28899999996</v>
      </c>
      <c r="I20" s="26" t="e">
        <f t="shared" si="4"/>
        <v>#DIV/0!</v>
      </c>
      <c r="J20" s="26" t="e">
        <f t="shared" si="4"/>
        <v>#DIV/0!</v>
      </c>
      <c r="K20" s="26" t="e">
        <f t="shared" si="4"/>
        <v>#DIV/0!</v>
      </c>
      <c r="L20" s="26" t="e">
        <f t="shared" si="4"/>
        <v>#DIV/0!</v>
      </c>
      <c r="M20" s="26" t="e">
        <f t="shared" si="4"/>
        <v>#DIV/0!</v>
      </c>
      <c r="N20" s="26" t="e">
        <f t="shared" si="4"/>
        <v>#DIV/0!</v>
      </c>
      <c r="O20" s="26" t="e">
        <f t="shared" si="4"/>
        <v>#DIV/0!</v>
      </c>
      <c r="P20" s="26" t="e">
        <f t="shared" si="4"/>
        <v>#DIV/0!</v>
      </c>
      <c r="Q20" s="26" t="e">
        <f t="shared" si="4"/>
        <v>#DIV/0!</v>
      </c>
      <c r="R20" s="26" t="e">
        <f t="shared" si="4"/>
        <v>#DIV/0!</v>
      </c>
      <c r="S20" s="26" t="e">
        <f t="shared" si="4"/>
        <v>#DIV/0!</v>
      </c>
      <c r="T20" s="26" t="e">
        <f t="shared" si="4"/>
        <v>#DIV/0!</v>
      </c>
    </row>
    <row r="21" spans="1:21" ht="17.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1" ht="17.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ht="17.5" customHeight="1">
      <c r="A23" s="22" t="s">
        <v>69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1" ht="17.5" customHeight="1">
      <c r="A24" s="2" t="s">
        <v>130</v>
      </c>
      <c r="B24" s="3" t="str">
        <f>Cover!F7</f>
        <v>RMB Thousand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1">
      <c r="A26" s="6" t="s">
        <v>11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1">
      <c r="A27" s="7"/>
      <c r="B27" s="7" t="s">
        <v>12</v>
      </c>
      <c r="C27" s="7">
        <f>'Financial Numbers From AR'!C15</f>
        <v>0</v>
      </c>
      <c r="D27" s="7">
        <f>'Financial Numbers From AR'!D15</f>
        <v>0</v>
      </c>
      <c r="E27" s="7">
        <f>'Financial Numbers From AR'!E15</f>
        <v>0</v>
      </c>
      <c r="F27" s="7">
        <f>'Financial Numbers From AR'!F15</f>
        <v>0</v>
      </c>
      <c r="G27" s="7">
        <f>'Financial Numbers From AR'!G15</f>
        <v>0</v>
      </c>
      <c r="H27" s="7" t="e">
        <f t="shared" ref="H27:T27" si="5">H94</f>
        <v>#DIV/0!</v>
      </c>
      <c r="I27" s="7" t="e">
        <f t="shared" si="5"/>
        <v>#DIV/0!</v>
      </c>
      <c r="J27" s="7" t="e">
        <f t="shared" si="5"/>
        <v>#DIV/0!</v>
      </c>
      <c r="K27" s="7" t="e">
        <f t="shared" si="5"/>
        <v>#DIV/0!</v>
      </c>
      <c r="L27" s="7" t="e">
        <f t="shared" si="5"/>
        <v>#DIV/0!</v>
      </c>
      <c r="M27" s="7" t="e">
        <f t="shared" si="5"/>
        <v>#DIV/0!</v>
      </c>
      <c r="N27" s="7" t="e">
        <f t="shared" si="5"/>
        <v>#DIV/0!</v>
      </c>
      <c r="O27" s="7" t="e">
        <f t="shared" si="5"/>
        <v>#DIV/0!</v>
      </c>
      <c r="P27" s="7" t="e">
        <f t="shared" si="5"/>
        <v>#DIV/0!</v>
      </c>
      <c r="Q27" s="7" t="e">
        <f t="shared" si="5"/>
        <v>#DIV/0!</v>
      </c>
      <c r="R27" s="7" t="e">
        <f t="shared" si="5"/>
        <v>#DIV/0!</v>
      </c>
      <c r="S27" s="7" t="e">
        <f t="shared" si="5"/>
        <v>#DIV/0!</v>
      </c>
      <c r="T27" s="7" t="e">
        <f t="shared" si="5"/>
        <v>#DIV/0!</v>
      </c>
      <c r="U27" s="89"/>
    </row>
    <row r="28" spans="1:21">
      <c r="A28" s="7"/>
      <c r="B28" s="7" t="s">
        <v>13</v>
      </c>
      <c r="C28" s="7">
        <f>'Financial Numbers From AR'!C16</f>
        <v>0</v>
      </c>
      <c r="D28" s="7">
        <f>'Financial Numbers From AR'!D16</f>
        <v>0</v>
      </c>
      <c r="E28" s="7">
        <f>'Financial Numbers From AR'!E16</f>
        <v>0</v>
      </c>
      <c r="F28" s="7">
        <f>'Financial Numbers From AR'!F16</f>
        <v>0</v>
      </c>
      <c r="G28" s="7">
        <f>'Financial Numbers From AR'!G16</f>
        <v>0</v>
      </c>
      <c r="H28" s="7" t="e">
        <f>'FA &amp; Operating Model'!H6/'Assumption Table'!H29</f>
        <v>#DIV/0!</v>
      </c>
      <c r="I28" s="7" t="e">
        <f>'FA &amp; Operating Model'!I6/'Assumption Table'!I29</f>
        <v>#DIV/0!</v>
      </c>
      <c r="J28" s="7" t="e">
        <f>'FA &amp; Operating Model'!J6/'Assumption Table'!J29</f>
        <v>#DIV/0!</v>
      </c>
      <c r="K28" s="7" t="e">
        <f>'FA &amp; Operating Model'!K6/'Assumption Table'!K29</f>
        <v>#DIV/0!</v>
      </c>
      <c r="L28" s="7" t="e">
        <f>'FA &amp; Operating Model'!L6/'Assumption Table'!L29</f>
        <v>#DIV/0!</v>
      </c>
      <c r="M28" s="7" t="e">
        <f>'FA &amp; Operating Model'!M6/'Assumption Table'!M29</f>
        <v>#DIV/0!</v>
      </c>
      <c r="N28" s="7" t="e">
        <f>'FA &amp; Operating Model'!N6/'Assumption Table'!N29</f>
        <v>#DIV/0!</v>
      </c>
      <c r="O28" s="7" t="e">
        <f>'FA &amp; Operating Model'!O6/'Assumption Table'!O29</f>
        <v>#DIV/0!</v>
      </c>
      <c r="P28" s="7" t="e">
        <f>'FA &amp; Operating Model'!P6/'Assumption Table'!P29</f>
        <v>#DIV/0!</v>
      </c>
      <c r="Q28" s="7" t="e">
        <f>'FA &amp; Operating Model'!Q6/'Assumption Table'!Q29</f>
        <v>#DIV/0!</v>
      </c>
      <c r="R28" s="7" t="e">
        <f>'FA &amp; Operating Model'!R6/'Assumption Table'!R29</f>
        <v>#DIV/0!</v>
      </c>
      <c r="S28" s="7" t="e">
        <f>'FA &amp; Operating Model'!S6/'Assumption Table'!S29</f>
        <v>#DIV/0!</v>
      </c>
      <c r="T28" s="7" t="e">
        <f>'FA &amp; Operating Model'!T6/'Assumption Table'!T29</f>
        <v>#DIV/0!</v>
      </c>
      <c r="U28" s="89"/>
    </row>
    <row r="29" spans="1:21">
      <c r="A29" s="7"/>
      <c r="B29" s="7" t="s">
        <v>14</v>
      </c>
      <c r="C29" s="7">
        <f>'Financial Numbers From AR'!C17</f>
        <v>0</v>
      </c>
      <c r="D29" s="7">
        <f>'Financial Numbers From AR'!D17</f>
        <v>0</v>
      </c>
      <c r="E29" s="7">
        <f>'Financial Numbers From AR'!E17</f>
        <v>0</v>
      </c>
      <c r="F29" s="7">
        <f>'Financial Numbers From AR'!F17</f>
        <v>0</v>
      </c>
      <c r="G29" s="7">
        <f>'Financial Numbers From AR'!G17</f>
        <v>0</v>
      </c>
      <c r="H29" s="7" t="e">
        <f>H7/'Assumption Table'!H28</f>
        <v>#DIV/0!</v>
      </c>
      <c r="I29" s="7" t="e">
        <f>I7/'Assumption Table'!I28</f>
        <v>#DIV/0!</v>
      </c>
      <c r="J29" s="7" t="e">
        <f>J7/'Assumption Table'!J28</f>
        <v>#DIV/0!</v>
      </c>
      <c r="K29" s="7" t="e">
        <f>K7/'Assumption Table'!K28</f>
        <v>#DIV/0!</v>
      </c>
      <c r="L29" s="7" t="e">
        <f>L7/'Assumption Table'!L28</f>
        <v>#DIV/0!</v>
      </c>
      <c r="M29" s="7" t="e">
        <f>M7/'Assumption Table'!M28</f>
        <v>#DIV/0!</v>
      </c>
      <c r="N29" s="7" t="e">
        <f>N7/'Assumption Table'!N28</f>
        <v>#DIV/0!</v>
      </c>
      <c r="O29" s="7" t="e">
        <f>O7/'Assumption Table'!O28</f>
        <v>#DIV/0!</v>
      </c>
      <c r="P29" s="7" t="e">
        <f>P7/'Assumption Table'!P28</f>
        <v>#DIV/0!</v>
      </c>
      <c r="Q29" s="7" t="e">
        <f>Q7/'Assumption Table'!Q28</f>
        <v>#DIV/0!</v>
      </c>
      <c r="R29" s="7" t="e">
        <f>R7/'Assumption Table'!R28</f>
        <v>#DIV/0!</v>
      </c>
      <c r="S29" s="7" t="e">
        <f>S7/'Assumption Table'!S28</f>
        <v>#DIV/0!</v>
      </c>
      <c r="T29" s="7" t="e">
        <f>T7/'Assumption Table'!T28</f>
        <v>#DIV/0!</v>
      </c>
      <c r="U29" s="89"/>
    </row>
    <row r="30" spans="1:21">
      <c r="A30" s="7"/>
      <c r="B30" s="7" t="s">
        <v>15</v>
      </c>
      <c r="C30" s="7">
        <f>'Financial Numbers From AR'!C18</f>
        <v>0</v>
      </c>
      <c r="D30" s="7">
        <f>'Financial Numbers From AR'!D18</f>
        <v>0</v>
      </c>
      <c r="E30" s="7">
        <f>'Financial Numbers From AR'!E18</f>
        <v>0</v>
      </c>
      <c r="F30" s="7">
        <f>'Financial Numbers From AR'!F18</f>
        <v>0</v>
      </c>
      <c r="G30" s="7">
        <f>'Financial Numbers From AR'!G18</f>
        <v>0</v>
      </c>
      <c r="H30" s="7" t="e">
        <f>'FA &amp; Operating Model'!H7/'Assumption Table'!H30</f>
        <v>#DIV/0!</v>
      </c>
      <c r="I30" s="7" t="e">
        <f>'FA &amp; Operating Model'!I7/'Assumption Table'!I30</f>
        <v>#DIV/0!</v>
      </c>
      <c r="J30" s="7" t="e">
        <f>'FA &amp; Operating Model'!J7/'Assumption Table'!J30</f>
        <v>#DIV/0!</v>
      </c>
      <c r="K30" s="7" t="e">
        <f>'FA &amp; Operating Model'!K7/'Assumption Table'!K30</f>
        <v>#DIV/0!</v>
      </c>
      <c r="L30" s="7" t="e">
        <f>'FA &amp; Operating Model'!L7/'Assumption Table'!L30</f>
        <v>#DIV/0!</v>
      </c>
      <c r="M30" s="7" t="e">
        <f>'FA &amp; Operating Model'!M7/'Assumption Table'!M30</f>
        <v>#DIV/0!</v>
      </c>
      <c r="N30" s="7" t="e">
        <f>'FA &amp; Operating Model'!N7/'Assumption Table'!N30</f>
        <v>#DIV/0!</v>
      </c>
      <c r="O30" s="7" t="e">
        <f>'FA &amp; Operating Model'!O7/'Assumption Table'!O30</f>
        <v>#DIV/0!</v>
      </c>
      <c r="P30" s="7" t="e">
        <f>'FA &amp; Operating Model'!P7/'Assumption Table'!P30</f>
        <v>#DIV/0!</v>
      </c>
      <c r="Q30" s="7" t="e">
        <f>'FA &amp; Operating Model'!Q7/'Assumption Table'!Q30</f>
        <v>#DIV/0!</v>
      </c>
      <c r="R30" s="7" t="e">
        <f>'FA &amp; Operating Model'!R7/'Assumption Table'!R30</f>
        <v>#DIV/0!</v>
      </c>
      <c r="S30" s="7" t="e">
        <f>'FA &amp; Operating Model'!S7/'Assumption Table'!S30</f>
        <v>#DIV/0!</v>
      </c>
      <c r="T30" s="7" t="e">
        <f>'FA &amp; Operating Model'!T7/'Assumption Table'!T30</f>
        <v>#DIV/0!</v>
      </c>
      <c r="U30" s="89"/>
    </row>
    <row r="31" spans="1:21">
      <c r="A31" s="6"/>
      <c r="B31" s="3" t="s">
        <v>70</v>
      </c>
      <c r="C31" s="7">
        <f>C32-SUM(C27:C30)</f>
        <v>0</v>
      </c>
      <c r="D31" s="7">
        <f>D32-SUM(D27:D30)</f>
        <v>5065839</v>
      </c>
      <c r="E31" s="7">
        <f>E32-SUM(E27:E30)</f>
        <v>31391109</v>
      </c>
      <c r="F31" s="7">
        <f>F32-SUM(F27:F30)</f>
        <v>52380414</v>
      </c>
      <c r="G31" s="7">
        <f>G32-SUM(G27:G30)</f>
        <v>66992487</v>
      </c>
      <c r="H31" s="7">
        <f>'Assumption Table'!H16</f>
        <v>66992487</v>
      </c>
      <c r="I31" s="7">
        <f>'Assumption Table'!I16</f>
        <v>66992487</v>
      </c>
      <c r="J31" s="7">
        <f>'Assumption Table'!J16</f>
        <v>66992487</v>
      </c>
      <c r="K31" s="7">
        <f>'Assumption Table'!K16</f>
        <v>66992487</v>
      </c>
      <c r="L31" s="7">
        <f>'Assumption Table'!L16</f>
        <v>66992487</v>
      </c>
      <c r="M31" s="7">
        <f>'Assumption Table'!M16</f>
        <v>66992487</v>
      </c>
      <c r="N31" s="7">
        <f>'Assumption Table'!N16</f>
        <v>66992487</v>
      </c>
      <c r="O31" s="7">
        <f>'Assumption Table'!O16</f>
        <v>66992487</v>
      </c>
      <c r="P31" s="7">
        <f>'Assumption Table'!P16</f>
        <v>66992487</v>
      </c>
      <c r="Q31" s="7">
        <f>'Assumption Table'!Q16</f>
        <v>66992487</v>
      </c>
      <c r="R31" s="7">
        <f>'Assumption Table'!R16</f>
        <v>66992487</v>
      </c>
      <c r="S31" s="7">
        <f>'Assumption Table'!S16</f>
        <v>66992487</v>
      </c>
      <c r="T31" s="7">
        <f>'Assumption Table'!T16</f>
        <v>66992487</v>
      </c>
      <c r="U31" s="89"/>
    </row>
    <row r="32" spans="1:21" s="88" customFormat="1">
      <c r="A32" s="6" t="s">
        <v>16</v>
      </c>
      <c r="B32" s="9"/>
      <c r="C32" s="6">
        <f>'Financial Numbers From AR'!C19</f>
        <v>0</v>
      </c>
      <c r="D32" s="6">
        <f>'Financial Numbers From AR'!D19</f>
        <v>5065839</v>
      </c>
      <c r="E32" s="6">
        <f>'Financial Numbers From AR'!E19</f>
        <v>31391109</v>
      </c>
      <c r="F32" s="6">
        <f>'Financial Numbers From AR'!F19</f>
        <v>52380414</v>
      </c>
      <c r="G32" s="6">
        <f>'Financial Numbers From AR'!G19</f>
        <v>66992487</v>
      </c>
      <c r="H32" s="6" t="e">
        <f t="shared" ref="H32:T32" si="6">SUM(H27:H31)</f>
        <v>#DIV/0!</v>
      </c>
      <c r="I32" s="6" t="e">
        <f t="shared" si="6"/>
        <v>#DIV/0!</v>
      </c>
      <c r="J32" s="6" t="e">
        <f t="shared" si="6"/>
        <v>#DIV/0!</v>
      </c>
      <c r="K32" s="6" t="e">
        <f t="shared" si="6"/>
        <v>#DIV/0!</v>
      </c>
      <c r="L32" s="6" t="e">
        <f t="shared" si="6"/>
        <v>#DIV/0!</v>
      </c>
      <c r="M32" s="6" t="e">
        <f t="shared" si="6"/>
        <v>#DIV/0!</v>
      </c>
      <c r="N32" s="6" t="e">
        <f t="shared" si="6"/>
        <v>#DIV/0!</v>
      </c>
      <c r="O32" s="6" t="e">
        <f t="shared" si="6"/>
        <v>#DIV/0!</v>
      </c>
      <c r="P32" s="6" t="e">
        <f t="shared" si="6"/>
        <v>#DIV/0!</v>
      </c>
      <c r="Q32" s="6" t="e">
        <f t="shared" si="6"/>
        <v>#DIV/0!</v>
      </c>
      <c r="R32" s="6" t="e">
        <f t="shared" si="6"/>
        <v>#DIV/0!</v>
      </c>
      <c r="S32" s="6" t="e">
        <f t="shared" si="6"/>
        <v>#DIV/0!</v>
      </c>
      <c r="T32" s="6" t="e">
        <f t="shared" si="6"/>
        <v>#DIV/0!</v>
      </c>
      <c r="U32" s="89"/>
    </row>
    <row r="33" spans="1:21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9"/>
    </row>
    <row r="34" spans="1:21">
      <c r="A34" s="6" t="s">
        <v>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9"/>
    </row>
    <row r="35" spans="1:21">
      <c r="A35" s="7"/>
      <c r="B35" s="83" t="s">
        <v>137</v>
      </c>
      <c r="C35" s="7">
        <f>'Financial Numbers From AR'!C22</f>
        <v>0</v>
      </c>
      <c r="D35" s="7">
        <f>'Financial Numbers From AR'!D22</f>
        <v>0</v>
      </c>
      <c r="E35" s="7">
        <f>'Financial Numbers From AR'!E22</f>
        <v>0</v>
      </c>
      <c r="F35" s="7">
        <f>'Financial Numbers From AR'!F22</f>
        <v>0</v>
      </c>
      <c r="G35" s="7">
        <f>'Financial Numbers From AR'!G22</f>
        <v>0</v>
      </c>
      <c r="H35" s="7">
        <f>'Assumption Table'!H73</f>
        <v>3744064.5199999996</v>
      </c>
      <c r="I35" s="7">
        <f>'Assumption Table'!I73</f>
        <v>8343915.2160000019</v>
      </c>
      <c r="J35" s="7">
        <f>'Assumption Table'!J73</f>
        <v>14056287.940800004</v>
      </c>
      <c r="K35" s="7">
        <f>'Assumption Table'!K73</f>
        <v>21214939.303040002</v>
      </c>
      <c r="L35" s="7">
        <f>'Assumption Table'!L73</f>
        <v>30253752.893952005</v>
      </c>
      <c r="M35" s="7">
        <f>'Assumption Table'!M73</f>
        <v>41736777.382137612</v>
      </c>
      <c r="N35" s="7">
        <f>'Assumption Table'!N73</f>
        <v>56397276.036778882</v>
      </c>
      <c r="O35" s="7">
        <f>'Assumption Table'!O73</f>
        <v>75188491.107812554</v>
      </c>
      <c r="P35" s="7">
        <f>'Assumption Table'!P73</f>
        <v>99349637.520156339</v>
      </c>
      <c r="Q35" s="7">
        <f>'Assumption Table'!Q73</f>
        <v>130491694.67620325</v>
      </c>
      <c r="R35" s="7">
        <f>'Assumption Table'!R73</f>
        <v>170708935.79906422</v>
      </c>
      <c r="S35" s="7">
        <f>'Assumption Table'!S73</f>
        <v>222723916.07878351</v>
      </c>
      <c r="T35" s="7">
        <f>'Assumption Table'!T73</f>
        <v>290075957.26241863</v>
      </c>
      <c r="U35" s="89"/>
    </row>
    <row r="36" spans="1:21">
      <c r="A36" s="7"/>
      <c r="B36" s="7" t="s">
        <v>19</v>
      </c>
      <c r="C36" s="7">
        <f>'Financial Numbers From AR'!C23</f>
        <v>0</v>
      </c>
      <c r="D36" s="7">
        <f>'Financial Numbers From AR'!D23</f>
        <v>0</v>
      </c>
      <c r="E36" s="7">
        <f>'Financial Numbers From AR'!E23</f>
        <v>0</v>
      </c>
      <c r="F36" s="7">
        <f>'Financial Numbers From AR'!F23</f>
        <v>0</v>
      </c>
      <c r="G36" s="7">
        <f>'Financial Numbers From AR'!G23</f>
        <v>0</v>
      </c>
      <c r="H36" s="7">
        <f>'Assumption Table'!G17</f>
        <v>0</v>
      </c>
      <c r="I36" s="7">
        <f>'Assumption Table'!H17</f>
        <v>0</v>
      </c>
      <c r="J36" s="7">
        <f>'Assumption Table'!I17</f>
        <v>0</v>
      </c>
      <c r="K36" s="7">
        <f>'Assumption Table'!J17</f>
        <v>0</v>
      </c>
      <c r="L36" s="7">
        <f>'Assumption Table'!K17</f>
        <v>0</v>
      </c>
      <c r="M36" s="7">
        <f>'Assumption Table'!L17</f>
        <v>0</v>
      </c>
      <c r="N36" s="7">
        <f>'Assumption Table'!M17</f>
        <v>0</v>
      </c>
      <c r="O36" s="7">
        <f>'Assumption Table'!N17</f>
        <v>0</v>
      </c>
      <c r="P36" s="7">
        <f>'Assumption Table'!O17</f>
        <v>0</v>
      </c>
      <c r="Q36" s="7">
        <f>'Assumption Table'!P17</f>
        <v>0</v>
      </c>
      <c r="R36" s="7">
        <f>'Assumption Table'!Q17</f>
        <v>0</v>
      </c>
      <c r="S36" s="7">
        <f>'Assumption Table'!R17</f>
        <v>0</v>
      </c>
      <c r="T36" s="7">
        <f>'Assumption Table'!S17</f>
        <v>0</v>
      </c>
      <c r="U36" s="89"/>
    </row>
    <row r="37" spans="1:21">
      <c r="A37" s="6"/>
      <c r="B37" s="3" t="s">
        <v>138</v>
      </c>
      <c r="C37" s="7">
        <f>'Financial Numbers From AR'!C24</f>
        <v>0</v>
      </c>
      <c r="D37" s="7">
        <f>'Financial Numbers From AR'!D24</f>
        <v>0</v>
      </c>
      <c r="E37" s="7">
        <f>'Financial Numbers From AR'!E24</f>
        <v>0</v>
      </c>
      <c r="F37" s="7">
        <f>'Financial Numbers From AR'!F24</f>
        <v>0</v>
      </c>
      <c r="G37" s="7">
        <f>'Financial Numbers From AR'!G24</f>
        <v>0</v>
      </c>
      <c r="H37" s="7">
        <f>'Assumption Table'!H100</f>
        <v>15397.840000000004</v>
      </c>
      <c r="I37" s="7">
        <f>'Assumption Table'!I100</f>
        <v>34884.072000000007</v>
      </c>
      <c r="J37" s="7">
        <f>'Assumption Table'!J100</f>
        <v>59685.21360000001</v>
      </c>
      <c r="K37" s="7">
        <f>'Assumption Table'!K100</f>
        <v>91395.73768000002</v>
      </c>
      <c r="L37" s="7">
        <f>'Assumption Table'!L100</f>
        <v>132088.45898400003</v>
      </c>
      <c r="M37" s="7">
        <f>'Assumption Table'!M100</f>
        <v>184458.03667920004</v>
      </c>
      <c r="N37" s="7">
        <f>'Assumption Table'!N100</f>
        <v>252007.52768296006</v>
      </c>
      <c r="O37" s="7">
        <f>'Assumption Table'!O100</f>
        <v>339290.90598784812</v>
      </c>
      <c r="P37" s="7">
        <f>'Assumption Table'!P100</f>
        <v>452228.33778420259</v>
      </c>
      <c r="Q37" s="7">
        <f>'Assumption Table'!Q100</f>
        <v>598516.03911946341</v>
      </c>
      <c r="R37" s="7">
        <f>'Assumption Table'!R100</f>
        <v>788159.09085530241</v>
      </c>
      <c r="S37" s="7">
        <f>'Assumption Table'!S100</f>
        <v>1034164.0981118931</v>
      </c>
      <c r="T37" s="7">
        <f>'Assumption Table'!T100</f>
        <v>1353439.6475454611</v>
      </c>
      <c r="U37" s="89"/>
    </row>
    <row r="38" spans="1:21">
      <c r="A38" s="6"/>
      <c r="B38" s="3" t="s">
        <v>71</v>
      </c>
      <c r="C38" s="7">
        <f>C39-C35-C36-C37</f>
        <v>0</v>
      </c>
      <c r="D38" s="7">
        <f>D39-D35-D36-D37</f>
        <v>0</v>
      </c>
      <c r="E38" s="7">
        <f>E39-E35-E36-E37</f>
        <v>0</v>
      </c>
      <c r="F38" s="7">
        <f>F39-F35-F36-F37</f>
        <v>0</v>
      </c>
      <c r="G38" s="7">
        <f>G39-G35-G36-G37</f>
        <v>0</v>
      </c>
      <c r="H38" s="7">
        <f>'Assumption Table'!H18</f>
        <v>0</v>
      </c>
      <c r="I38" s="7">
        <f>'Assumption Table'!I18</f>
        <v>0</v>
      </c>
      <c r="J38" s="7">
        <f>'Assumption Table'!J18</f>
        <v>0</v>
      </c>
      <c r="K38" s="7">
        <f>'Assumption Table'!K18</f>
        <v>0</v>
      </c>
      <c r="L38" s="7">
        <f>'Assumption Table'!L18</f>
        <v>0</v>
      </c>
      <c r="M38" s="7">
        <f>'Assumption Table'!M18</f>
        <v>0</v>
      </c>
      <c r="N38" s="7">
        <f>'Assumption Table'!N18</f>
        <v>0</v>
      </c>
      <c r="O38" s="7">
        <f>'Assumption Table'!O18</f>
        <v>0</v>
      </c>
      <c r="P38" s="7">
        <f>'Assumption Table'!P18</f>
        <v>0</v>
      </c>
      <c r="Q38" s="7">
        <f>'Assumption Table'!Q18</f>
        <v>0</v>
      </c>
      <c r="R38" s="7">
        <f>'Assumption Table'!R18</f>
        <v>0</v>
      </c>
      <c r="S38" s="7">
        <f>'Assumption Table'!S18</f>
        <v>0</v>
      </c>
      <c r="T38" s="7">
        <f>'Assumption Table'!T18</f>
        <v>0</v>
      </c>
      <c r="U38" s="89"/>
    </row>
    <row r="39" spans="1:21">
      <c r="A39" s="6" t="s">
        <v>21</v>
      </c>
      <c r="B39" s="9"/>
      <c r="C39" s="6">
        <f>'Financial Numbers From AR'!C25</f>
        <v>0</v>
      </c>
      <c r="D39" s="6">
        <f>'Financial Numbers From AR'!D25</f>
        <v>0</v>
      </c>
      <c r="E39" s="6">
        <f>'Financial Numbers From AR'!E25</f>
        <v>0</v>
      </c>
      <c r="F39" s="6">
        <f>'Financial Numbers From AR'!F25</f>
        <v>0</v>
      </c>
      <c r="G39" s="6">
        <f>'Financial Numbers From AR'!G25</f>
        <v>0</v>
      </c>
      <c r="H39" s="6">
        <f t="shared" ref="H39:T39" si="7">SUM(H35:H38)</f>
        <v>3759462.3599999994</v>
      </c>
      <c r="I39" s="6">
        <f t="shared" si="7"/>
        <v>8378799.2880000016</v>
      </c>
      <c r="J39" s="6">
        <f t="shared" si="7"/>
        <v>14115973.154400004</v>
      </c>
      <c r="K39" s="6">
        <f t="shared" si="7"/>
        <v>21306335.040720001</v>
      </c>
      <c r="L39" s="6">
        <f t="shared" si="7"/>
        <v>30385841.352936003</v>
      </c>
      <c r="M39" s="6">
        <f t="shared" si="7"/>
        <v>41921235.418816812</v>
      </c>
      <c r="N39" s="6">
        <f t="shared" si="7"/>
        <v>56649283.564461842</v>
      </c>
      <c r="O39" s="6">
        <f t="shared" si="7"/>
        <v>75527782.013800398</v>
      </c>
      <c r="P39" s="6">
        <f t="shared" si="7"/>
        <v>99801865.85794054</v>
      </c>
      <c r="Q39" s="6">
        <f t="shared" si="7"/>
        <v>131090210.71532272</v>
      </c>
      <c r="R39" s="6">
        <f t="shared" si="7"/>
        <v>171497094.88991952</v>
      </c>
      <c r="S39" s="6">
        <f t="shared" si="7"/>
        <v>223758080.17689541</v>
      </c>
      <c r="T39" s="6">
        <f t="shared" si="7"/>
        <v>291429396.90996408</v>
      </c>
      <c r="U39" s="89"/>
    </row>
    <row r="40" spans="1:21">
      <c r="A40" s="7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89"/>
    </row>
    <row r="41" spans="1:21">
      <c r="A41" s="11" t="s">
        <v>22</v>
      </c>
      <c r="B41" s="12"/>
      <c r="C41" s="14">
        <f>'Financial Numbers From AR'!C27</f>
        <v>0</v>
      </c>
      <c r="D41" s="14">
        <f>'Financial Numbers From AR'!D27</f>
        <v>5065839</v>
      </c>
      <c r="E41" s="14">
        <f>'Financial Numbers From AR'!E27</f>
        <v>31391109</v>
      </c>
      <c r="F41" s="14">
        <f>'Financial Numbers From AR'!F27</f>
        <v>52380414</v>
      </c>
      <c r="G41" s="14">
        <f>'Financial Numbers From AR'!G27</f>
        <v>66992487</v>
      </c>
      <c r="H41" s="12" t="e">
        <f t="shared" ref="H41:T41" si="8">H32+H39</f>
        <v>#DIV/0!</v>
      </c>
      <c r="I41" s="12" t="e">
        <f t="shared" si="8"/>
        <v>#DIV/0!</v>
      </c>
      <c r="J41" s="12" t="e">
        <f t="shared" si="8"/>
        <v>#DIV/0!</v>
      </c>
      <c r="K41" s="12" t="e">
        <f t="shared" si="8"/>
        <v>#DIV/0!</v>
      </c>
      <c r="L41" s="12" t="e">
        <f t="shared" si="8"/>
        <v>#DIV/0!</v>
      </c>
      <c r="M41" s="12" t="e">
        <f t="shared" si="8"/>
        <v>#DIV/0!</v>
      </c>
      <c r="N41" s="12" t="e">
        <f t="shared" si="8"/>
        <v>#DIV/0!</v>
      </c>
      <c r="O41" s="12" t="e">
        <f t="shared" si="8"/>
        <v>#DIV/0!</v>
      </c>
      <c r="P41" s="12" t="e">
        <f t="shared" si="8"/>
        <v>#DIV/0!</v>
      </c>
      <c r="Q41" s="12" t="e">
        <f t="shared" si="8"/>
        <v>#DIV/0!</v>
      </c>
      <c r="R41" s="12" t="e">
        <f t="shared" si="8"/>
        <v>#DIV/0!</v>
      </c>
      <c r="S41" s="12" t="e">
        <f t="shared" si="8"/>
        <v>#DIV/0!</v>
      </c>
      <c r="T41" s="12" t="e">
        <f t="shared" si="8"/>
        <v>#DIV/0!</v>
      </c>
      <c r="U41" s="89"/>
    </row>
    <row r="42" spans="1:21">
      <c r="A42" s="6"/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89"/>
    </row>
    <row r="43" spans="1:21">
      <c r="A43" s="6" t="s">
        <v>23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9"/>
    </row>
    <row r="44" spans="1:21">
      <c r="A44" s="6"/>
      <c r="B44" s="7" t="s">
        <v>24</v>
      </c>
      <c r="C44" s="7">
        <f>'Financial Numbers From AR'!C30</f>
        <v>0</v>
      </c>
      <c r="D44" s="7">
        <f>'Financial Numbers From AR'!D30</f>
        <v>0</v>
      </c>
      <c r="E44" s="7">
        <f>'Financial Numbers From AR'!E30</f>
        <v>0</v>
      </c>
      <c r="F44" s="7">
        <f>'Financial Numbers From AR'!F30</f>
        <v>0</v>
      </c>
      <c r="G44" s="7">
        <f>'Financial Numbers From AR'!G30</f>
        <v>0</v>
      </c>
      <c r="H44" s="7">
        <f>'Assumption Table'!H19</f>
        <v>0</v>
      </c>
      <c r="I44" s="7">
        <f>'Assumption Table'!I19</f>
        <v>0</v>
      </c>
      <c r="J44" s="7">
        <f>'Assumption Table'!J19</f>
        <v>0</v>
      </c>
      <c r="K44" s="7">
        <f>'Assumption Table'!K19</f>
        <v>0</v>
      </c>
      <c r="L44" s="7">
        <f>'Assumption Table'!L19</f>
        <v>0</v>
      </c>
      <c r="M44" s="7">
        <f>'Assumption Table'!M19</f>
        <v>0</v>
      </c>
      <c r="N44" s="7">
        <f>'Assumption Table'!N19</f>
        <v>0</v>
      </c>
      <c r="O44" s="7">
        <f>'Assumption Table'!O19</f>
        <v>0</v>
      </c>
      <c r="P44" s="7">
        <f>'Assumption Table'!P19</f>
        <v>0</v>
      </c>
      <c r="Q44" s="7">
        <f>'Assumption Table'!Q19</f>
        <v>0</v>
      </c>
      <c r="R44" s="7">
        <f>'Assumption Table'!R19</f>
        <v>0</v>
      </c>
      <c r="S44" s="7">
        <f>'Assumption Table'!S19</f>
        <v>0</v>
      </c>
      <c r="T44" s="7">
        <f>'Assumption Table'!T19</f>
        <v>0</v>
      </c>
      <c r="U44" s="89"/>
    </row>
    <row r="45" spans="1:21">
      <c r="A45" s="7"/>
      <c r="B45" s="7" t="s">
        <v>25</v>
      </c>
      <c r="C45" s="7">
        <f>'Financial Numbers From AR'!C31</f>
        <v>0</v>
      </c>
      <c r="D45" s="7">
        <f>'Financial Numbers From AR'!D31</f>
        <v>0</v>
      </c>
      <c r="E45" s="7">
        <f>'Financial Numbers From AR'!E31</f>
        <v>0</v>
      </c>
      <c r="F45" s="7">
        <f>'Financial Numbers From AR'!F31</f>
        <v>0</v>
      </c>
      <c r="G45" s="7">
        <f>'Financial Numbers From AR'!G31</f>
        <v>0</v>
      </c>
      <c r="H45" s="7" t="e">
        <f>H7/'Assumption Table'!H31</f>
        <v>#DIV/0!</v>
      </c>
      <c r="I45" s="7" t="e">
        <f>I7/'Assumption Table'!I31</f>
        <v>#DIV/0!</v>
      </c>
      <c r="J45" s="7" t="e">
        <f>J7/'Assumption Table'!J31</f>
        <v>#DIV/0!</v>
      </c>
      <c r="K45" s="7" t="e">
        <f>K7/'Assumption Table'!K31</f>
        <v>#DIV/0!</v>
      </c>
      <c r="L45" s="7" t="e">
        <f>L7/'Assumption Table'!L31</f>
        <v>#DIV/0!</v>
      </c>
      <c r="M45" s="7" t="e">
        <f>M7/'Assumption Table'!M31</f>
        <v>#DIV/0!</v>
      </c>
      <c r="N45" s="7" t="e">
        <f>N7/'Assumption Table'!N31</f>
        <v>#DIV/0!</v>
      </c>
      <c r="O45" s="7" t="e">
        <f>O7/'Assumption Table'!O31</f>
        <v>#DIV/0!</v>
      </c>
      <c r="P45" s="7" t="e">
        <f>P7/'Assumption Table'!P31</f>
        <v>#DIV/0!</v>
      </c>
      <c r="Q45" s="7" t="e">
        <f>Q7/'Assumption Table'!Q31</f>
        <v>#DIV/0!</v>
      </c>
      <c r="R45" s="7" t="e">
        <f>R7/'Assumption Table'!R31</f>
        <v>#DIV/0!</v>
      </c>
      <c r="S45" s="7" t="e">
        <f>S7/'Assumption Table'!S31</f>
        <v>#DIV/0!</v>
      </c>
      <c r="T45" s="7" t="e">
        <f>T7/'Assumption Table'!T31</f>
        <v>#DIV/0!</v>
      </c>
      <c r="U45" s="89"/>
    </row>
    <row r="46" spans="1:21">
      <c r="A46" s="7"/>
      <c r="B46" s="7" t="s">
        <v>26</v>
      </c>
      <c r="C46" s="7">
        <f>'Financial Numbers From AR'!C32</f>
        <v>0</v>
      </c>
      <c r="D46" s="7">
        <f>'Financial Numbers From AR'!D32</f>
        <v>0</v>
      </c>
      <c r="E46" s="7">
        <f>'Financial Numbers From AR'!E32</f>
        <v>0</v>
      </c>
      <c r="F46" s="7">
        <f>'Financial Numbers From AR'!F32</f>
        <v>0</v>
      </c>
      <c r="G46" s="7">
        <f>'Financial Numbers From AR'!G32</f>
        <v>0</v>
      </c>
      <c r="H46" s="7" t="e">
        <f>H7/'Assumption Table'!H32</f>
        <v>#DIV/0!</v>
      </c>
      <c r="I46" s="7" t="e">
        <f>I7/'Assumption Table'!I32</f>
        <v>#DIV/0!</v>
      </c>
      <c r="J46" s="7" t="e">
        <f>J7/'Assumption Table'!J32</f>
        <v>#DIV/0!</v>
      </c>
      <c r="K46" s="7" t="e">
        <f>K7/'Assumption Table'!K32</f>
        <v>#DIV/0!</v>
      </c>
      <c r="L46" s="7" t="e">
        <f>L7/'Assumption Table'!L32</f>
        <v>#DIV/0!</v>
      </c>
      <c r="M46" s="7" t="e">
        <f>M7/'Assumption Table'!M32</f>
        <v>#DIV/0!</v>
      </c>
      <c r="N46" s="7" t="e">
        <f>N7/'Assumption Table'!N32</f>
        <v>#DIV/0!</v>
      </c>
      <c r="O46" s="7" t="e">
        <f>O7/'Assumption Table'!O32</f>
        <v>#DIV/0!</v>
      </c>
      <c r="P46" s="7" t="e">
        <f>P7/'Assumption Table'!P32</f>
        <v>#DIV/0!</v>
      </c>
      <c r="Q46" s="7" t="e">
        <f>Q7/'Assumption Table'!Q32</f>
        <v>#DIV/0!</v>
      </c>
      <c r="R46" s="7" t="e">
        <f>R7/'Assumption Table'!R32</f>
        <v>#DIV/0!</v>
      </c>
      <c r="S46" s="7" t="e">
        <f>S7/'Assumption Table'!S32</f>
        <v>#DIV/0!</v>
      </c>
      <c r="T46" s="7" t="e">
        <f>T7/'Assumption Table'!T32</f>
        <v>#DIV/0!</v>
      </c>
      <c r="U46" s="89"/>
    </row>
    <row r="47" spans="1:21">
      <c r="A47" s="7"/>
      <c r="B47" s="7" t="s">
        <v>72</v>
      </c>
      <c r="C47" s="7">
        <f>C48-C44-C45-C46</f>
        <v>0</v>
      </c>
      <c r="D47" s="7">
        <f>D48-D44-D45-D46</f>
        <v>0</v>
      </c>
      <c r="E47" s="7">
        <f>E48-E44-E45-E46</f>
        <v>0</v>
      </c>
      <c r="F47" s="7">
        <f>F48-F44-F45-F46</f>
        <v>0</v>
      </c>
      <c r="G47" s="7">
        <f>G48-G44-G45-G46</f>
        <v>0</v>
      </c>
      <c r="H47" s="7">
        <f>'Assumption Table'!H20</f>
        <v>0</v>
      </c>
      <c r="I47" s="7">
        <f>'Assumption Table'!I20</f>
        <v>0</v>
      </c>
      <c r="J47" s="7">
        <f>'Assumption Table'!J20</f>
        <v>0</v>
      </c>
      <c r="K47" s="7">
        <f>'Assumption Table'!K20</f>
        <v>0</v>
      </c>
      <c r="L47" s="7">
        <f>'Assumption Table'!L20</f>
        <v>0</v>
      </c>
      <c r="M47" s="7">
        <f>'Assumption Table'!M20</f>
        <v>0</v>
      </c>
      <c r="N47" s="7">
        <f>'Assumption Table'!N20</f>
        <v>0</v>
      </c>
      <c r="O47" s="7">
        <f>'Assumption Table'!O20</f>
        <v>0</v>
      </c>
      <c r="P47" s="7">
        <f>'Assumption Table'!P20</f>
        <v>0</v>
      </c>
      <c r="Q47" s="7">
        <f>'Assumption Table'!Q20</f>
        <v>0</v>
      </c>
      <c r="R47" s="7">
        <f>'Assumption Table'!R20</f>
        <v>0</v>
      </c>
      <c r="S47" s="7">
        <f>'Assumption Table'!S20</f>
        <v>0</v>
      </c>
      <c r="T47" s="7">
        <f>'Assumption Table'!T20</f>
        <v>0</v>
      </c>
      <c r="U47" s="89"/>
    </row>
    <row r="48" spans="1:21">
      <c r="A48" s="13" t="s">
        <v>27</v>
      </c>
      <c r="B48" s="3"/>
      <c r="C48" s="7">
        <f>'Financial Numbers From AR'!C33</f>
        <v>0</v>
      </c>
      <c r="D48" s="7">
        <f>'Financial Numbers From AR'!D33</f>
        <v>0</v>
      </c>
      <c r="E48" s="7">
        <f>'Financial Numbers From AR'!E33</f>
        <v>0</v>
      </c>
      <c r="F48" s="7">
        <f>'Financial Numbers From AR'!F33</f>
        <v>0</v>
      </c>
      <c r="G48" s="7">
        <f>'Financial Numbers From AR'!G33</f>
        <v>0</v>
      </c>
      <c r="H48" s="7" t="e">
        <f t="shared" ref="H48:T48" si="9">SUM(H44:H47)</f>
        <v>#DIV/0!</v>
      </c>
      <c r="I48" s="7" t="e">
        <f t="shared" si="9"/>
        <v>#DIV/0!</v>
      </c>
      <c r="J48" s="7" t="e">
        <f t="shared" si="9"/>
        <v>#DIV/0!</v>
      </c>
      <c r="K48" s="7" t="e">
        <f t="shared" si="9"/>
        <v>#DIV/0!</v>
      </c>
      <c r="L48" s="7" t="e">
        <f t="shared" si="9"/>
        <v>#DIV/0!</v>
      </c>
      <c r="M48" s="7" t="e">
        <f t="shared" si="9"/>
        <v>#DIV/0!</v>
      </c>
      <c r="N48" s="7" t="e">
        <f t="shared" si="9"/>
        <v>#DIV/0!</v>
      </c>
      <c r="O48" s="7" t="e">
        <f t="shared" si="9"/>
        <v>#DIV/0!</v>
      </c>
      <c r="P48" s="7" t="e">
        <f t="shared" si="9"/>
        <v>#DIV/0!</v>
      </c>
      <c r="Q48" s="7" t="e">
        <f t="shared" si="9"/>
        <v>#DIV/0!</v>
      </c>
      <c r="R48" s="7" t="e">
        <f t="shared" si="9"/>
        <v>#DIV/0!</v>
      </c>
      <c r="S48" s="7" t="e">
        <f t="shared" si="9"/>
        <v>#DIV/0!</v>
      </c>
      <c r="T48" s="7" t="e">
        <f t="shared" si="9"/>
        <v>#DIV/0!</v>
      </c>
      <c r="U48" s="89"/>
    </row>
    <row r="49" spans="1:2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9"/>
    </row>
    <row r="50" spans="1:21">
      <c r="A50" s="6" t="s">
        <v>28</v>
      </c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9"/>
    </row>
    <row r="51" spans="1:21">
      <c r="A51" s="6" t="s">
        <v>29</v>
      </c>
      <c r="B51" s="7"/>
      <c r="C51" s="7">
        <f>'Financial Numbers From AR'!C36</f>
        <v>0</v>
      </c>
      <c r="D51" s="7">
        <f>'Financial Numbers From AR'!D36</f>
        <v>0</v>
      </c>
      <c r="E51" s="7">
        <f>'Financial Numbers From AR'!E36</f>
        <v>0</v>
      </c>
      <c r="F51" s="7">
        <f>'Financial Numbers From AR'!F36</f>
        <v>0</v>
      </c>
      <c r="G51" s="7">
        <f>'Financial Numbers From AR'!G36</f>
        <v>0</v>
      </c>
      <c r="H51" s="7">
        <f>'Assumption Table'!H51</f>
        <v>1002874.4249999998</v>
      </c>
      <c r="I51" s="7">
        <f>'Assumption Table'!I51</f>
        <v>2306611.1775000002</v>
      </c>
      <c r="J51" s="7">
        <f>'Assumption Table'!J51</f>
        <v>4001468.9557500007</v>
      </c>
      <c r="K51" s="7">
        <f>'Assumption Table'!K51</f>
        <v>6204784.0674750004</v>
      </c>
      <c r="L51" s="7">
        <f>'Assumption Table'!L51</f>
        <v>9069093.7127175014</v>
      </c>
      <c r="M51" s="7">
        <f>'Assumption Table'!M51</f>
        <v>12792696.251532752</v>
      </c>
      <c r="N51" s="7">
        <f>'Assumption Table'!N51</f>
        <v>17633379.551992577</v>
      </c>
      <c r="O51" s="7">
        <f>'Assumption Table'!O51</f>
        <v>23926267.842590351</v>
      </c>
      <c r="P51" s="7">
        <f>'Assumption Table'!P51</f>
        <v>32107022.62036746</v>
      </c>
      <c r="Q51" s="7">
        <f>'Assumption Table'!Q51</f>
        <v>42742003.831477702</v>
      </c>
      <c r="R51" s="7">
        <f>'Assumption Table'!R51</f>
        <v>56567479.405921012</v>
      </c>
      <c r="S51" s="7">
        <f>'Assumption Table'!S51</f>
        <v>74540597.652697325</v>
      </c>
      <c r="T51" s="7">
        <f>'Assumption Table'!T51</f>
        <v>97905651.373506531</v>
      </c>
      <c r="U51" s="89"/>
    </row>
    <row r="52" spans="1:2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9"/>
    </row>
    <row r="53" spans="1:21">
      <c r="A53" s="14" t="s">
        <v>30</v>
      </c>
      <c r="B53" s="15"/>
      <c r="C53" s="29">
        <f>'Financial Numbers From AR'!C38</f>
        <v>0</v>
      </c>
      <c r="D53" s="29">
        <f>'Financial Numbers From AR'!D38</f>
        <v>0</v>
      </c>
      <c r="E53" s="29">
        <f>'Financial Numbers From AR'!E38</f>
        <v>0</v>
      </c>
      <c r="F53" s="29">
        <f>'Financial Numbers From AR'!F38</f>
        <v>0</v>
      </c>
      <c r="G53" s="29">
        <f>'Financial Numbers From AR'!G38</f>
        <v>0</v>
      </c>
      <c r="H53" s="29" t="e">
        <f t="shared" ref="H53:T53" si="10">SUM(H48,H51)</f>
        <v>#DIV/0!</v>
      </c>
      <c r="I53" s="29" t="e">
        <f t="shared" si="10"/>
        <v>#DIV/0!</v>
      </c>
      <c r="J53" s="29" t="e">
        <f t="shared" si="10"/>
        <v>#DIV/0!</v>
      </c>
      <c r="K53" s="29" t="e">
        <f t="shared" si="10"/>
        <v>#DIV/0!</v>
      </c>
      <c r="L53" s="29" t="e">
        <f t="shared" si="10"/>
        <v>#DIV/0!</v>
      </c>
      <c r="M53" s="29" t="e">
        <f t="shared" si="10"/>
        <v>#DIV/0!</v>
      </c>
      <c r="N53" s="29" t="e">
        <f t="shared" si="10"/>
        <v>#DIV/0!</v>
      </c>
      <c r="O53" s="29" t="e">
        <f t="shared" si="10"/>
        <v>#DIV/0!</v>
      </c>
      <c r="P53" s="29" t="e">
        <f t="shared" si="10"/>
        <v>#DIV/0!</v>
      </c>
      <c r="Q53" s="29" t="e">
        <f t="shared" si="10"/>
        <v>#DIV/0!</v>
      </c>
      <c r="R53" s="29" t="e">
        <f t="shared" si="10"/>
        <v>#DIV/0!</v>
      </c>
      <c r="S53" s="29" t="e">
        <f t="shared" si="10"/>
        <v>#DIV/0!</v>
      </c>
      <c r="T53" s="29" t="e">
        <f t="shared" si="10"/>
        <v>#DIV/0!</v>
      </c>
      <c r="U53" s="89"/>
    </row>
    <row r="54" spans="1:21">
      <c r="A54" s="6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89"/>
    </row>
    <row r="55" spans="1:21">
      <c r="A55" s="6" t="s">
        <v>31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89"/>
    </row>
    <row r="56" spans="1:21">
      <c r="A56" s="6"/>
      <c r="B56" s="3" t="s">
        <v>73</v>
      </c>
      <c r="C56" s="6"/>
      <c r="D56" s="6"/>
      <c r="E56" s="6"/>
      <c r="F56" s="6"/>
      <c r="G56" s="6"/>
      <c r="H56" s="7">
        <f t="shared" ref="H56:T56" si="11">H20</f>
        <v>-254486.28899999996</v>
      </c>
      <c r="I56" s="7" t="e">
        <f t="shared" si="11"/>
        <v>#DIV/0!</v>
      </c>
      <c r="J56" s="7" t="e">
        <f t="shared" si="11"/>
        <v>#DIV/0!</v>
      </c>
      <c r="K56" s="7" t="e">
        <f t="shared" si="11"/>
        <v>#DIV/0!</v>
      </c>
      <c r="L56" s="7" t="e">
        <f t="shared" si="11"/>
        <v>#DIV/0!</v>
      </c>
      <c r="M56" s="7" t="e">
        <f t="shared" si="11"/>
        <v>#DIV/0!</v>
      </c>
      <c r="N56" s="7" t="e">
        <f t="shared" si="11"/>
        <v>#DIV/0!</v>
      </c>
      <c r="O56" s="7" t="e">
        <f t="shared" si="11"/>
        <v>#DIV/0!</v>
      </c>
      <c r="P56" s="7" t="e">
        <f t="shared" si="11"/>
        <v>#DIV/0!</v>
      </c>
      <c r="Q56" s="7" t="e">
        <f t="shared" si="11"/>
        <v>#DIV/0!</v>
      </c>
      <c r="R56" s="7" t="e">
        <f t="shared" si="11"/>
        <v>#DIV/0!</v>
      </c>
      <c r="S56" s="7" t="e">
        <f t="shared" si="11"/>
        <v>#DIV/0!</v>
      </c>
      <c r="T56" s="7" t="e">
        <f t="shared" si="11"/>
        <v>#DIV/0!</v>
      </c>
      <c r="U56" s="89"/>
    </row>
    <row r="57" spans="1:21">
      <c r="A57" s="6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89"/>
    </row>
    <row r="58" spans="1:21">
      <c r="A58" s="14" t="s">
        <v>32</v>
      </c>
      <c r="B58" s="15"/>
      <c r="C58" s="29">
        <f>'Financial Numbers From AR'!C41</f>
        <v>0</v>
      </c>
      <c r="D58" s="29">
        <f>'Financial Numbers From AR'!D41</f>
        <v>0</v>
      </c>
      <c r="E58" s="29">
        <f>'Financial Numbers From AR'!E41</f>
        <v>0</v>
      </c>
      <c r="F58" s="29">
        <f>'Financial Numbers From AR'!F41</f>
        <v>0</v>
      </c>
      <c r="G58" s="29">
        <f>'Financial Numbers From AR'!G41</f>
        <v>0</v>
      </c>
      <c r="H58" s="29">
        <f t="shared" ref="H58:T58" si="12">G58+H56</f>
        <v>-254486.28899999996</v>
      </c>
      <c r="I58" s="29" t="e">
        <f t="shared" si="12"/>
        <v>#DIV/0!</v>
      </c>
      <c r="J58" s="29" t="e">
        <f t="shared" si="12"/>
        <v>#DIV/0!</v>
      </c>
      <c r="K58" s="29" t="e">
        <f t="shared" si="12"/>
        <v>#DIV/0!</v>
      </c>
      <c r="L58" s="29" t="e">
        <f t="shared" si="12"/>
        <v>#DIV/0!</v>
      </c>
      <c r="M58" s="29" t="e">
        <f t="shared" si="12"/>
        <v>#DIV/0!</v>
      </c>
      <c r="N58" s="29" t="e">
        <f t="shared" si="12"/>
        <v>#DIV/0!</v>
      </c>
      <c r="O58" s="29" t="e">
        <f t="shared" si="12"/>
        <v>#DIV/0!</v>
      </c>
      <c r="P58" s="29" t="e">
        <f t="shared" si="12"/>
        <v>#DIV/0!</v>
      </c>
      <c r="Q58" s="29" t="e">
        <f t="shared" si="12"/>
        <v>#DIV/0!</v>
      </c>
      <c r="R58" s="29" t="e">
        <f t="shared" si="12"/>
        <v>#DIV/0!</v>
      </c>
      <c r="S58" s="29" t="e">
        <f t="shared" si="12"/>
        <v>#DIV/0!</v>
      </c>
      <c r="T58" s="29" t="e">
        <f t="shared" si="12"/>
        <v>#DIV/0!</v>
      </c>
      <c r="U58" s="89"/>
    </row>
    <row r="59" spans="1:21">
      <c r="A59" s="6"/>
      <c r="B59" s="3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89"/>
    </row>
    <row r="60" spans="1:21">
      <c r="A60" s="14" t="s">
        <v>33</v>
      </c>
      <c r="B60" s="15"/>
      <c r="C60" s="29">
        <f>'Financial Numbers From AR'!C43</f>
        <v>0</v>
      </c>
      <c r="D60" s="29">
        <f>'Financial Numbers From AR'!D43</f>
        <v>9513422</v>
      </c>
      <c r="E60" s="29">
        <f>'Financial Numbers From AR'!E43</f>
        <v>0</v>
      </c>
      <c r="F60" s="29">
        <f>'Financial Numbers From AR'!F43</f>
        <v>0</v>
      </c>
      <c r="G60" s="29">
        <f>'Financial Numbers From AR'!G43</f>
        <v>0</v>
      </c>
      <c r="H60" s="29" t="e">
        <f t="shared" ref="H60:T60" si="13">H58+H53</f>
        <v>#DIV/0!</v>
      </c>
      <c r="I60" s="29" t="e">
        <f t="shared" si="13"/>
        <v>#DIV/0!</v>
      </c>
      <c r="J60" s="29" t="e">
        <f t="shared" si="13"/>
        <v>#DIV/0!</v>
      </c>
      <c r="K60" s="29" t="e">
        <f t="shared" si="13"/>
        <v>#DIV/0!</v>
      </c>
      <c r="L60" s="29" t="e">
        <f t="shared" si="13"/>
        <v>#DIV/0!</v>
      </c>
      <c r="M60" s="29" t="e">
        <f t="shared" si="13"/>
        <v>#DIV/0!</v>
      </c>
      <c r="N60" s="29" t="e">
        <f t="shared" si="13"/>
        <v>#DIV/0!</v>
      </c>
      <c r="O60" s="29" t="e">
        <f t="shared" si="13"/>
        <v>#DIV/0!</v>
      </c>
      <c r="P60" s="29" t="e">
        <f t="shared" si="13"/>
        <v>#DIV/0!</v>
      </c>
      <c r="Q60" s="29" t="e">
        <f t="shared" si="13"/>
        <v>#DIV/0!</v>
      </c>
      <c r="R60" s="29" t="e">
        <f t="shared" si="13"/>
        <v>#DIV/0!</v>
      </c>
      <c r="S60" s="29" t="e">
        <f t="shared" si="13"/>
        <v>#DIV/0!</v>
      </c>
      <c r="T60" s="29" t="e">
        <f t="shared" si="13"/>
        <v>#DIV/0!</v>
      </c>
      <c r="U60" s="89"/>
    </row>
    <row r="61" spans="1:21">
      <c r="U61" s="89"/>
    </row>
    <row r="62" spans="1:21">
      <c r="A62" s="61" t="s">
        <v>139</v>
      </c>
      <c r="B62" s="61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89"/>
    </row>
    <row r="63" spans="1:21">
      <c r="A63" s="7" t="s">
        <v>24</v>
      </c>
      <c r="B63" s="7"/>
      <c r="C63" s="7">
        <f t="shared" ref="C63:T63" si="14">C44</f>
        <v>0</v>
      </c>
      <c r="D63" s="7">
        <f t="shared" si="14"/>
        <v>0</v>
      </c>
      <c r="E63" s="7">
        <f t="shared" si="14"/>
        <v>0</v>
      </c>
      <c r="F63" s="7">
        <f t="shared" si="14"/>
        <v>0</v>
      </c>
      <c r="G63" s="7">
        <f t="shared" si="14"/>
        <v>0</v>
      </c>
      <c r="H63" s="7">
        <f t="shared" si="14"/>
        <v>0</v>
      </c>
      <c r="I63" s="7">
        <f t="shared" si="14"/>
        <v>0</v>
      </c>
      <c r="J63" s="7">
        <f t="shared" si="14"/>
        <v>0</v>
      </c>
      <c r="K63" s="7">
        <f t="shared" si="14"/>
        <v>0</v>
      </c>
      <c r="L63" s="7">
        <f t="shared" si="14"/>
        <v>0</v>
      </c>
      <c r="M63" s="7">
        <f t="shared" si="14"/>
        <v>0</v>
      </c>
      <c r="N63" s="7">
        <f t="shared" si="14"/>
        <v>0</v>
      </c>
      <c r="O63" s="7">
        <f t="shared" si="14"/>
        <v>0</v>
      </c>
      <c r="P63" s="7">
        <f t="shared" si="14"/>
        <v>0</v>
      </c>
      <c r="Q63" s="7">
        <f t="shared" si="14"/>
        <v>0</v>
      </c>
      <c r="R63" s="7">
        <f t="shared" si="14"/>
        <v>0</v>
      </c>
      <c r="S63" s="7">
        <f t="shared" si="14"/>
        <v>0</v>
      </c>
      <c r="T63" s="7">
        <f t="shared" si="14"/>
        <v>0</v>
      </c>
      <c r="U63" s="89"/>
    </row>
    <row r="64" spans="1:21">
      <c r="A64" s="7" t="s">
        <v>140</v>
      </c>
      <c r="B64" s="7"/>
      <c r="C64" s="7">
        <f t="shared" ref="C64:T64" si="15">C51</f>
        <v>0</v>
      </c>
      <c r="D64" s="7">
        <f t="shared" si="15"/>
        <v>0</v>
      </c>
      <c r="E64" s="7">
        <f t="shared" si="15"/>
        <v>0</v>
      </c>
      <c r="F64" s="7">
        <f t="shared" si="15"/>
        <v>0</v>
      </c>
      <c r="G64" s="7">
        <f t="shared" si="15"/>
        <v>0</v>
      </c>
      <c r="H64" s="7">
        <f t="shared" si="15"/>
        <v>1002874.4249999998</v>
      </c>
      <c r="I64" s="7">
        <f t="shared" si="15"/>
        <v>2306611.1775000002</v>
      </c>
      <c r="J64" s="7">
        <f t="shared" si="15"/>
        <v>4001468.9557500007</v>
      </c>
      <c r="K64" s="7">
        <f t="shared" si="15"/>
        <v>6204784.0674750004</v>
      </c>
      <c r="L64" s="7">
        <f t="shared" si="15"/>
        <v>9069093.7127175014</v>
      </c>
      <c r="M64" s="7">
        <f t="shared" si="15"/>
        <v>12792696.251532752</v>
      </c>
      <c r="N64" s="7">
        <f t="shared" si="15"/>
        <v>17633379.551992577</v>
      </c>
      <c r="O64" s="7">
        <f t="shared" si="15"/>
        <v>23926267.842590351</v>
      </c>
      <c r="P64" s="7">
        <f t="shared" si="15"/>
        <v>32107022.62036746</v>
      </c>
      <c r="Q64" s="7">
        <f t="shared" si="15"/>
        <v>42742003.831477702</v>
      </c>
      <c r="R64" s="7">
        <f t="shared" si="15"/>
        <v>56567479.405921012</v>
      </c>
      <c r="S64" s="7">
        <f t="shared" si="15"/>
        <v>74540597.652697325</v>
      </c>
      <c r="T64" s="7">
        <f t="shared" si="15"/>
        <v>97905651.373506531</v>
      </c>
      <c r="U64" s="89"/>
    </row>
    <row r="65" spans="1:21">
      <c r="A65" s="84" t="s">
        <v>100</v>
      </c>
      <c r="B65" s="84"/>
      <c r="C65" s="85">
        <f t="shared" ref="C65:T65" si="16">SUM(C63:C64)</f>
        <v>0</v>
      </c>
      <c r="D65" s="85">
        <f t="shared" si="16"/>
        <v>0</v>
      </c>
      <c r="E65" s="85">
        <f t="shared" si="16"/>
        <v>0</v>
      </c>
      <c r="F65" s="85">
        <f t="shared" si="16"/>
        <v>0</v>
      </c>
      <c r="G65" s="85">
        <f t="shared" si="16"/>
        <v>0</v>
      </c>
      <c r="H65" s="85">
        <f t="shared" si="16"/>
        <v>1002874.4249999998</v>
      </c>
      <c r="I65" s="85">
        <f t="shared" si="16"/>
        <v>2306611.1775000002</v>
      </c>
      <c r="J65" s="85">
        <f t="shared" si="16"/>
        <v>4001468.9557500007</v>
      </c>
      <c r="K65" s="85">
        <f t="shared" si="16"/>
        <v>6204784.0674750004</v>
      </c>
      <c r="L65" s="85">
        <f t="shared" si="16"/>
        <v>9069093.7127175014</v>
      </c>
      <c r="M65" s="85">
        <f t="shared" si="16"/>
        <v>12792696.251532752</v>
      </c>
      <c r="N65" s="85">
        <f t="shared" si="16"/>
        <v>17633379.551992577</v>
      </c>
      <c r="O65" s="85">
        <f t="shared" si="16"/>
        <v>23926267.842590351</v>
      </c>
      <c r="P65" s="85">
        <f t="shared" si="16"/>
        <v>32107022.62036746</v>
      </c>
      <c r="Q65" s="85">
        <f t="shared" si="16"/>
        <v>42742003.831477702</v>
      </c>
      <c r="R65" s="85">
        <f t="shared" si="16"/>
        <v>56567479.405921012</v>
      </c>
      <c r="S65" s="85">
        <f t="shared" si="16"/>
        <v>74540597.652697325</v>
      </c>
      <c r="T65" s="85">
        <f t="shared" si="16"/>
        <v>97905651.373506531</v>
      </c>
      <c r="U65" s="89"/>
    </row>
    <row r="67" spans="1:21" ht="17.5" customHeight="1">
      <c r="A67" s="20" t="s">
        <v>141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1" ht="17.5" customHeight="1">
      <c r="A68" s="2" t="s">
        <v>130</v>
      </c>
      <c r="B68" s="3" t="s">
        <v>142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1">
      <c r="A70" s="6" t="s">
        <v>143</v>
      </c>
    </row>
    <row r="71" spans="1:21">
      <c r="B71" s="7" t="s">
        <v>9</v>
      </c>
      <c r="D71" s="87">
        <f t="shared" ref="D71:T71" si="17">D20</f>
        <v>0</v>
      </c>
      <c r="E71" s="87">
        <f t="shared" si="17"/>
        <v>0</v>
      </c>
      <c r="F71" s="87">
        <f t="shared" si="17"/>
        <v>0</v>
      </c>
      <c r="G71" s="87">
        <f t="shared" si="17"/>
        <v>0</v>
      </c>
      <c r="H71" s="87">
        <f t="shared" si="17"/>
        <v>-254486.28899999996</v>
      </c>
      <c r="I71" s="87" t="e">
        <f t="shared" si="17"/>
        <v>#DIV/0!</v>
      </c>
      <c r="J71" s="87" t="e">
        <f t="shared" si="17"/>
        <v>#DIV/0!</v>
      </c>
      <c r="K71" s="87" t="e">
        <f t="shared" si="17"/>
        <v>#DIV/0!</v>
      </c>
      <c r="L71" s="87" t="e">
        <f t="shared" si="17"/>
        <v>#DIV/0!</v>
      </c>
      <c r="M71" s="87" t="e">
        <f t="shared" si="17"/>
        <v>#DIV/0!</v>
      </c>
      <c r="N71" s="87" t="e">
        <f t="shared" si="17"/>
        <v>#DIV/0!</v>
      </c>
      <c r="O71" s="87" t="e">
        <f t="shared" si="17"/>
        <v>#DIV/0!</v>
      </c>
      <c r="P71" s="87" t="e">
        <f t="shared" si="17"/>
        <v>#DIV/0!</v>
      </c>
      <c r="Q71" s="87" t="e">
        <f t="shared" si="17"/>
        <v>#DIV/0!</v>
      </c>
      <c r="R71" s="87" t="e">
        <f t="shared" si="17"/>
        <v>#DIV/0!</v>
      </c>
      <c r="S71" s="87" t="e">
        <f t="shared" si="17"/>
        <v>#DIV/0!</v>
      </c>
      <c r="T71" s="87" t="e">
        <f t="shared" si="17"/>
        <v>#DIV/0!</v>
      </c>
    </row>
    <row r="72" spans="1:21">
      <c r="B72" s="7" t="s">
        <v>144</v>
      </c>
      <c r="D72" s="87"/>
      <c r="E72" s="87"/>
      <c r="F72" s="87"/>
      <c r="G72" s="87"/>
      <c r="H72" s="87">
        <f>-'Assumption Table'!H124</f>
        <v>267964.13999999996</v>
      </c>
      <c r="I72" s="87">
        <f>-'Assumption Table'!I124</f>
        <v>616317.522</v>
      </c>
      <c r="J72" s="87">
        <f>-'Assumption Table'!J124</f>
        <v>1069176.9186000002</v>
      </c>
      <c r="K72" s="87">
        <f>-'Assumption Table'!K124</f>
        <v>1657894.1341800001</v>
      </c>
      <c r="L72" s="87">
        <f>-'Assumption Table'!L124</f>
        <v>2423226.514434</v>
      </c>
      <c r="M72" s="87">
        <f>-'Assumption Table'!M124</f>
        <v>3418158.6087642005</v>
      </c>
      <c r="N72" s="87">
        <f>-'Assumption Table'!N124</f>
        <v>4711570.3313934598</v>
      </c>
      <c r="O72" s="87">
        <f>-'Assumption Table'!O124</f>
        <v>6393005.5708114989</v>
      </c>
      <c r="P72" s="87">
        <f>-'Assumption Table'!P124</f>
        <v>8578871.3820549492</v>
      </c>
      <c r="Q72" s="87">
        <f>-'Assumption Table'!Q124</f>
        <v>11420496.936671434</v>
      </c>
      <c r="R72" s="87">
        <f>-'Assumption Table'!R124</f>
        <v>15114610.157672867</v>
      </c>
      <c r="S72" s="87">
        <f>-'Assumption Table'!S124</f>
        <v>19916957.34497473</v>
      </c>
      <c r="T72" s="87">
        <f>-'Assumption Table'!T124</f>
        <v>26160008.688467149</v>
      </c>
    </row>
    <row r="73" spans="1:21">
      <c r="B73" s="7" t="s">
        <v>145</v>
      </c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</row>
    <row r="74" spans="1:21">
      <c r="B74" s="30" t="s">
        <v>146</v>
      </c>
      <c r="D74" s="87">
        <f t="shared" ref="D74:T74" si="18">(D75+D76+D77-D78-D79)</f>
        <v>0</v>
      </c>
      <c r="E74" s="87">
        <f t="shared" si="18"/>
        <v>0</v>
      </c>
      <c r="F74" s="87">
        <f t="shared" si="18"/>
        <v>0</v>
      </c>
      <c r="G74" s="87">
        <f t="shared" si="18"/>
        <v>0</v>
      </c>
      <c r="H74" s="87" t="e">
        <f t="shared" si="18"/>
        <v>#DIV/0!</v>
      </c>
      <c r="I74" s="87" t="e">
        <f t="shared" si="18"/>
        <v>#DIV/0!</v>
      </c>
      <c r="J74" s="87" t="e">
        <f t="shared" si="18"/>
        <v>#DIV/0!</v>
      </c>
      <c r="K74" s="87" t="e">
        <f t="shared" si="18"/>
        <v>#DIV/0!</v>
      </c>
      <c r="L74" s="87" t="e">
        <f t="shared" si="18"/>
        <v>#DIV/0!</v>
      </c>
      <c r="M74" s="87" t="e">
        <f t="shared" si="18"/>
        <v>#DIV/0!</v>
      </c>
      <c r="N74" s="87" t="e">
        <f t="shared" si="18"/>
        <v>#DIV/0!</v>
      </c>
      <c r="O74" s="87" t="e">
        <f t="shared" si="18"/>
        <v>#DIV/0!</v>
      </c>
      <c r="P74" s="87" t="e">
        <f t="shared" si="18"/>
        <v>#DIV/0!</v>
      </c>
      <c r="Q74" s="87" t="e">
        <f t="shared" si="18"/>
        <v>#DIV/0!</v>
      </c>
      <c r="R74" s="87" t="e">
        <f t="shared" si="18"/>
        <v>#DIV/0!</v>
      </c>
      <c r="S74" s="87" t="e">
        <f t="shared" si="18"/>
        <v>#DIV/0!</v>
      </c>
      <c r="T74" s="87" t="e">
        <f t="shared" si="18"/>
        <v>#DIV/0!</v>
      </c>
    </row>
    <row r="75" spans="1:21">
      <c r="B75" s="30" t="s">
        <v>147</v>
      </c>
      <c r="D75" s="87">
        <f t="shared" ref="D75:T75" si="19">D28-C28</f>
        <v>0</v>
      </c>
      <c r="E75" s="87">
        <f t="shared" si="19"/>
        <v>0</v>
      </c>
      <c r="F75" s="87">
        <f t="shared" si="19"/>
        <v>0</v>
      </c>
      <c r="G75" s="87">
        <f t="shared" si="19"/>
        <v>0</v>
      </c>
      <c r="H75" s="87" t="e">
        <f t="shared" si="19"/>
        <v>#DIV/0!</v>
      </c>
      <c r="I75" s="87" t="e">
        <f t="shared" si="19"/>
        <v>#DIV/0!</v>
      </c>
      <c r="J75" s="87" t="e">
        <f t="shared" si="19"/>
        <v>#DIV/0!</v>
      </c>
      <c r="K75" s="87" t="e">
        <f t="shared" si="19"/>
        <v>#DIV/0!</v>
      </c>
      <c r="L75" s="87" t="e">
        <f t="shared" si="19"/>
        <v>#DIV/0!</v>
      </c>
      <c r="M75" s="87" t="e">
        <f t="shared" si="19"/>
        <v>#DIV/0!</v>
      </c>
      <c r="N75" s="87" t="e">
        <f t="shared" si="19"/>
        <v>#DIV/0!</v>
      </c>
      <c r="O75" s="87" t="e">
        <f t="shared" si="19"/>
        <v>#DIV/0!</v>
      </c>
      <c r="P75" s="87" t="e">
        <f t="shared" si="19"/>
        <v>#DIV/0!</v>
      </c>
      <c r="Q75" s="87" t="e">
        <f t="shared" si="19"/>
        <v>#DIV/0!</v>
      </c>
      <c r="R75" s="87" t="e">
        <f t="shared" si="19"/>
        <v>#DIV/0!</v>
      </c>
      <c r="S75" s="87" t="e">
        <f t="shared" si="19"/>
        <v>#DIV/0!</v>
      </c>
      <c r="T75" s="87" t="e">
        <f t="shared" si="19"/>
        <v>#DIV/0!</v>
      </c>
    </row>
    <row r="76" spans="1:21">
      <c r="B76" s="30" t="s">
        <v>14</v>
      </c>
      <c r="D76" s="87">
        <f t="shared" ref="D76:T76" si="20">D29-C29</f>
        <v>0</v>
      </c>
      <c r="E76" s="87">
        <f t="shared" si="20"/>
        <v>0</v>
      </c>
      <c r="F76" s="87">
        <f t="shared" si="20"/>
        <v>0</v>
      </c>
      <c r="G76" s="87">
        <f t="shared" si="20"/>
        <v>0</v>
      </c>
      <c r="H76" s="87" t="e">
        <f t="shared" si="20"/>
        <v>#DIV/0!</v>
      </c>
      <c r="I76" s="87" t="e">
        <f t="shared" si="20"/>
        <v>#DIV/0!</v>
      </c>
      <c r="J76" s="87" t="e">
        <f t="shared" si="20"/>
        <v>#DIV/0!</v>
      </c>
      <c r="K76" s="87" t="e">
        <f t="shared" si="20"/>
        <v>#DIV/0!</v>
      </c>
      <c r="L76" s="87" t="e">
        <f t="shared" si="20"/>
        <v>#DIV/0!</v>
      </c>
      <c r="M76" s="87" t="e">
        <f t="shared" si="20"/>
        <v>#DIV/0!</v>
      </c>
      <c r="N76" s="87" t="e">
        <f t="shared" si="20"/>
        <v>#DIV/0!</v>
      </c>
      <c r="O76" s="87" t="e">
        <f t="shared" si="20"/>
        <v>#DIV/0!</v>
      </c>
      <c r="P76" s="87" t="e">
        <f t="shared" si="20"/>
        <v>#DIV/0!</v>
      </c>
      <c r="Q76" s="87" t="e">
        <f t="shared" si="20"/>
        <v>#DIV/0!</v>
      </c>
      <c r="R76" s="87" t="e">
        <f t="shared" si="20"/>
        <v>#DIV/0!</v>
      </c>
      <c r="S76" s="87" t="e">
        <f t="shared" si="20"/>
        <v>#DIV/0!</v>
      </c>
      <c r="T76" s="87" t="e">
        <f t="shared" si="20"/>
        <v>#DIV/0!</v>
      </c>
    </row>
    <row r="77" spans="1:21">
      <c r="B77" s="30" t="s">
        <v>15</v>
      </c>
      <c r="D77" s="87">
        <f t="shared" ref="D77:T77" si="21">D30-C30</f>
        <v>0</v>
      </c>
      <c r="E77" s="87">
        <f t="shared" si="21"/>
        <v>0</v>
      </c>
      <c r="F77" s="87">
        <f t="shared" si="21"/>
        <v>0</v>
      </c>
      <c r="G77" s="87">
        <f t="shared" si="21"/>
        <v>0</v>
      </c>
      <c r="H77" s="87" t="e">
        <f t="shared" si="21"/>
        <v>#DIV/0!</v>
      </c>
      <c r="I77" s="87" t="e">
        <f t="shared" si="21"/>
        <v>#DIV/0!</v>
      </c>
      <c r="J77" s="87" t="e">
        <f t="shared" si="21"/>
        <v>#DIV/0!</v>
      </c>
      <c r="K77" s="87" t="e">
        <f t="shared" si="21"/>
        <v>#DIV/0!</v>
      </c>
      <c r="L77" s="87" t="e">
        <f t="shared" si="21"/>
        <v>#DIV/0!</v>
      </c>
      <c r="M77" s="87" t="e">
        <f t="shared" si="21"/>
        <v>#DIV/0!</v>
      </c>
      <c r="N77" s="87" t="e">
        <f t="shared" si="21"/>
        <v>#DIV/0!</v>
      </c>
      <c r="O77" s="87" t="e">
        <f t="shared" si="21"/>
        <v>#DIV/0!</v>
      </c>
      <c r="P77" s="87" t="e">
        <f t="shared" si="21"/>
        <v>#DIV/0!</v>
      </c>
      <c r="Q77" s="87" t="e">
        <f t="shared" si="21"/>
        <v>#DIV/0!</v>
      </c>
      <c r="R77" s="87" t="e">
        <f t="shared" si="21"/>
        <v>#DIV/0!</v>
      </c>
      <c r="S77" s="87" t="e">
        <f t="shared" si="21"/>
        <v>#DIV/0!</v>
      </c>
      <c r="T77" s="87" t="e">
        <f t="shared" si="21"/>
        <v>#DIV/0!</v>
      </c>
    </row>
    <row r="78" spans="1:21">
      <c r="B78" s="30" t="s">
        <v>148</v>
      </c>
      <c r="D78" s="87">
        <f t="shared" ref="D78:T78" si="22">D45-C45</f>
        <v>0</v>
      </c>
      <c r="E78" s="87">
        <f t="shared" si="22"/>
        <v>0</v>
      </c>
      <c r="F78" s="87">
        <f t="shared" si="22"/>
        <v>0</v>
      </c>
      <c r="G78" s="87">
        <f t="shared" si="22"/>
        <v>0</v>
      </c>
      <c r="H78" s="87" t="e">
        <f t="shared" si="22"/>
        <v>#DIV/0!</v>
      </c>
      <c r="I78" s="87" t="e">
        <f t="shared" si="22"/>
        <v>#DIV/0!</v>
      </c>
      <c r="J78" s="87" t="e">
        <f t="shared" si="22"/>
        <v>#DIV/0!</v>
      </c>
      <c r="K78" s="87" t="e">
        <f t="shared" si="22"/>
        <v>#DIV/0!</v>
      </c>
      <c r="L78" s="87" t="e">
        <f t="shared" si="22"/>
        <v>#DIV/0!</v>
      </c>
      <c r="M78" s="87" t="e">
        <f t="shared" si="22"/>
        <v>#DIV/0!</v>
      </c>
      <c r="N78" s="87" t="e">
        <f t="shared" si="22"/>
        <v>#DIV/0!</v>
      </c>
      <c r="O78" s="87" t="e">
        <f t="shared" si="22"/>
        <v>#DIV/0!</v>
      </c>
      <c r="P78" s="87" t="e">
        <f t="shared" si="22"/>
        <v>#DIV/0!</v>
      </c>
      <c r="Q78" s="87" t="e">
        <f t="shared" si="22"/>
        <v>#DIV/0!</v>
      </c>
      <c r="R78" s="87" t="e">
        <f t="shared" si="22"/>
        <v>#DIV/0!</v>
      </c>
      <c r="S78" s="87" t="e">
        <f t="shared" si="22"/>
        <v>#DIV/0!</v>
      </c>
      <c r="T78" s="87" t="e">
        <f t="shared" si="22"/>
        <v>#DIV/0!</v>
      </c>
    </row>
    <row r="79" spans="1:21">
      <c r="B79" s="30" t="s">
        <v>26</v>
      </c>
      <c r="D79" s="87">
        <f t="shared" ref="D79:T79" si="23">D46-C46</f>
        <v>0</v>
      </c>
      <c r="E79" s="87">
        <f t="shared" si="23"/>
        <v>0</v>
      </c>
      <c r="F79" s="87">
        <f t="shared" si="23"/>
        <v>0</v>
      </c>
      <c r="G79" s="87">
        <f t="shared" si="23"/>
        <v>0</v>
      </c>
      <c r="H79" s="87" t="e">
        <f t="shared" si="23"/>
        <v>#DIV/0!</v>
      </c>
      <c r="I79" s="87" t="e">
        <f t="shared" si="23"/>
        <v>#DIV/0!</v>
      </c>
      <c r="J79" s="87" t="e">
        <f t="shared" si="23"/>
        <v>#DIV/0!</v>
      </c>
      <c r="K79" s="87" t="e">
        <f t="shared" si="23"/>
        <v>#DIV/0!</v>
      </c>
      <c r="L79" s="87" t="e">
        <f t="shared" si="23"/>
        <v>#DIV/0!</v>
      </c>
      <c r="M79" s="87" t="e">
        <f t="shared" si="23"/>
        <v>#DIV/0!</v>
      </c>
      <c r="N79" s="87" t="e">
        <f t="shared" si="23"/>
        <v>#DIV/0!</v>
      </c>
      <c r="O79" s="87" t="e">
        <f t="shared" si="23"/>
        <v>#DIV/0!</v>
      </c>
      <c r="P79" s="87" t="e">
        <f t="shared" si="23"/>
        <v>#DIV/0!</v>
      </c>
      <c r="Q79" s="87" t="e">
        <f t="shared" si="23"/>
        <v>#DIV/0!</v>
      </c>
      <c r="R79" s="87" t="e">
        <f t="shared" si="23"/>
        <v>#DIV/0!</v>
      </c>
      <c r="S79" s="87" t="e">
        <f t="shared" si="23"/>
        <v>#DIV/0!</v>
      </c>
      <c r="T79" s="87" t="e">
        <f t="shared" si="23"/>
        <v>#DIV/0!</v>
      </c>
    </row>
    <row r="80" spans="1:21">
      <c r="B80" s="30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</row>
    <row r="81" spans="1:20">
      <c r="A81" s="6" t="s">
        <v>149</v>
      </c>
      <c r="D81" s="87">
        <f t="shared" ref="D81:T81" si="24">D71+D72-D74</f>
        <v>0</v>
      </c>
      <c r="E81" s="87">
        <f t="shared" si="24"/>
        <v>0</v>
      </c>
      <c r="F81" s="87">
        <f t="shared" si="24"/>
        <v>0</v>
      </c>
      <c r="G81" s="87">
        <f t="shared" si="24"/>
        <v>0</v>
      </c>
      <c r="H81" s="87" t="e">
        <f t="shared" si="24"/>
        <v>#DIV/0!</v>
      </c>
      <c r="I81" s="87" t="e">
        <f t="shared" si="24"/>
        <v>#DIV/0!</v>
      </c>
      <c r="J81" s="87" t="e">
        <f t="shared" si="24"/>
        <v>#DIV/0!</v>
      </c>
      <c r="K81" s="87" t="e">
        <f t="shared" si="24"/>
        <v>#DIV/0!</v>
      </c>
      <c r="L81" s="87" t="e">
        <f t="shared" si="24"/>
        <v>#DIV/0!</v>
      </c>
      <c r="M81" s="87" t="e">
        <f t="shared" si="24"/>
        <v>#DIV/0!</v>
      </c>
      <c r="N81" s="87" t="e">
        <f t="shared" si="24"/>
        <v>#DIV/0!</v>
      </c>
      <c r="O81" s="87" t="e">
        <f t="shared" si="24"/>
        <v>#DIV/0!</v>
      </c>
      <c r="P81" s="87" t="e">
        <f t="shared" si="24"/>
        <v>#DIV/0!</v>
      </c>
      <c r="Q81" s="87" t="e">
        <f t="shared" si="24"/>
        <v>#DIV/0!</v>
      </c>
      <c r="R81" s="87" t="e">
        <f t="shared" si="24"/>
        <v>#DIV/0!</v>
      </c>
      <c r="S81" s="87" t="e">
        <f t="shared" si="24"/>
        <v>#DIV/0!</v>
      </c>
      <c r="T81" s="87" t="e">
        <f t="shared" si="24"/>
        <v>#DIV/0!</v>
      </c>
    </row>
    <row r="82" spans="1:20"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</row>
    <row r="83" spans="1:20">
      <c r="A83" s="6" t="s">
        <v>150</v>
      </c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</row>
    <row r="84" spans="1:20">
      <c r="B84" s="7" t="s">
        <v>151</v>
      </c>
      <c r="D84" s="87"/>
      <c r="E84" s="87"/>
      <c r="F84" s="87"/>
      <c r="G84" s="87"/>
      <c r="H84" s="87">
        <f>-'Assumption Table'!H79</f>
        <v>-4011497.6999999993</v>
      </c>
      <c r="I84" s="87">
        <f>-'Assumption Table'!I79</f>
        <v>-5214947.0100000016</v>
      </c>
      <c r="J84" s="87">
        <f>-'Assumption Table'!J79</f>
        <v>-6779431.1130000018</v>
      </c>
      <c r="K84" s="87">
        <f>-'Assumption Table'!K79</f>
        <v>-8813260.4468999989</v>
      </c>
      <c r="L84" s="87">
        <f>-'Assumption Table'!L79</f>
        <v>-11457238.580970004</v>
      </c>
      <c r="M84" s="87">
        <f>-'Assumption Table'!M79</f>
        <v>-14894410.155261002</v>
      </c>
      <c r="N84" s="87">
        <f>-'Assumption Table'!N79</f>
        <v>-19362733.201839298</v>
      </c>
      <c r="O84" s="87">
        <f>-'Assumption Table'!O79</f>
        <v>-25171553.162391096</v>
      </c>
      <c r="P84" s="87">
        <f>-'Assumption Table'!P79</f>
        <v>-32723019.111108437</v>
      </c>
      <c r="Q84" s="87">
        <f>-'Assumption Table'!Q79</f>
        <v>-42539924.844440967</v>
      </c>
      <c r="R84" s="87">
        <f>-'Assumption Table'!R79</f>
        <v>-55301902.297773242</v>
      </c>
      <c r="S84" s="87">
        <f>-'Assumption Table'!S79</f>
        <v>-71892472.98710525</v>
      </c>
      <c r="T84" s="87">
        <f>-'Assumption Table'!T79</f>
        <v>-93460214.883236825</v>
      </c>
    </row>
    <row r="85" spans="1:20">
      <c r="B85" s="7" t="s">
        <v>152</v>
      </c>
      <c r="D85" s="87"/>
      <c r="E85" s="87"/>
      <c r="F85" s="87"/>
      <c r="G85" s="87"/>
      <c r="H85" s="87">
        <f>-'Assumption Table'!H106</f>
        <v>-15928.800000000003</v>
      </c>
      <c r="I85" s="87">
        <f>-'Assumption Table'!I106</f>
        <v>-20707.440000000002</v>
      </c>
      <c r="J85" s="87">
        <f>-'Assumption Table'!J106</f>
        <v>-26919.672000000006</v>
      </c>
      <c r="K85" s="87">
        <f>-'Assumption Table'!K106</f>
        <v>-34995.573600000003</v>
      </c>
      <c r="L85" s="87">
        <f>-'Assumption Table'!L106</f>
        <v>-45494.245680000022</v>
      </c>
      <c r="M85" s="87">
        <f>-'Assumption Table'!M106</f>
        <v>-59142.519384000014</v>
      </c>
      <c r="N85" s="87">
        <f>-'Assumption Table'!N106</f>
        <v>-76885.275199200027</v>
      </c>
      <c r="O85" s="87">
        <f>-'Assumption Table'!O106</f>
        <v>-99950.857758960046</v>
      </c>
      <c r="P85" s="87">
        <f>-'Assumption Table'!P106</f>
        <v>-129936.11508664809</v>
      </c>
      <c r="Q85" s="87">
        <f>-'Assumption Table'!Q106</f>
        <v>-168916.94961264252</v>
      </c>
      <c r="R85" s="87">
        <f>-'Assumption Table'!R106</f>
        <v>-219592.0344964352</v>
      </c>
      <c r="S85" s="87">
        <f>-'Assumption Table'!S106</f>
        <v>-285469.64484536578</v>
      </c>
      <c r="T85" s="87">
        <f>-'Assumption Table'!T106</f>
        <v>-371110.53829897568</v>
      </c>
    </row>
    <row r="86" spans="1:20">
      <c r="A86" s="6" t="s">
        <v>153</v>
      </c>
      <c r="D86" s="87"/>
      <c r="E86" s="87"/>
      <c r="F86" s="87"/>
      <c r="G86" s="87"/>
      <c r="H86" s="87">
        <f t="shared" ref="H86:T86" si="25">SUM(H84:H85)</f>
        <v>-4027426.4999999991</v>
      </c>
      <c r="I86" s="87">
        <f t="shared" si="25"/>
        <v>-5235654.450000002</v>
      </c>
      <c r="J86" s="87">
        <f t="shared" si="25"/>
        <v>-6806350.785000002</v>
      </c>
      <c r="K86" s="87">
        <f t="shared" si="25"/>
        <v>-8848256.0204999987</v>
      </c>
      <c r="L86" s="87">
        <f t="shared" si="25"/>
        <v>-11502732.826650005</v>
      </c>
      <c r="M86" s="87">
        <f t="shared" si="25"/>
        <v>-14953552.674645003</v>
      </c>
      <c r="N86" s="87">
        <f t="shared" si="25"/>
        <v>-19439618.477038499</v>
      </c>
      <c r="O86" s="87">
        <f t="shared" si="25"/>
        <v>-25271504.020150058</v>
      </c>
      <c r="P86" s="87">
        <f t="shared" si="25"/>
        <v>-32852955.226195086</v>
      </c>
      <c r="Q86" s="87">
        <f t="shared" si="25"/>
        <v>-42708841.794053607</v>
      </c>
      <c r="R86" s="87">
        <f t="shared" si="25"/>
        <v>-55521494.332269676</v>
      </c>
      <c r="S86" s="87">
        <f t="shared" si="25"/>
        <v>-72177942.631950617</v>
      </c>
      <c r="T86" s="87">
        <f t="shared" si="25"/>
        <v>-93831325.421535805</v>
      </c>
    </row>
    <row r="87" spans="1:20"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</row>
    <row r="88" spans="1:20">
      <c r="A88" s="6" t="s">
        <v>154</v>
      </c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</row>
    <row r="89" spans="1:20">
      <c r="B89" s="7" t="s">
        <v>155</v>
      </c>
      <c r="D89" s="87"/>
      <c r="E89" s="87"/>
      <c r="F89" s="87"/>
      <c r="G89" s="87"/>
      <c r="H89" s="87">
        <f t="shared" ref="H89:T89" si="26">H65-G65</f>
        <v>1002874.4249999998</v>
      </c>
      <c r="I89" s="87">
        <f t="shared" si="26"/>
        <v>1303736.7525000004</v>
      </c>
      <c r="J89" s="87">
        <f t="shared" si="26"/>
        <v>1694857.7782500004</v>
      </c>
      <c r="K89" s="87">
        <f t="shared" si="26"/>
        <v>2203315.1117249997</v>
      </c>
      <c r="L89" s="87">
        <f t="shared" si="26"/>
        <v>2864309.6452425011</v>
      </c>
      <c r="M89" s="87">
        <f t="shared" si="26"/>
        <v>3723602.5388152506</v>
      </c>
      <c r="N89" s="87">
        <f t="shared" si="26"/>
        <v>4840683.3004598245</v>
      </c>
      <c r="O89" s="87">
        <f t="shared" si="26"/>
        <v>6292888.2905977741</v>
      </c>
      <c r="P89" s="87">
        <f t="shared" si="26"/>
        <v>8180754.7777771093</v>
      </c>
      <c r="Q89" s="87">
        <f t="shared" si="26"/>
        <v>10634981.211110242</v>
      </c>
      <c r="R89" s="87">
        <f t="shared" si="26"/>
        <v>13825475.57444331</v>
      </c>
      <c r="S89" s="87">
        <f t="shared" si="26"/>
        <v>17973118.246776313</v>
      </c>
      <c r="T89" s="87">
        <f t="shared" si="26"/>
        <v>23365053.720809206</v>
      </c>
    </row>
    <row r="90" spans="1:20">
      <c r="A90" s="6" t="s">
        <v>156</v>
      </c>
      <c r="D90" s="87"/>
      <c r="E90" s="87"/>
      <c r="F90" s="87"/>
      <c r="G90" s="87"/>
      <c r="H90" s="87">
        <f t="shared" ref="H90:T90" si="27">H89</f>
        <v>1002874.4249999998</v>
      </c>
      <c r="I90" s="87">
        <f t="shared" si="27"/>
        <v>1303736.7525000004</v>
      </c>
      <c r="J90" s="87">
        <f t="shared" si="27"/>
        <v>1694857.7782500004</v>
      </c>
      <c r="K90" s="87">
        <f t="shared" si="27"/>
        <v>2203315.1117249997</v>
      </c>
      <c r="L90" s="87">
        <f t="shared" si="27"/>
        <v>2864309.6452425011</v>
      </c>
      <c r="M90" s="87">
        <f t="shared" si="27"/>
        <v>3723602.5388152506</v>
      </c>
      <c r="N90" s="87">
        <f t="shared" si="27"/>
        <v>4840683.3004598245</v>
      </c>
      <c r="O90" s="87">
        <f t="shared" si="27"/>
        <v>6292888.2905977741</v>
      </c>
      <c r="P90" s="87">
        <f t="shared" si="27"/>
        <v>8180754.7777771093</v>
      </c>
      <c r="Q90" s="87">
        <f t="shared" si="27"/>
        <v>10634981.211110242</v>
      </c>
      <c r="R90" s="87">
        <f t="shared" si="27"/>
        <v>13825475.57444331</v>
      </c>
      <c r="S90" s="87">
        <f t="shared" si="27"/>
        <v>17973118.246776313</v>
      </c>
      <c r="T90" s="87">
        <f t="shared" si="27"/>
        <v>23365053.720809206</v>
      </c>
    </row>
    <row r="91" spans="1:20"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</row>
    <row r="92" spans="1:20">
      <c r="A92" s="14" t="s">
        <v>157</v>
      </c>
      <c r="B92" s="14"/>
      <c r="C92" s="14"/>
      <c r="D92" s="14"/>
      <c r="E92" s="14"/>
      <c r="F92" s="14"/>
      <c r="G92" s="14"/>
      <c r="H92" s="14">
        <f t="shared" ref="H92:T92" si="28">G94</f>
        <v>0</v>
      </c>
      <c r="I92" s="14" t="e">
        <f t="shared" si="28"/>
        <v>#DIV/0!</v>
      </c>
      <c r="J92" s="14" t="e">
        <f t="shared" si="28"/>
        <v>#DIV/0!</v>
      </c>
      <c r="K92" s="14" t="e">
        <f t="shared" si="28"/>
        <v>#DIV/0!</v>
      </c>
      <c r="L92" s="14" t="e">
        <f t="shared" si="28"/>
        <v>#DIV/0!</v>
      </c>
      <c r="M92" s="14" t="e">
        <f t="shared" si="28"/>
        <v>#DIV/0!</v>
      </c>
      <c r="N92" s="14" t="e">
        <f t="shared" si="28"/>
        <v>#DIV/0!</v>
      </c>
      <c r="O92" s="14" t="e">
        <f t="shared" si="28"/>
        <v>#DIV/0!</v>
      </c>
      <c r="P92" s="14" t="e">
        <f t="shared" si="28"/>
        <v>#DIV/0!</v>
      </c>
      <c r="Q92" s="14" t="e">
        <f t="shared" si="28"/>
        <v>#DIV/0!</v>
      </c>
      <c r="R92" s="14" t="e">
        <f t="shared" si="28"/>
        <v>#DIV/0!</v>
      </c>
      <c r="S92" s="14" t="e">
        <f t="shared" si="28"/>
        <v>#DIV/0!</v>
      </c>
      <c r="T92" s="14" t="e">
        <f t="shared" si="28"/>
        <v>#DIV/0!</v>
      </c>
    </row>
    <row r="93" spans="1:20">
      <c r="A93" s="6" t="s">
        <v>158</v>
      </c>
      <c r="B93" s="6"/>
      <c r="C93" s="6"/>
      <c r="D93" s="6"/>
      <c r="E93" s="6"/>
      <c r="F93" s="6"/>
      <c r="G93" s="6"/>
      <c r="H93" s="6" t="e">
        <f t="shared" ref="H93:T93" si="29">H81+H86+H90</f>
        <v>#DIV/0!</v>
      </c>
      <c r="I93" s="6" t="e">
        <f t="shared" si="29"/>
        <v>#DIV/0!</v>
      </c>
      <c r="J93" s="6" t="e">
        <f t="shared" si="29"/>
        <v>#DIV/0!</v>
      </c>
      <c r="K93" s="6" t="e">
        <f t="shared" si="29"/>
        <v>#DIV/0!</v>
      </c>
      <c r="L93" s="6" t="e">
        <f t="shared" si="29"/>
        <v>#DIV/0!</v>
      </c>
      <c r="M93" s="6" t="e">
        <f t="shared" si="29"/>
        <v>#DIV/0!</v>
      </c>
      <c r="N93" s="6" t="e">
        <f t="shared" si="29"/>
        <v>#DIV/0!</v>
      </c>
      <c r="O93" s="6" t="e">
        <f t="shared" si="29"/>
        <v>#DIV/0!</v>
      </c>
      <c r="P93" s="6" t="e">
        <f t="shared" si="29"/>
        <v>#DIV/0!</v>
      </c>
      <c r="Q93" s="6" t="e">
        <f t="shared" si="29"/>
        <v>#DIV/0!</v>
      </c>
      <c r="R93" s="6" t="e">
        <f t="shared" si="29"/>
        <v>#DIV/0!</v>
      </c>
      <c r="S93" s="6" t="e">
        <f t="shared" si="29"/>
        <v>#DIV/0!</v>
      </c>
      <c r="T93" s="6" t="e">
        <f t="shared" si="29"/>
        <v>#DIV/0!</v>
      </c>
    </row>
    <row r="94" spans="1:20">
      <c r="A94" s="14" t="s">
        <v>159</v>
      </c>
      <c r="B94" s="14"/>
      <c r="C94" s="14"/>
      <c r="D94" s="14">
        <f>D27</f>
        <v>0</v>
      </c>
      <c r="E94" s="14">
        <f>E27</f>
        <v>0</v>
      </c>
      <c r="F94" s="14">
        <f>F27</f>
        <v>0</v>
      </c>
      <c r="G94" s="14">
        <f>G27</f>
        <v>0</v>
      </c>
      <c r="H94" s="14" t="e">
        <f t="shared" ref="H94:T94" si="30">SUM(H92:H93)</f>
        <v>#DIV/0!</v>
      </c>
      <c r="I94" s="14" t="e">
        <f t="shared" si="30"/>
        <v>#DIV/0!</v>
      </c>
      <c r="J94" s="14" t="e">
        <f t="shared" si="30"/>
        <v>#DIV/0!</v>
      </c>
      <c r="K94" s="14" t="e">
        <f t="shared" si="30"/>
        <v>#DIV/0!</v>
      </c>
      <c r="L94" s="14" t="e">
        <f t="shared" si="30"/>
        <v>#DIV/0!</v>
      </c>
      <c r="M94" s="14" t="e">
        <f t="shared" si="30"/>
        <v>#DIV/0!</v>
      </c>
      <c r="N94" s="14" t="e">
        <f t="shared" si="30"/>
        <v>#DIV/0!</v>
      </c>
      <c r="O94" s="14" t="e">
        <f t="shared" si="30"/>
        <v>#DIV/0!</v>
      </c>
      <c r="P94" s="14" t="e">
        <f t="shared" si="30"/>
        <v>#DIV/0!</v>
      </c>
      <c r="Q94" s="14" t="e">
        <f t="shared" si="30"/>
        <v>#DIV/0!</v>
      </c>
      <c r="R94" s="14" t="e">
        <f t="shared" si="30"/>
        <v>#DIV/0!</v>
      </c>
      <c r="S94" s="14" t="e">
        <f t="shared" si="30"/>
        <v>#DIV/0!</v>
      </c>
      <c r="T94" s="14" t="e">
        <f t="shared" si="30"/>
        <v>#DIV/0!</v>
      </c>
    </row>
    <row r="98" spans="1:20">
      <c r="A98" s="158" t="s">
        <v>160</v>
      </c>
      <c r="B98" s="90" t="s">
        <v>161</v>
      </c>
      <c r="C98" s="91" t="e">
        <f>C8/C6*100</f>
        <v>#DIV/0!</v>
      </c>
      <c r="D98" s="92" t="e">
        <f>D8/D6*100%</f>
        <v>#DIV/0!</v>
      </c>
      <c r="E98" s="92" t="e">
        <f>E8/E6</f>
        <v>#DIV/0!</v>
      </c>
      <c r="F98" s="92" t="e">
        <f>F8/F6</f>
        <v>#DIV/0!</v>
      </c>
      <c r="G98" s="139" t="e">
        <f>G8/G6</f>
        <v>#DIV/0!</v>
      </c>
      <c r="H98" s="145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</row>
    <row r="99" spans="1:20">
      <c r="A99" s="157"/>
      <c r="B99" s="90" t="s">
        <v>162</v>
      </c>
      <c r="C99" s="91" t="e">
        <f>C13/C6</f>
        <v>#DIV/0!</v>
      </c>
      <c r="D99" s="92" t="e">
        <f>(D13/D6)*-1</f>
        <v>#DIV/0!</v>
      </c>
      <c r="E99" s="92" t="e">
        <f>(E13/E6)*-1</f>
        <v>#DIV/0!</v>
      </c>
      <c r="F99" s="92" t="e">
        <f>(F13/F6)*-1</f>
        <v>#DIV/0!</v>
      </c>
      <c r="G99" s="139" t="e">
        <f>(G13/G6)*-1</f>
        <v>#DIV/0!</v>
      </c>
      <c r="H99" s="145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</row>
    <row r="100" spans="1:20">
      <c r="A100" s="157"/>
      <c r="B100" s="90" t="s">
        <v>163</v>
      </c>
      <c r="C100" s="91" t="e">
        <f>C13/(C41-C48)</f>
        <v>#DIV/0!</v>
      </c>
      <c r="D100" s="92">
        <f>D13/(D41-D48)</f>
        <v>0</v>
      </c>
      <c r="E100" s="92">
        <f>E13/(E41-E48)</f>
        <v>0</v>
      </c>
      <c r="F100" s="92">
        <f>F13/(F41-F48)</f>
        <v>0</v>
      </c>
      <c r="G100" s="139">
        <f>G13/(G41-G48)</f>
        <v>0</v>
      </c>
      <c r="H100" s="145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</row>
    <row r="101" spans="1:20">
      <c r="A101" s="155"/>
      <c r="B101" s="90" t="s">
        <v>164</v>
      </c>
      <c r="C101" s="92" t="e">
        <f>C20/((C58+D58)/2)</f>
        <v>#DIV/0!</v>
      </c>
      <c r="D101" s="92" t="e">
        <f>D20/((D58+E58)/2)</f>
        <v>#DIV/0!</v>
      </c>
      <c r="E101" s="92" t="e">
        <f>E20/((E58+F58)/2)</f>
        <v>#DIV/0!</v>
      </c>
      <c r="F101" s="92" t="e">
        <f>F20/((F58+G58)/2)</f>
        <v>#DIV/0!</v>
      </c>
      <c r="G101" s="139">
        <f>G20/((G58+H58)/2)</f>
        <v>0</v>
      </c>
      <c r="H101" s="145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</row>
    <row r="102" spans="1:20">
      <c r="A102" s="158" t="s">
        <v>165</v>
      </c>
      <c r="B102" s="90" t="s">
        <v>166</v>
      </c>
      <c r="C102" s="92" t="e">
        <f>C6/C41</f>
        <v>#DIV/0!</v>
      </c>
      <c r="D102" s="92">
        <f>D6/D41</f>
        <v>0</v>
      </c>
      <c r="E102" s="92">
        <f>E6/E41</f>
        <v>0</v>
      </c>
      <c r="F102" s="92">
        <f>F6/F41</f>
        <v>0</v>
      </c>
      <c r="G102" s="139">
        <f>G6/G41</f>
        <v>0</v>
      </c>
      <c r="H102" s="145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</row>
    <row r="103" spans="1:20">
      <c r="A103" s="157"/>
      <c r="B103" s="90" t="s">
        <v>167</v>
      </c>
      <c r="C103" s="92">
        <f>C6/((D41-C41))/2</f>
        <v>0</v>
      </c>
      <c r="D103" s="92">
        <f>D6/((E41-D41))/2</f>
        <v>0</v>
      </c>
      <c r="E103" s="92">
        <f>E6/((F41-E41))/2</f>
        <v>0</v>
      </c>
      <c r="F103" s="92">
        <f>F6/((G41-F41))/2</f>
        <v>0</v>
      </c>
      <c r="G103" s="139" t="e">
        <f>G6/((H41-G41))/2</f>
        <v>#DIV/0!</v>
      </c>
      <c r="H103" s="145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</row>
    <row r="104" spans="1:20">
      <c r="A104" s="157"/>
      <c r="B104" s="90" t="s">
        <v>168</v>
      </c>
      <c r="C104" s="91" t="e">
        <f>C29/-C7*365</f>
        <v>#DIV/0!</v>
      </c>
      <c r="D104" s="91" t="e">
        <f>D29/-D7*365</f>
        <v>#DIV/0!</v>
      </c>
      <c r="E104" s="91" t="e">
        <f>E29/-E7*365</f>
        <v>#DIV/0!</v>
      </c>
      <c r="F104" s="91" t="e">
        <f>F29/-F7*365</f>
        <v>#DIV/0!</v>
      </c>
      <c r="G104" s="140" t="e">
        <f>G29/-G7*365</f>
        <v>#DIV/0!</v>
      </c>
      <c r="H104" s="146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</row>
    <row r="105" spans="1:20">
      <c r="A105" s="157"/>
      <c r="B105" s="90" t="s">
        <v>169</v>
      </c>
      <c r="C105" s="91" t="e">
        <f>(C28/C6)*365</f>
        <v>#DIV/0!</v>
      </c>
      <c r="D105" s="91" t="e">
        <f>(D28/D6)*365</f>
        <v>#DIV/0!</v>
      </c>
      <c r="E105" s="91" t="e">
        <f>(E28/E6)*365</f>
        <v>#DIV/0!</v>
      </c>
      <c r="F105" s="91" t="e">
        <f>(F28/F6)*365</f>
        <v>#DIV/0!</v>
      </c>
      <c r="G105" s="140" t="e">
        <f>(G28/G6)*365</f>
        <v>#DIV/0!</v>
      </c>
      <c r="H105" s="146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</row>
    <row r="106" spans="1:20">
      <c r="A106" s="155"/>
      <c r="B106" s="90" t="s">
        <v>170</v>
      </c>
      <c r="C106" s="91" t="e">
        <f>C45*365/-C7</f>
        <v>#DIV/0!</v>
      </c>
      <c r="D106" s="91" t="e">
        <f>D45*365/-D7</f>
        <v>#DIV/0!</v>
      </c>
      <c r="E106" s="91" t="e">
        <f>E45*365/-E7</f>
        <v>#DIV/0!</v>
      </c>
      <c r="F106" s="91" t="e">
        <f>F45*365/-F7</f>
        <v>#DIV/0!</v>
      </c>
      <c r="G106" s="140" t="e">
        <f>G45*365/-G7</f>
        <v>#DIV/0!</v>
      </c>
      <c r="H106" s="146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</row>
    <row r="107" spans="1:20">
      <c r="A107" s="158" t="s">
        <v>171</v>
      </c>
      <c r="B107" s="93" t="s">
        <v>172</v>
      </c>
      <c r="C107" s="92" t="e">
        <f>C32/C48</f>
        <v>#DIV/0!</v>
      </c>
      <c r="D107" s="92" t="e">
        <f>D32/D48</f>
        <v>#DIV/0!</v>
      </c>
      <c r="E107" s="92" t="e">
        <f>E32/E48</f>
        <v>#DIV/0!</v>
      </c>
      <c r="F107" s="92" t="e">
        <f>F32/F48</f>
        <v>#DIV/0!</v>
      </c>
      <c r="G107" s="139" t="e">
        <f>G32/G48</f>
        <v>#DIV/0!</v>
      </c>
      <c r="H107" s="145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</row>
    <row r="108" spans="1:20">
      <c r="A108" s="157"/>
      <c r="B108" s="93" t="s">
        <v>173</v>
      </c>
      <c r="C108" s="92" t="e">
        <f>(C32-C29)/C48</f>
        <v>#DIV/0!</v>
      </c>
      <c r="D108" s="92" t="e">
        <f>(D32-D29)/D48</f>
        <v>#DIV/0!</v>
      </c>
      <c r="E108" s="92" t="e">
        <f>(E32-E29)/E48</f>
        <v>#DIV/0!</v>
      </c>
      <c r="F108" s="92" t="e">
        <f>(F32-F29)/F48</f>
        <v>#DIV/0!</v>
      </c>
      <c r="G108" s="139" t="e">
        <f>(G32-G29)/G48</f>
        <v>#DIV/0!</v>
      </c>
      <c r="H108" s="145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</row>
    <row r="109" spans="1:20">
      <c r="A109" s="155"/>
      <c r="B109" s="93" t="s">
        <v>174</v>
      </c>
      <c r="C109" s="92" t="e">
        <f>C81/C48</f>
        <v>#DIV/0!</v>
      </c>
      <c r="D109" s="92" t="e">
        <f>D81/D48</f>
        <v>#DIV/0!</v>
      </c>
      <c r="E109" s="92" t="e">
        <f>E81/E48</f>
        <v>#DIV/0!</v>
      </c>
      <c r="F109" s="92" t="e">
        <f>F81/F48</f>
        <v>#DIV/0!</v>
      </c>
      <c r="G109" s="139" t="e">
        <f>G81/G48</f>
        <v>#DIV/0!</v>
      </c>
      <c r="H109" s="145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</row>
    <row r="110" spans="1:20">
      <c r="A110" s="158" t="s">
        <v>175</v>
      </c>
      <c r="B110" s="93" t="s">
        <v>176</v>
      </c>
      <c r="C110" s="92" t="e">
        <f>C51/(C41-C48)</f>
        <v>#DIV/0!</v>
      </c>
      <c r="D110" s="92">
        <f>D51/(D41-D48)</f>
        <v>0</v>
      </c>
      <c r="E110" s="92">
        <f>E51/(E41-E48)</f>
        <v>0</v>
      </c>
      <c r="F110" s="92">
        <f>F51/(F41-F48)</f>
        <v>0</v>
      </c>
      <c r="G110" s="139">
        <f>G51/(G41-G48)</f>
        <v>0</v>
      </c>
      <c r="H110" s="145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</row>
    <row r="111" spans="1:20">
      <c r="A111" s="155"/>
      <c r="B111" s="93" t="s">
        <v>177</v>
      </c>
      <c r="C111" s="94" t="e">
        <f>C13/C15</f>
        <v>#DIV/0!</v>
      </c>
      <c r="D111" s="94" t="e">
        <f>D13/D15</f>
        <v>#DIV/0!</v>
      </c>
      <c r="E111" s="94" t="e">
        <f>E13/E15</f>
        <v>#DIV/0!</v>
      </c>
      <c r="F111" s="94" t="e">
        <f>F13/F15</f>
        <v>#DIV/0!</v>
      </c>
      <c r="G111" s="141" t="e">
        <f>G13/G15</f>
        <v>#DIV/0!</v>
      </c>
      <c r="H111" s="147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</row>
    <row r="120" spans="1:6">
      <c r="A120" s="34"/>
    </row>
    <row r="121" spans="1:6" ht="15.5" customHeight="1">
      <c r="A121" s="7"/>
      <c r="B121" s="26"/>
      <c r="C121" s="31"/>
      <c r="D121" s="31"/>
      <c r="E121" s="31"/>
      <c r="F121" s="31"/>
    </row>
    <row r="122" spans="1:6" ht="15.5" customHeight="1">
      <c r="A122" s="8"/>
      <c r="B122" s="26"/>
      <c r="C122" s="32"/>
      <c r="D122" s="32"/>
      <c r="E122" s="32"/>
      <c r="F122" s="32"/>
    </row>
    <row r="123" spans="1:6" ht="15.5" customHeight="1">
      <c r="A123" s="7"/>
      <c r="B123" s="26"/>
      <c r="C123" s="31"/>
      <c r="D123" s="31"/>
      <c r="E123" s="31"/>
      <c r="F123" s="31"/>
    </row>
    <row r="124" spans="1:6" ht="15.5" customHeight="1">
      <c r="A124" s="7"/>
      <c r="B124" s="26"/>
      <c r="C124" s="31"/>
      <c r="D124" s="31"/>
      <c r="E124" s="31"/>
      <c r="F124" s="31"/>
    </row>
    <row r="125" spans="1:6" ht="15.5" customHeight="1">
      <c r="A125" s="7"/>
      <c r="B125" s="26"/>
      <c r="C125" s="32"/>
      <c r="D125" s="32"/>
      <c r="E125" s="32"/>
      <c r="F125" s="32"/>
    </row>
  </sheetData>
  <mergeCells count="4">
    <mergeCell ref="A102:A106"/>
    <mergeCell ref="A110:A111"/>
    <mergeCell ref="A98:A101"/>
    <mergeCell ref="A107:A1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showGridLines="0" workbookViewId="0">
      <selection activeCell="H47" sqref="H47"/>
    </sheetView>
  </sheetViews>
  <sheetFormatPr baseColWidth="10" defaultColWidth="8.83203125" defaultRowHeight="15"/>
  <cols>
    <col min="2" max="2" width="21.6640625" customWidth="1"/>
    <col min="3" max="3" width="15.1640625" bestFit="1" customWidth="1"/>
    <col min="4" max="4" width="10.5" bestFit="1" customWidth="1"/>
    <col min="5" max="5" width="11.33203125" bestFit="1" customWidth="1"/>
    <col min="6" max="7" width="10.5" bestFit="1" customWidth="1"/>
    <col min="8" max="10" width="11.6640625" bestFit="1" customWidth="1"/>
    <col min="11" max="11" width="13.83203125" customWidth="1"/>
    <col min="12" max="12" width="12" bestFit="1" customWidth="1"/>
    <col min="13" max="15" width="11.6640625" bestFit="1" customWidth="1"/>
    <col min="16" max="20" width="12.6640625" bestFit="1" customWidth="1"/>
  </cols>
  <sheetData>
    <row r="1" spans="1:20" ht="22.5" customHeight="1">
      <c r="A1" s="23" t="s">
        <v>40</v>
      </c>
    </row>
    <row r="2" spans="1:20">
      <c r="A2" s="18"/>
      <c r="B2" s="19"/>
      <c r="C2" s="27" t="s">
        <v>41</v>
      </c>
      <c r="D2" s="27" t="s">
        <v>42</v>
      </c>
      <c r="E2" s="27" t="s">
        <v>43</v>
      </c>
      <c r="F2" s="27" t="s">
        <v>44</v>
      </c>
      <c r="G2" s="27" t="s">
        <v>45</v>
      </c>
      <c r="H2" s="27">
        <v>1</v>
      </c>
      <c r="I2" s="27">
        <f t="shared" ref="I2:T2" si="0">H2+1</f>
        <v>2</v>
      </c>
      <c r="J2" s="27">
        <f t="shared" si="0"/>
        <v>3</v>
      </c>
      <c r="K2" s="27">
        <f t="shared" si="0"/>
        <v>4</v>
      </c>
      <c r="L2" s="27">
        <f t="shared" si="0"/>
        <v>5</v>
      </c>
      <c r="M2" s="27">
        <f t="shared" si="0"/>
        <v>6</v>
      </c>
      <c r="N2" s="27">
        <f t="shared" si="0"/>
        <v>7</v>
      </c>
      <c r="O2" s="27">
        <f t="shared" si="0"/>
        <v>8</v>
      </c>
      <c r="P2" s="27">
        <f t="shared" si="0"/>
        <v>9</v>
      </c>
      <c r="Q2" s="27">
        <f t="shared" si="0"/>
        <v>10</v>
      </c>
      <c r="R2" s="27">
        <f t="shared" si="0"/>
        <v>11</v>
      </c>
      <c r="S2" s="27">
        <f t="shared" si="0"/>
        <v>12</v>
      </c>
      <c r="T2" s="124">
        <f t="shared" si="0"/>
        <v>13</v>
      </c>
    </row>
    <row r="3" spans="1:20" ht="17.5" customHeight="1">
      <c r="A3" s="20" t="s">
        <v>178</v>
      </c>
      <c r="B3" s="21"/>
      <c r="C3" s="159" t="s">
        <v>179</v>
      </c>
      <c r="D3" s="153"/>
      <c r="E3" s="153"/>
      <c r="F3" s="153"/>
      <c r="G3" s="160"/>
      <c r="H3" s="159" t="s">
        <v>180</v>
      </c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60"/>
    </row>
    <row r="4" spans="1:20" ht="17.5" customHeight="1">
      <c r="A4" s="2" t="s">
        <v>130</v>
      </c>
      <c r="B4" s="3" t="str">
        <f>Cover!F7</f>
        <v>RMB Thousand</v>
      </c>
      <c r="C4" s="96"/>
      <c r="D4" s="1"/>
      <c r="E4" s="1"/>
      <c r="F4" s="1"/>
      <c r="G4" s="116"/>
      <c r="H4" s="9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16"/>
    </row>
    <row r="5" spans="1:20">
      <c r="A5" s="4"/>
      <c r="B5" s="5"/>
      <c r="C5" s="97"/>
      <c r="D5" s="5"/>
      <c r="E5" s="5"/>
      <c r="F5" s="5"/>
      <c r="G5" s="117"/>
      <c r="H5" s="9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17"/>
    </row>
    <row r="6" spans="1:20" ht="15.5" customHeight="1">
      <c r="B6" s="7" t="s">
        <v>181</v>
      </c>
      <c r="C6" s="98"/>
      <c r="D6" s="26"/>
      <c r="E6" s="26"/>
      <c r="F6" s="26"/>
      <c r="G6" s="118"/>
      <c r="H6" s="98">
        <f>'FA &amp; Operating Model'!H13</f>
        <v>-267964.13999999996</v>
      </c>
      <c r="I6" s="26">
        <f>'FA &amp; Operating Model'!I13</f>
        <v>-616317.522</v>
      </c>
      <c r="J6" s="26">
        <f>'FA &amp; Operating Model'!J13</f>
        <v>-1069176.9186000002</v>
      </c>
      <c r="K6" s="26">
        <f>'FA &amp; Operating Model'!K13</f>
        <v>-1657894.1341800001</v>
      </c>
      <c r="L6" s="26">
        <f>'FA &amp; Operating Model'!L13</f>
        <v>-2423226.514434</v>
      </c>
      <c r="M6" s="26">
        <f>'FA &amp; Operating Model'!M13</f>
        <v>-3418158.6087642005</v>
      </c>
      <c r="N6" s="26">
        <f>'FA &amp; Operating Model'!N13</f>
        <v>-4711570.3313934598</v>
      </c>
      <c r="O6" s="26">
        <f>'FA &amp; Operating Model'!O13</f>
        <v>-6393005.5708114989</v>
      </c>
      <c r="P6" s="26">
        <f>'FA &amp; Operating Model'!P13</f>
        <v>-8578871.3820549492</v>
      </c>
      <c r="Q6" s="26">
        <f>'FA &amp; Operating Model'!Q13</f>
        <v>-11420496.936671434</v>
      </c>
      <c r="R6" s="26">
        <f>'FA &amp; Operating Model'!R13</f>
        <v>-15114610.157672867</v>
      </c>
      <c r="S6" s="26">
        <f>'FA &amp; Operating Model'!S13</f>
        <v>-19916957.34497473</v>
      </c>
      <c r="T6" s="118">
        <f>'FA &amp; Operating Model'!T13</f>
        <v>-26160008.688467149</v>
      </c>
    </row>
    <row r="7" spans="1:20" ht="15.5" customHeight="1">
      <c r="B7" s="7" t="s">
        <v>68</v>
      </c>
      <c r="C7" s="100"/>
      <c r="D7" s="99"/>
      <c r="E7" s="99"/>
      <c r="F7" s="99"/>
      <c r="G7" s="119"/>
      <c r="H7" s="100">
        <f>'Assumption Table'!H13</f>
        <v>0.2</v>
      </c>
      <c r="I7" s="99">
        <f>'Assumption Table'!I13</f>
        <v>0.2</v>
      </c>
      <c r="J7" s="99">
        <f>'Assumption Table'!J13</f>
        <v>0.2</v>
      </c>
      <c r="K7" s="99">
        <f>'Assumption Table'!K13</f>
        <v>0.2</v>
      </c>
      <c r="L7" s="99">
        <f>'Assumption Table'!L13</f>
        <v>0.2</v>
      </c>
      <c r="M7" s="99">
        <f>'Assumption Table'!M13</f>
        <v>0.2</v>
      </c>
      <c r="N7" s="99">
        <f>'Assumption Table'!N13</f>
        <v>0.2</v>
      </c>
      <c r="O7" s="99">
        <f>'Assumption Table'!O13</f>
        <v>0.2</v>
      </c>
      <c r="P7" s="99">
        <f>'Assumption Table'!P13</f>
        <v>0.2</v>
      </c>
      <c r="Q7" s="99">
        <f>'Assumption Table'!Q13</f>
        <v>0.2</v>
      </c>
      <c r="R7" s="99">
        <f>'Assumption Table'!R13</f>
        <v>0.2</v>
      </c>
      <c r="S7" s="99">
        <f>'Assumption Table'!S13</f>
        <v>0.2</v>
      </c>
      <c r="T7" s="119">
        <f>'Assumption Table'!T13</f>
        <v>0.2</v>
      </c>
    </row>
    <row r="8" spans="1:20" ht="15.5" customHeight="1">
      <c r="B8" s="7" t="s">
        <v>182</v>
      </c>
      <c r="C8" s="98"/>
      <c r="D8" s="26"/>
      <c r="E8" s="26"/>
      <c r="F8" s="26"/>
      <c r="G8" s="118"/>
      <c r="H8" s="98">
        <f>'FA &amp; Operating Model'!H9</f>
        <v>-267964.13999999996</v>
      </c>
      <c r="I8" s="26">
        <f>'FA &amp; Operating Model'!I9</f>
        <v>-616317.522</v>
      </c>
      <c r="J8" s="26">
        <f>'FA &amp; Operating Model'!J9</f>
        <v>-1069176.9186000002</v>
      </c>
      <c r="K8" s="26">
        <f>'FA &amp; Operating Model'!K9</f>
        <v>-1657894.1341800001</v>
      </c>
      <c r="L8" s="26">
        <f>'FA &amp; Operating Model'!L9</f>
        <v>-2423226.514434</v>
      </c>
      <c r="M8" s="26">
        <f>'FA &amp; Operating Model'!M9</f>
        <v>-3418158.6087642005</v>
      </c>
      <c r="N8" s="26">
        <f>'FA &amp; Operating Model'!N9</f>
        <v>-4711570.3313934598</v>
      </c>
      <c r="O8" s="26">
        <f>'FA &amp; Operating Model'!O9</f>
        <v>-6393005.5708114989</v>
      </c>
      <c r="P8" s="26">
        <f>'FA &amp; Operating Model'!P9</f>
        <v>-8578871.3820549492</v>
      </c>
      <c r="Q8" s="26">
        <f>'FA &amp; Operating Model'!Q9</f>
        <v>-11420496.936671434</v>
      </c>
      <c r="R8" s="26">
        <f>'FA &amp; Operating Model'!R9</f>
        <v>-15114610.157672867</v>
      </c>
      <c r="S8" s="26">
        <f>'FA &amp; Operating Model'!S9</f>
        <v>-19916957.34497473</v>
      </c>
      <c r="T8" s="118">
        <f>'FA &amp; Operating Model'!T9</f>
        <v>-26160008.688467149</v>
      </c>
    </row>
    <row r="9" spans="1:20" ht="15.5" customHeight="1">
      <c r="B9" s="7" t="s">
        <v>145</v>
      </c>
      <c r="C9" s="98"/>
      <c r="D9" s="26"/>
      <c r="E9" s="26"/>
      <c r="F9" s="26"/>
      <c r="G9" s="118"/>
      <c r="H9" s="98" t="e">
        <f>'FA &amp; Operating Model'!H74</f>
        <v>#DIV/0!</v>
      </c>
      <c r="I9" s="26" t="e">
        <f>'FA &amp; Operating Model'!I74</f>
        <v>#DIV/0!</v>
      </c>
      <c r="J9" s="26" t="e">
        <f>'FA &amp; Operating Model'!J74</f>
        <v>#DIV/0!</v>
      </c>
      <c r="K9" s="26" t="e">
        <f>'FA &amp; Operating Model'!K74</f>
        <v>#DIV/0!</v>
      </c>
      <c r="L9" s="26" t="e">
        <f>'FA &amp; Operating Model'!L74</f>
        <v>#DIV/0!</v>
      </c>
      <c r="M9" s="26" t="e">
        <f>'FA &amp; Operating Model'!M74</f>
        <v>#DIV/0!</v>
      </c>
      <c r="N9" s="26" t="e">
        <f>'FA &amp; Operating Model'!N74</f>
        <v>#DIV/0!</v>
      </c>
      <c r="O9" s="26" t="e">
        <f>'FA &amp; Operating Model'!O74</f>
        <v>#DIV/0!</v>
      </c>
      <c r="P9" s="26" t="e">
        <f>'FA &amp; Operating Model'!P74</f>
        <v>#DIV/0!</v>
      </c>
      <c r="Q9" s="26" t="e">
        <f>'FA &amp; Operating Model'!Q74</f>
        <v>#DIV/0!</v>
      </c>
      <c r="R9" s="26" t="e">
        <f>'FA &amp; Operating Model'!R74</f>
        <v>#DIV/0!</v>
      </c>
      <c r="S9" s="26" t="e">
        <f>'FA &amp; Operating Model'!S74</f>
        <v>#DIV/0!</v>
      </c>
      <c r="T9" s="118" t="e">
        <f>'FA &amp; Operating Model'!T74</f>
        <v>#DIV/0!</v>
      </c>
    </row>
    <row r="10" spans="1:20" ht="15.5" customHeight="1">
      <c r="B10" s="7" t="s">
        <v>183</v>
      </c>
      <c r="C10" s="98"/>
      <c r="D10" s="26"/>
      <c r="E10" s="26"/>
      <c r="F10" s="26"/>
      <c r="G10" s="118"/>
      <c r="H10" s="98">
        <f>'FA &amp; Operating Model'!H84+'FA &amp; Operating Model'!H85</f>
        <v>-4027426.4999999991</v>
      </c>
      <c r="I10" s="26">
        <f>'FA &amp; Operating Model'!I84+'FA &amp; Operating Model'!I85</f>
        <v>-5235654.450000002</v>
      </c>
      <c r="J10" s="26">
        <f>'FA &amp; Operating Model'!J84+'FA &amp; Operating Model'!J85</f>
        <v>-6806350.785000002</v>
      </c>
      <c r="K10" s="26">
        <f>'FA &amp; Operating Model'!K84+'FA &amp; Operating Model'!K85</f>
        <v>-8848256.0204999987</v>
      </c>
      <c r="L10" s="26">
        <f>'FA &amp; Operating Model'!L84+'FA &amp; Operating Model'!L85</f>
        <v>-11502732.826650005</v>
      </c>
      <c r="M10" s="26">
        <f>'FA &amp; Operating Model'!M84+'FA &amp; Operating Model'!M85</f>
        <v>-14953552.674645003</v>
      </c>
      <c r="N10" s="26">
        <f>'FA &amp; Operating Model'!N84+'FA &amp; Operating Model'!N85</f>
        <v>-19439618.477038499</v>
      </c>
      <c r="O10" s="26">
        <f>'FA &amp; Operating Model'!O84+'FA &amp; Operating Model'!O85</f>
        <v>-25271504.020150058</v>
      </c>
      <c r="P10" s="26">
        <f>'FA &amp; Operating Model'!P84+'FA &amp; Operating Model'!P85</f>
        <v>-32852955.226195086</v>
      </c>
      <c r="Q10" s="26">
        <f>'FA &amp; Operating Model'!Q84+'FA &amp; Operating Model'!Q85</f>
        <v>-42708841.794053607</v>
      </c>
      <c r="R10" s="26">
        <f>'FA &amp; Operating Model'!R84+'FA &amp; Operating Model'!R85</f>
        <v>-55521494.332269676</v>
      </c>
      <c r="S10" s="26">
        <f>'FA &amp; Operating Model'!S84+'FA &amp; Operating Model'!S85</f>
        <v>-72177942.631950617</v>
      </c>
      <c r="T10" s="118">
        <f>'FA &amp; Operating Model'!T84+'FA &amp; Operating Model'!T85</f>
        <v>-93831325.421535805</v>
      </c>
    </row>
    <row r="11" spans="1:20" ht="15" customHeight="1">
      <c r="B11" s="6" t="s">
        <v>178</v>
      </c>
      <c r="C11" s="103"/>
      <c r="D11" s="104"/>
      <c r="E11" s="104"/>
      <c r="F11" s="104"/>
      <c r="G11" s="120"/>
      <c r="H11" s="103" t="e">
        <f t="shared" ref="H11:T11" si="1">H6*(1-H7)-H8-H9+H10</f>
        <v>#DIV/0!</v>
      </c>
      <c r="I11" s="104" t="e">
        <f t="shared" si="1"/>
        <v>#DIV/0!</v>
      </c>
      <c r="J11" s="104" t="e">
        <f t="shared" si="1"/>
        <v>#DIV/0!</v>
      </c>
      <c r="K11" s="104" t="e">
        <f t="shared" si="1"/>
        <v>#DIV/0!</v>
      </c>
      <c r="L11" s="104" t="e">
        <f t="shared" si="1"/>
        <v>#DIV/0!</v>
      </c>
      <c r="M11" s="104" t="e">
        <f t="shared" si="1"/>
        <v>#DIV/0!</v>
      </c>
      <c r="N11" s="104" t="e">
        <f t="shared" si="1"/>
        <v>#DIV/0!</v>
      </c>
      <c r="O11" s="104" t="e">
        <f t="shared" si="1"/>
        <v>#DIV/0!</v>
      </c>
      <c r="P11" s="104" t="e">
        <f t="shared" si="1"/>
        <v>#DIV/0!</v>
      </c>
      <c r="Q11" s="104" t="e">
        <f t="shared" si="1"/>
        <v>#DIV/0!</v>
      </c>
      <c r="R11" s="104" t="e">
        <f t="shared" si="1"/>
        <v>#DIV/0!</v>
      </c>
      <c r="S11" s="104" t="e">
        <f t="shared" si="1"/>
        <v>#DIV/0!</v>
      </c>
      <c r="T11" s="120" t="e">
        <f t="shared" si="1"/>
        <v>#DIV/0!</v>
      </c>
    </row>
    <row r="12" spans="1:20" ht="15.5" customHeight="1">
      <c r="A12" s="6"/>
      <c r="B12" s="7" t="s">
        <v>184</v>
      </c>
      <c r="C12" s="98"/>
      <c r="D12" s="26"/>
      <c r="E12" s="26"/>
      <c r="F12" s="26"/>
      <c r="G12" s="118"/>
      <c r="H12" s="115">
        <f t="shared" ref="H12:T12" si="2">1/(1+$H$27)^H2</f>
        <v>0.90116339935297674</v>
      </c>
      <c r="I12" s="114">
        <f t="shared" si="2"/>
        <v>0.81209547233341262</v>
      </c>
      <c r="J12" s="114">
        <f t="shared" si="2"/>
        <v>0.73183071644713948</v>
      </c>
      <c r="K12" s="114">
        <f t="shared" si="2"/>
        <v>0.65949905618442861</v>
      </c>
      <c r="L12" s="114">
        <f t="shared" si="2"/>
        <v>0.59431641134123947</v>
      </c>
      <c r="M12" s="114">
        <f t="shared" si="2"/>
        <v>0.53557619753553343</v>
      </c>
      <c r="N12" s="114">
        <f t="shared" si="2"/>
        <v>0.48264166678366266</v>
      </c>
      <c r="O12" s="114">
        <f t="shared" si="2"/>
        <v>0.43493900510815203</v>
      </c>
      <c r="P12" s="114">
        <f t="shared" si="2"/>
        <v>0.391951112354464</v>
      </c>
      <c r="Q12" s="114">
        <f t="shared" si="2"/>
        <v>0.3532119967895293</v>
      </c>
      <c r="R12" s="114">
        <f t="shared" si="2"/>
        <v>0.31830172371910498</v>
      </c>
      <c r="S12" s="114">
        <f t="shared" si="2"/>
        <v>0.28684186336662065</v>
      </c>
      <c r="T12" s="125">
        <f t="shared" si="2"/>
        <v>0.25849138866820592</v>
      </c>
    </row>
    <row r="13" spans="1:20" ht="15.5" customHeight="1">
      <c r="A13" s="121"/>
      <c r="B13" s="122" t="s">
        <v>185</v>
      </c>
      <c r="C13" s="102"/>
      <c r="D13" s="101"/>
      <c r="E13" s="101"/>
      <c r="F13" s="101"/>
      <c r="G13" s="123"/>
      <c r="H13" s="102" t="e">
        <f t="shared" ref="H13:T13" si="3">H11*H12</f>
        <v>#DIV/0!</v>
      </c>
      <c r="I13" s="101" t="e">
        <f t="shared" si="3"/>
        <v>#DIV/0!</v>
      </c>
      <c r="J13" s="101" t="e">
        <f t="shared" si="3"/>
        <v>#DIV/0!</v>
      </c>
      <c r="K13" s="101" t="e">
        <f t="shared" si="3"/>
        <v>#DIV/0!</v>
      </c>
      <c r="L13" s="101" t="e">
        <f t="shared" si="3"/>
        <v>#DIV/0!</v>
      </c>
      <c r="M13" s="101" t="e">
        <f t="shared" si="3"/>
        <v>#DIV/0!</v>
      </c>
      <c r="N13" s="101" t="e">
        <f t="shared" si="3"/>
        <v>#DIV/0!</v>
      </c>
      <c r="O13" s="101" t="e">
        <f t="shared" si="3"/>
        <v>#DIV/0!</v>
      </c>
      <c r="P13" s="101" t="e">
        <f t="shared" si="3"/>
        <v>#DIV/0!</v>
      </c>
      <c r="Q13" s="101" t="e">
        <f t="shared" si="3"/>
        <v>#DIV/0!</v>
      </c>
      <c r="R13" s="101" t="e">
        <f t="shared" si="3"/>
        <v>#DIV/0!</v>
      </c>
      <c r="S13" s="101" t="e">
        <f t="shared" si="3"/>
        <v>#DIV/0!</v>
      </c>
      <c r="T13" s="123" t="e">
        <f t="shared" si="3"/>
        <v>#DIV/0!</v>
      </c>
    </row>
    <row r="14" spans="1:20" ht="15.5" customHeight="1">
      <c r="A14" s="6"/>
      <c r="B14" s="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 ht="15.5" customHeight="1">
      <c r="A15" s="6"/>
      <c r="B15" s="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 ht="15.5" customHeight="1">
      <c r="A16" s="6"/>
      <c r="B16" s="7"/>
      <c r="C16" s="26"/>
      <c r="D16" s="26"/>
      <c r="E16" s="26"/>
      <c r="F16" s="26"/>
      <c r="G16" s="26"/>
      <c r="H16" s="10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 ht="15.5" customHeight="1">
      <c r="A17" s="6"/>
      <c r="B17" s="106" t="s">
        <v>186</v>
      </c>
      <c r="C17" s="107" t="e">
        <f>T13*(1+H17)/(H27-H17)</f>
        <v>#DIV/0!</v>
      </c>
      <c r="D17" s="106"/>
      <c r="E17" s="106" t="s">
        <v>90</v>
      </c>
      <c r="F17" s="106"/>
      <c r="G17" s="106"/>
      <c r="H17" s="129">
        <f>'Assumption Table'!H39</f>
        <v>2.29E-2</v>
      </c>
      <c r="I17" s="95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spans="1:20" ht="15.5" customHeight="1">
      <c r="A18" s="7"/>
      <c r="B18" s="106" t="s">
        <v>187</v>
      </c>
      <c r="C18" s="108" t="e">
        <f>SUM(H13:T13)</f>
        <v>#DIV/0!</v>
      </c>
      <c r="D18" s="106"/>
      <c r="E18" s="106"/>
      <c r="F18" s="106"/>
      <c r="G18" s="106"/>
      <c r="H18" s="130"/>
      <c r="I18" s="95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 ht="15.5" customHeight="1">
      <c r="A19" s="7"/>
      <c r="B19" s="109" t="s">
        <v>188</v>
      </c>
      <c r="C19" s="110" t="e">
        <f>C18+C17</f>
        <v>#DIV/0!</v>
      </c>
      <c r="D19" s="106"/>
      <c r="E19" s="106" t="s">
        <v>91</v>
      </c>
      <c r="F19" s="106"/>
      <c r="G19" s="106"/>
      <c r="H19" s="131">
        <f>'Assumption Table'!H40</f>
        <v>2.29E-2</v>
      </c>
      <c r="I19" s="95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 ht="15.5" customHeight="1">
      <c r="A20" s="7"/>
      <c r="B20" s="106" t="s">
        <v>189</v>
      </c>
      <c r="C20" s="108">
        <f>'FA &amp; Operating Model'!G27</f>
        <v>0</v>
      </c>
      <c r="D20" s="106"/>
      <c r="E20" s="106" t="s">
        <v>92</v>
      </c>
      <c r="F20" s="106"/>
      <c r="G20" s="106"/>
      <c r="H20" s="132">
        <f>'Assumption Table'!H41</f>
        <v>4.3400000000000001E-2</v>
      </c>
      <c r="I20" s="95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.5" customHeight="1">
      <c r="A21" s="7"/>
      <c r="B21" s="106" t="s">
        <v>95</v>
      </c>
      <c r="C21" s="108">
        <f>C30</f>
        <v>15000000</v>
      </c>
      <c r="D21" s="106"/>
      <c r="E21" s="106" t="s">
        <v>93</v>
      </c>
      <c r="F21" s="106"/>
      <c r="G21" s="106"/>
      <c r="H21" s="133">
        <f>'Assumption Table'!H42</f>
        <v>2</v>
      </c>
      <c r="I21" s="95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 ht="15.5" customHeight="1">
      <c r="A22" s="7"/>
      <c r="B22" s="106" t="s">
        <v>190</v>
      </c>
      <c r="C22" s="108" t="e">
        <f>C19+C20-C21</f>
        <v>#DIV/0!</v>
      </c>
      <c r="D22" s="106"/>
      <c r="E22" s="106"/>
      <c r="F22" s="106"/>
      <c r="G22" s="106"/>
      <c r="H22" s="134"/>
      <c r="I22" s="95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1:20">
      <c r="B23" s="106" t="s">
        <v>96</v>
      </c>
      <c r="C23" s="107">
        <f>'Assumption Table'!H45</f>
        <v>36440000000</v>
      </c>
      <c r="D23" s="106"/>
      <c r="E23" s="106"/>
      <c r="F23" s="106"/>
      <c r="G23" s="106"/>
      <c r="H23" s="73"/>
      <c r="I23" s="95"/>
    </row>
    <row r="24" spans="1:20">
      <c r="B24" s="106" t="s">
        <v>97</v>
      </c>
      <c r="C24" s="111">
        <f>'Assumption Table'!H46</f>
        <v>1002000000</v>
      </c>
      <c r="D24" s="106"/>
      <c r="E24" s="106" t="s">
        <v>191</v>
      </c>
      <c r="F24" s="106"/>
      <c r="G24" s="106"/>
      <c r="H24" s="131">
        <f>H19+H21*H20</f>
        <v>0.10970000000000001</v>
      </c>
      <c r="I24" s="95"/>
    </row>
    <row r="25" spans="1:20">
      <c r="B25" s="106"/>
      <c r="C25" s="112"/>
      <c r="D25" s="106"/>
      <c r="E25" s="106" t="s">
        <v>94</v>
      </c>
      <c r="F25" s="106"/>
      <c r="G25" s="106"/>
      <c r="H25" s="129">
        <f>'Assumption Table'!H43</f>
        <v>5.2999999999999999E-2</v>
      </c>
      <c r="I25" s="95"/>
    </row>
    <row r="26" spans="1:20">
      <c r="B26" s="109" t="s">
        <v>192</v>
      </c>
      <c r="C26" s="136">
        <f>C23/C24</f>
        <v>36.367265469061877</v>
      </c>
      <c r="D26" s="106"/>
      <c r="E26" s="106"/>
      <c r="F26" s="106"/>
      <c r="G26" s="106"/>
      <c r="H26" s="130"/>
      <c r="I26" s="95"/>
    </row>
    <row r="27" spans="1:20">
      <c r="B27" s="109" t="s">
        <v>193</v>
      </c>
      <c r="C27" s="137" t="e">
        <f>C22/C24</f>
        <v>#DIV/0!</v>
      </c>
      <c r="D27" s="106"/>
      <c r="E27" s="109" t="s">
        <v>194</v>
      </c>
      <c r="F27" s="106"/>
      <c r="G27" s="106"/>
      <c r="H27" s="135">
        <f>C34*H24+C33*H25</f>
        <v>0.10967666986695927</v>
      </c>
      <c r="I27" s="95"/>
    </row>
    <row r="30" spans="1:20" ht="15.5" customHeight="1">
      <c r="B30" s="26" t="s">
        <v>95</v>
      </c>
      <c r="C30" s="138">
        <f>'Assumption Table'!H44</f>
        <v>15000000</v>
      </c>
    </row>
    <row r="31" spans="1:20" ht="15.5" customHeight="1">
      <c r="B31" s="26" t="s">
        <v>96</v>
      </c>
      <c r="C31" s="138">
        <f>'Assumption Table'!H45</f>
        <v>36440000000</v>
      </c>
    </row>
    <row r="32" spans="1:20" ht="15.5" customHeight="1">
      <c r="B32" s="26" t="s">
        <v>195</v>
      </c>
      <c r="C32" s="105">
        <f>C31+C30</f>
        <v>36455000000</v>
      </c>
    </row>
    <row r="33" spans="2:3">
      <c r="B33" s="73" t="s">
        <v>196</v>
      </c>
      <c r="C33" s="113">
        <f>C30/C32</f>
        <v>4.1146619119462348E-4</v>
      </c>
    </row>
    <row r="34" spans="2:3">
      <c r="B34" s="73" t="s">
        <v>197</v>
      </c>
      <c r="C34" s="113">
        <f>C31/C32</f>
        <v>0.99958853380880541</v>
      </c>
    </row>
  </sheetData>
  <mergeCells count="2">
    <mergeCell ref="C3:G3"/>
    <mergeCell ref="H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Financial Numbers From AR</vt:lpstr>
      <vt:lpstr>Cover</vt:lpstr>
      <vt:lpstr>Assumption Table</vt:lpstr>
      <vt:lpstr>FA &amp; Operating Model</vt:lpstr>
      <vt:lpstr>DCF</vt:lpstr>
      <vt:lpstr>'Assumption Table'!Print_Area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Jinda Han</cp:lastModifiedBy>
  <dcterms:created xsi:type="dcterms:W3CDTF">2015-06-05T18:19:34Z</dcterms:created>
  <dcterms:modified xsi:type="dcterms:W3CDTF">2024-01-01T10:18:16Z</dcterms:modified>
</cp:coreProperties>
</file>