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13_ncr:1_{70F81D9D-94A5-43A8-8FA2-DF4A54141B60}" xr6:coauthVersionLast="47" xr6:coauthVersionMax="47" xr10:uidLastSave="{00000000-0000-0000-0000-000000000000}"/>
  <bookViews>
    <workbookView xWindow="-108" yWindow="-108" windowWidth="23256" windowHeight="12456" activeTab="1" xr2:uid="{251EA0C0-B9A3-42FB-8729-36ED99627C9E}"/>
  </bookViews>
  <sheets>
    <sheet name="Sheet2" sheetId="2" r:id="rId1"/>
    <sheet name="Sheet1" sheetId="1" r:id="rId2"/>
  </sheets>
  <calcPr calcId="18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2" l="1"/>
  <c r="B20" i="2"/>
  <c r="C13" i="2"/>
  <c r="B13" i="2"/>
  <c r="R12" i="2"/>
  <c r="R13" i="2" s="1"/>
  <c r="R15" i="2" s="1"/>
  <c r="Q12" i="2"/>
  <c r="Q13" i="2" s="1"/>
  <c r="P12" i="2"/>
  <c r="P13" i="2" s="1"/>
  <c r="O12" i="2"/>
  <c r="O13" i="2" s="1"/>
  <c r="N12" i="2"/>
  <c r="N13" i="2" s="1"/>
  <c r="N20" i="2" s="1"/>
  <c r="M12" i="2"/>
  <c r="M13" i="2" s="1"/>
  <c r="L12" i="2"/>
  <c r="L13" i="2" s="1"/>
  <c r="K12" i="2"/>
  <c r="K13" i="2" s="1"/>
  <c r="J12" i="2"/>
  <c r="J13" i="2" s="1"/>
  <c r="J20" i="2" s="1"/>
  <c r="I12" i="2"/>
  <c r="I13" i="2" s="1"/>
  <c r="H12" i="2"/>
  <c r="H13" i="2" s="1"/>
  <c r="G12" i="2"/>
  <c r="G13" i="2" s="1"/>
  <c r="F12" i="2"/>
  <c r="F13" i="2" s="1"/>
  <c r="F15" i="2" s="1"/>
  <c r="E12" i="2"/>
  <c r="E13" i="2" s="1"/>
  <c r="D12" i="2"/>
  <c r="D13" i="2" s="1"/>
  <c r="R4" i="2"/>
  <c r="H15" i="2" l="1"/>
  <c r="H16" i="2" s="1"/>
  <c r="H20" i="2"/>
  <c r="I15" i="2"/>
  <c r="I16" i="2" s="1"/>
  <c r="I20" i="2"/>
  <c r="Q20" i="2"/>
  <c r="Q15" i="2"/>
  <c r="Q16" i="2" s="1"/>
  <c r="K20" i="2"/>
  <c r="K15" i="2"/>
  <c r="K16" i="2" s="1"/>
  <c r="B16" i="2"/>
  <c r="B22" i="2" s="1"/>
  <c r="B23" i="2" s="1"/>
  <c r="D20" i="2"/>
  <c r="D15" i="2"/>
  <c r="D16" i="2" s="1"/>
  <c r="L20" i="2"/>
  <c r="L15" i="2"/>
  <c r="L16" i="2" s="1"/>
  <c r="E20" i="2"/>
  <c r="E15" i="2"/>
  <c r="E16" i="2" s="1"/>
  <c r="M20" i="2"/>
  <c r="M15" i="2"/>
  <c r="M16" i="2" s="1"/>
  <c r="G20" i="2"/>
  <c r="G15" i="2"/>
  <c r="G16" i="2" s="1"/>
  <c r="O20" i="2"/>
  <c r="O15" i="2"/>
  <c r="O16" i="2" s="1"/>
  <c r="P15" i="2"/>
  <c r="P16" i="2" s="1"/>
  <c r="P20" i="2"/>
  <c r="B15" i="2"/>
  <c r="J15" i="2"/>
  <c r="J16" i="2" s="1"/>
  <c r="C15" i="2"/>
  <c r="C16" i="2" s="1"/>
  <c r="C22" i="2" s="1"/>
  <c r="C23" i="2" s="1"/>
  <c r="R16" i="2"/>
  <c r="R20" i="2"/>
  <c r="N15" i="2"/>
  <c r="N16" i="2" s="1"/>
  <c r="F16" i="2"/>
  <c r="F20" i="2"/>
  <c r="R4" i="1"/>
  <c r="O18" i="2" l="1"/>
  <c r="O22" i="2" s="1"/>
  <c r="C25" i="2"/>
  <c r="C27" i="2" s="1"/>
  <c r="J18" i="2"/>
  <c r="J22" i="2" s="1"/>
  <c r="L18" i="2"/>
  <c r="L22" i="2" s="1"/>
  <c r="H18" i="2"/>
  <c r="H22" i="2" s="1"/>
  <c r="G18" i="2"/>
  <c r="G22" i="2" s="1"/>
  <c r="M18" i="2"/>
  <c r="M22" i="2"/>
  <c r="N18" i="2"/>
  <c r="N22" i="2" s="1"/>
  <c r="P18" i="2"/>
  <c r="P22" i="2" s="1"/>
  <c r="R18" i="2"/>
  <c r="R22" i="2" s="1"/>
  <c r="Q18" i="2"/>
  <c r="Q22" i="2" s="1"/>
  <c r="D18" i="2"/>
  <c r="D22" i="2" s="1"/>
  <c r="F18" i="2"/>
  <c r="F22" i="2" s="1"/>
  <c r="K18" i="2"/>
  <c r="K22" i="2" s="1"/>
  <c r="E18" i="2"/>
  <c r="E22" i="2" s="1"/>
  <c r="I18" i="2"/>
  <c r="I22" i="2" s="1"/>
  <c r="B25" i="2"/>
  <c r="C13" i="1"/>
  <c r="B13" i="1"/>
  <c r="C20" i="1"/>
  <c r="B20" i="1"/>
  <c r="E12" i="1"/>
  <c r="E13" i="1" s="1"/>
  <c r="F12" i="1"/>
  <c r="F13" i="1" s="1"/>
  <c r="F15" i="1" s="1"/>
  <c r="F16" i="1" s="1"/>
  <c r="G12" i="1"/>
  <c r="G13" i="1" s="1"/>
  <c r="G15" i="1" s="1"/>
  <c r="G16" i="1" s="1"/>
  <c r="H12" i="1"/>
  <c r="H13" i="1" s="1"/>
  <c r="I12" i="1"/>
  <c r="I13" i="1" s="1"/>
  <c r="J12" i="1"/>
  <c r="J13" i="1" s="1"/>
  <c r="J20" i="1" s="1"/>
  <c r="K12" i="1"/>
  <c r="K13" i="1" s="1"/>
  <c r="K20" i="1" s="1"/>
  <c r="L12" i="1"/>
  <c r="L13" i="1" s="1"/>
  <c r="L20" i="1" s="1"/>
  <c r="M12" i="1"/>
  <c r="M13" i="1" s="1"/>
  <c r="M15" i="1" s="1"/>
  <c r="M16" i="1" s="1"/>
  <c r="N12" i="1"/>
  <c r="N13" i="1" s="1"/>
  <c r="N15" i="1" s="1"/>
  <c r="N16" i="1" s="1"/>
  <c r="O12" i="1"/>
  <c r="O13" i="1" s="1"/>
  <c r="O15" i="1" s="1"/>
  <c r="O16" i="1" s="1"/>
  <c r="P12" i="1"/>
  <c r="P13" i="1" s="1"/>
  <c r="Q12" i="1"/>
  <c r="Q13" i="1" s="1"/>
  <c r="R12" i="1"/>
  <c r="R13" i="1" s="1"/>
  <c r="R20" i="1" s="1"/>
  <c r="D12" i="1"/>
  <c r="D13" i="1" s="1"/>
  <c r="D15" i="1" s="1"/>
  <c r="B27" i="2" l="1"/>
  <c r="F23" i="2"/>
  <c r="F25" i="2" s="1"/>
  <c r="F27" i="2" s="1"/>
  <c r="N23" i="2"/>
  <c r="N25" i="2" s="1"/>
  <c r="N27" i="2" s="1"/>
  <c r="J23" i="2"/>
  <c r="J25" i="2" s="1"/>
  <c r="J27" i="2" s="1"/>
  <c r="L23" i="2"/>
  <c r="L25" i="2" s="1"/>
  <c r="L27" i="2" s="1"/>
  <c r="D23" i="2"/>
  <c r="D25" i="2" s="1"/>
  <c r="I23" i="2"/>
  <c r="I25" i="2" s="1"/>
  <c r="I27" i="2" s="1"/>
  <c r="O23" i="2"/>
  <c r="O25" i="2" s="1"/>
  <c r="O27" i="2" s="1"/>
  <c r="E23" i="2"/>
  <c r="E25" i="2" s="1"/>
  <c r="E27" i="2" s="1"/>
  <c r="Q23" i="2"/>
  <c r="Q25" i="2" s="1"/>
  <c r="Q27" i="2" s="1"/>
  <c r="M23" i="2"/>
  <c r="M25" i="2" s="1"/>
  <c r="M27" i="2" s="1"/>
  <c r="R23" i="2"/>
  <c r="R25" i="2" s="1"/>
  <c r="R27" i="2" s="1"/>
  <c r="G23" i="2"/>
  <c r="G25" i="2" s="1"/>
  <c r="G27" i="2" s="1"/>
  <c r="K23" i="2"/>
  <c r="K25" i="2" s="1"/>
  <c r="K27" i="2" s="1"/>
  <c r="P25" i="2"/>
  <c r="P27" i="2" s="1"/>
  <c r="P23" i="2"/>
  <c r="H23" i="2"/>
  <c r="H25" i="2" s="1"/>
  <c r="H27" i="2" s="1"/>
  <c r="L15" i="1"/>
  <c r="E15" i="1"/>
  <c r="E16" i="1" s="1"/>
  <c r="I15" i="1"/>
  <c r="I16" i="1" s="1"/>
  <c r="B15" i="1"/>
  <c r="B16" i="1" s="1"/>
  <c r="B22" i="1" s="1"/>
  <c r="B23" i="1" s="1"/>
  <c r="K15" i="1"/>
  <c r="K16" i="1" s="1"/>
  <c r="C15" i="1"/>
  <c r="C16" i="1" s="1"/>
  <c r="C22" i="1" s="1"/>
  <c r="C23" i="1" s="1"/>
  <c r="L16" i="1"/>
  <c r="D16" i="1"/>
  <c r="R15" i="1"/>
  <c r="J15" i="1"/>
  <c r="Q15" i="1"/>
  <c r="Q16" i="1" s="1"/>
  <c r="R16" i="1"/>
  <c r="J16" i="1"/>
  <c r="P15" i="1"/>
  <c r="P16" i="1" s="1"/>
  <c r="H15" i="1"/>
  <c r="H16" i="1" s="1"/>
  <c r="D20" i="1"/>
  <c r="N20" i="1"/>
  <c r="E20" i="1"/>
  <c r="O20" i="1"/>
  <c r="Q20" i="1"/>
  <c r="M20" i="1"/>
  <c r="I20" i="1"/>
  <c r="P20" i="1"/>
  <c r="H20" i="1"/>
  <c r="G20" i="1"/>
  <c r="F20" i="1"/>
  <c r="D27" i="2" l="1"/>
  <c r="B28" i="2" s="1"/>
  <c r="B26" i="2"/>
  <c r="B29" i="2"/>
  <c r="B25" i="1"/>
  <c r="C25" i="1"/>
  <c r="C27" i="1" s="1"/>
  <c r="D18" i="1"/>
  <c r="D22" i="1" s="1"/>
  <c r="D23" i="1" s="1"/>
  <c r="E18" i="1"/>
  <c r="E22" i="1" s="1"/>
  <c r="F18" i="1"/>
  <c r="F22" i="1" s="1"/>
  <c r="G18" i="1"/>
  <c r="G22" i="1" s="1"/>
  <c r="H18" i="1"/>
  <c r="H22" i="1" s="1"/>
  <c r="I18" i="1"/>
  <c r="I22" i="1" s="1"/>
  <c r="J18" i="1"/>
  <c r="J22" i="1" s="1"/>
  <c r="K18" i="1"/>
  <c r="K22" i="1" s="1"/>
  <c r="L18" i="1"/>
  <c r="L22" i="1" s="1"/>
  <c r="M18" i="1"/>
  <c r="M22" i="1" s="1"/>
  <c r="N18" i="1"/>
  <c r="N22" i="1" s="1"/>
  <c r="O18" i="1"/>
  <c r="O22" i="1" s="1"/>
  <c r="P18" i="1"/>
  <c r="P22" i="1" s="1"/>
  <c r="Q18" i="1"/>
  <c r="Q22" i="1" s="1"/>
  <c r="R18" i="1"/>
  <c r="R22" i="1" s="1"/>
  <c r="O23" i="1" l="1"/>
  <c r="O25" i="1" s="1"/>
  <c r="O27" i="1" s="1"/>
  <c r="Q23" i="1"/>
  <c r="Q25" i="1" s="1"/>
  <c r="Q27" i="1" s="1"/>
  <c r="P23" i="1"/>
  <c r="P25" i="1" s="1"/>
  <c r="P27" i="1" s="1"/>
  <c r="N23" i="1"/>
  <c r="N25" i="1" s="1"/>
  <c r="N27" i="1" s="1"/>
  <c r="M23" i="1"/>
  <c r="M25" i="1" s="1"/>
  <c r="M27" i="1" s="1"/>
  <c r="E23" i="1"/>
  <c r="E25" i="1" s="1"/>
  <c r="E27" i="1" s="1"/>
  <c r="I23" i="1"/>
  <c r="I25" i="1" s="1"/>
  <c r="I27" i="1" s="1"/>
  <c r="L23" i="1"/>
  <c r="L25" i="1" s="1"/>
  <c r="L27" i="1" s="1"/>
  <c r="B27" i="1"/>
  <c r="D25" i="1"/>
  <c r="R23" i="1"/>
  <c r="R25" i="1" s="1"/>
  <c r="R27" i="1" s="1"/>
  <c r="G23" i="1"/>
  <c r="G25" i="1" s="1"/>
  <c r="G27" i="1" s="1"/>
  <c r="H23" i="1"/>
  <c r="H25" i="1" s="1"/>
  <c r="H27" i="1" s="1"/>
  <c r="F23" i="1"/>
  <c r="F25" i="1" s="1"/>
  <c r="F27" i="1" s="1"/>
  <c r="K23" i="1"/>
  <c r="K25" i="1" s="1"/>
  <c r="K27" i="1" s="1"/>
  <c r="J23" i="1"/>
  <c r="J25" i="1" s="1"/>
  <c r="J27" i="1" s="1"/>
  <c r="D27" i="1" l="1"/>
  <c r="B28" i="1" s="1"/>
  <c r="B29" i="1"/>
  <c r="B26" i="1"/>
</calcChain>
</file>

<file path=xl/sharedStrings.xml><?xml version="1.0" encoding="utf-8"?>
<sst xmlns="http://schemas.openxmlformats.org/spreadsheetml/2006/main" count="78" uniqueCount="40">
  <si>
    <t>Royalty</t>
  </si>
  <si>
    <t>Income-Tax</t>
  </si>
  <si>
    <t>Operating expense rate</t>
  </si>
  <si>
    <t>Oil Price($ PER BARREL)</t>
  </si>
  <si>
    <t>Gross Revenue($M)</t>
  </si>
  <si>
    <t>Royalty($M)</t>
  </si>
  <si>
    <t>Net revenue($M)</t>
  </si>
  <si>
    <t>Intengible Capital Exp.($M)</t>
  </si>
  <si>
    <t>Tangible Capital Exp.($M)</t>
  </si>
  <si>
    <t>Operating Expense($M)</t>
  </si>
  <si>
    <t>Taxable Income($M)</t>
  </si>
  <si>
    <t>Income Tax($M)</t>
  </si>
  <si>
    <t>Net cash flow($M)</t>
  </si>
  <si>
    <t>Net cash flow Accumulated($M)</t>
  </si>
  <si>
    <t>Best case scenario</t>
  </si>
  <si>
    <t>Oil Production(BOPD)</t>
  </si>
  <si>
    <t>Year 5</t>
  </si>
  <si>
    <t>Year 4</t>
  </si>
  <si>
    <t>Year 3</t>
  </si>
  <si>
    <t>Year 2</t>
  </si>
  <si>
    <t>Year 1</t>
  </si>
  <si>
    <t>Year 6</t>
  </si>
  <si>
    <t>Year 7</t>
  </si>
  <si>
    <t xml:space="preserve">Year 8 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</si>
  <si>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</si>
  <si>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</si>
  <si>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</si>
  <si>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</si>
  <si>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</si>
  <si>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</si>
  <si>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</si>
  <si>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</si>
  <si>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Year17</t>
  </si>
  <si>
    <t>Discount Factor</t>
  </si>
  <si>
    <t>Denominator for NPV</t>
  </si>
  <si>
    <t>IRR(Internal Rate Of Return)</t>
  </si>
  <si>
    <t>Worst case scenario</t>
  </si>
  <si>
    <t>Oil Production(MBBLS/yr)</t>
  </si>
  <si>
    <t>Discounted Cash Flows($M)</t>
  </si>
  <si>
    <t>NPV(Net Present Value)($M)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</si>
</sst>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0.0%"/>
    <numFmt numFmtId="166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medium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3743705557422"/>
      </right>
      <top style="thin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indexed="64"/>
      </right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indexed="64"/>
      </right>
      <top style="medium">
        <color theme="0" tint="-0.14993743705557422"/>
      </top>
      <bottom style="medium">
        <color theme="0" tint="-0.14993743705557422"/>
      </bottom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indexed="64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indexed="64"/>
      </left>
      <right style="medium">
        <color theme="0" tint="-0.14993743705557422"/>
      </right>
      <top style="medium">
        <color theme="0" tint="-0.14993743705557422"/>
      </top>
      <bottom style="medium">
        <color indexed="64"/>
      </bottom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3743705557422"/>
      </top>
      <bottom style="medium">
        <color indexed="64"/>
      </bottom>
      <diagonal/>
    </border>
    <border>
      <left style="medium">
        <color theme="0" tint="-0.14993743705557422"/>
      </left>
      <right style="medium">
        <color indexed="64"/>
      </right>
      <top style="medium">
        <color theme="0" tint="-0.14993743705557422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 applyFill="1"/>
    <xf numFmtId="0" fontId="2" fillId="0" borderId="4" xfId="0" applyFont="1" applyBorder="1"/>
    <xf numFmtId="165" fontId="2" fillId="0" borderId="6" xfId="1" applyNumberFormat="1" applyFont="1" applyBorder="1"/>
    <xf numFmtId="0" fontId="0" fillId="0" borderId="6" xfId="0" applyBorder="1"/>
    <xf numFmtId="0" fontId="2" fillId="0" borderId="7" xfId="0" applyFont="1" applyBorder="1"/>
    <xf numFmtId="9" fontId="2" fillId="0" borderId="0" xfId="1" applyFont="1" applyBorder="1"/>
    <xf numFmtId="0" fontId="0" fillId="0" borderId="0" xfId="0" applyBorder="1"/>
    <xf numFmtId="0" fontId="0" fillId="0" borderId="8" xfId="0" applyBorder="1"/>
    <xf numFmtId="0" fontId="2" fillId="0" borderId="6" xfId="0" applyFont="1" applyBorder="1"/>
    <xf numFmtId="0" fontId="2" fillId="0" borderId="0" xfId="0" applyFont="1" applyBorder="1"/>
    <xf numFmtId="10" fontId="2" fillId="0" borderId="6" xfId="0" applyNumberFormat="1" applyFont="1" applyBorder="1"/>
    <xf numFmtId="9" fontId="2" fillId="0" borderId="0" xfId="0" applyNumberFormat="1" applyFont="1" applyBorder="1"/>
    <xf numFmtId="0" fontId="3" fillId="0" borderId="0" xfId="0" applyFont="1" applyFill="1" applyBorder="1"/>
    <xf numFmtId="2" fontId="0" fillId="0" borderId="5" xfId="0" applyNumberFormat="1" applyBorder="1"/>
    <xf numFmtId="0" fontId="3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164" fontId="4" fillId="4" borderId="16" xfId="0" applyNumberFormat="1" applyFont="1" applyFill="1" applyBorder="1" applyAlignment="1">
      <alignment horizontal="left"/>
    </xf>
    <xf numFmtId="164" fontId="4" fillId="2" borderId="7" xfId="0" applyNumberFormat="1" applyFont="1" applyFill="1" applyBorder="1" applyAlignment="1">
      <alignment horizontal="left"/>
    </xf>
    <xf numFmtId="164" fontId="4" fillId="3" borderId="7" xfId="0" applyNumberFormat="1" applyFont="1" applyFill="1" applyBorder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164" fontId="4" fillId="4" borderId="9" xfId="0" applyNumberFormat="1" applyFont="1" applyFill="1" applyBorder="1" applyAlignment="1">
      <alignment horizontal="left"/>
    </xf>
    <xf numFmtId="164" fontId="4" fillId="4" borderId="7" xfId="0" applyNumberFormat="1" applyFont="1" applyFill="1" applyBorder="1" applyAlignment="1">
      <alignment horizontal="left"/>
    </xf>
    <xf numFmtId="44" fontId="3" fillId="2" borderId="17" xfId="0" applyNumberFormat="1" applyFont="1" applyFill="1" applyBorder="1"/>
    <xf numFmtId="164" fontId="3" fillId="2" borderId="23" xfId="0" applyNumberFormat="1" applyFont="1" applyFill="1" applyBorder="1"/>
    <xf numFmtId="164" fontId="3" fillId="2" borderId="24" xfId="0" applyNumberFormat="1" applyFont="1" applyFill="1" applyBorder="1"/>
    <xf numFmtId="164" fontId="3" fillId="2" borderId="25" xfId="0" applyNumberFormat="1" applyFont="1" applyFill="1" applyBorder="1"/>
    <xf numFmtId="164" fontId="3" fillId="2" borderId="26" xfId="0" applyNumberFormat="1" applyFont="1" applyFill="1" applyBorder="1"/>
    <xf numFmtId="44" fontId="3" fillId="2" borderId="26" xfId="0" applyNumberFormat="1" applyFont="1" applyFill="1" applyBorder="1"/>
    <xf numFmtId="44" fontId="3" fillId="2" borderId="24" xfId="0" applyNumberFormat="1" applyFont="1" applyFill="1" applyBorder="1"/>
    <xf numFmtId="44" fontId="3" fillId="2" borderId="25" xfId="0" applyNumberFormat="1" applyFont="1" applyFill="1" applyBorder="1"/>
    <xf numFmtId="164" fontId="0" fillId="0" borderId="12" xfId="0" applyNumberFormat="1" applyFont="1" applyBorder="1"/>
    <xf numFmtId="164" fontId="0" fillId="0" borderId="13" xfId="0" applyNumberFormat="1" applyFont="1" applyBorder="1"/>
    <xf numFmtId="164" fontId="0" fillId="0" borderId="8" xfId="0" applyNumberFormat="1" applyFont="1" applyBorder="1"/>
    <xf numFmtId="0" fontId="5" fillId="2" borderId="10" xfId="0" applyFont="1" applyFill="1" applyBorder="1"/>
    <xf numFmtId="2" fontId="0" fillId="0" borderId="10" xfId="0" applyNumberFormat="1" applyFont="1" applyBorder="1"/>
    <xf numFmtId="2" fontId="0" fillId="0" borderId="11" xfId="0" applyNumberFormat="1" applyFont="1" applyBorder="1"/>
    <xf numFmtId="2" fontId="0" fillId="0" borderId="8" xfId="0" applyNumberFormat="1" applyFont="1" applyFill="1" applyBorder="1"/>
    <xf numFmtId="0" fontId="5" fillId="2" borderId="14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8" xfId="0" applyFont="1" applyBorder="1"/>
    <xf numFmtId="164" fontId="5" fillId="2" borderId="12" xfId="0" applyNumberFormat="1" applyFont="1" applyFill="1" applyBorder="1"/>
    <xf numFmtId="164" fontId="5" fillId="2" borderId="20" xfId="0" applyNumberFormat="1" applyFont="1" applyFill="1" applyBorder="1"/>
    <xf numFmtId="164" fontId="5" fillId="2" borderId="21" xfId="0" applyNumberFormat="1" applyFont="1" applyFill="1" applyBorder="1"/>
    <xf numFmtId="164" fontId="5" fillId="2" borderId="22" xfId="0" applyNumberFormat="1" applyFont="1" applyFill="1" applyBorder="1"/>
    <xf numFmtId="164" fontId="5" fillId="2" borderId="24" xfId="0" applyNumberFormat="1" applyFont="1" applyFill="1" applyBorder="1"/>
    <xf numFmtId="164" fontId="5" fillId="2" borderId="25" xfId="0" applyNumberFormat="1" applyFont="1" applyFill="1" applyBorder="1"/>
    <xf numFmtId="164" fontId="5" fillId="2" borderId="26" xfId="0" applyNumberFormat="1" applyFont="1" applyFill="1" applyBorder="1"/>
    <xf numFmtId="164" fontId="0" fillId="0" borderId="24" xfId="0" applyNumberFormat="1" applyFont="1" applyBorder="1"/>
    <xf numFmtId="164" fontId="0" fillId="0" borderId="25" xfId="0" applyNumberFormat="1" applyFont="1" applyBorder="1"/>
    <xf numFmtId="44" fontId="5" fillId="2" borderId="26" xfId="0" applyNumberFormat="1" applyFont="1" applyFill="1" applyBorder="1"/>
    <xf numFmtId="44" fontId="5" fillId="2" borderId="24" xfId="0" applyNumberFormat="1" applyFont="1" applyFill="1" applyBorder="1"/>
    <xf numFmtId="44" fontId="5" fillId="2" borderId="25" xfId="0" applyNumberFormat="1" applyFont="1" applyFill="1" applyBorder="1"/>
    <xf numFmtId="166" fontId="0" fillId="0" borderId="23" xfId="0" applyNumberFormat="1" applyFont="1" applyBorder="1"/>
    <xf numFmtId="166" fontId="0" fillId="0" borderId="24" xfId="0" applyNumberFormat="1" applyFont="1" applyBorder="1"/>
    <xf numFmtId="166" fontId="0" fillId="0" borderId="25" xfId="0" applyNumberFormat="1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9" xfId="0" applyFont="1" applyBorder="1"/>
    <xf numFmtId="0" fontId="0" fillId="0" borderId="30" xfId="0" applyFont="1" applyBorder="1"/>
    <xf numFmtId="166" fontId="3" fillId="5" borderId="27" xfId="0" applyNumberFormat="1" applyFont="1" applyFill="1" applyBorder="1"/>
    <xf numFmtId="9" fontId="3" fillId="5" borderId="28" xfId="0" applyNumberFormat="1" applyFont="1" applyFill="1" applyBorder="1"/>
    <xf numFmtId="44" fontId="3" fillId="0" borderId="17" xfId="0" applyNumberFormat="1" applyFont="1" applyBorder="1"/>
    <xf numFmtId="44" fontId="3" fillId="0" borderId="18" xfId="0" applyNumberFormat="1" applyFont="1" applyBorder="1"/>
    <xf numFmtId="44" fontId="3" fillId="0" borderId="19" xfId="0" applyNumberFormat="1" applyFont="1" applyBorder="1"/>
    <xf numFmtId="44" fontId="5" fillId="2" borderId="12" xfId="0" applyNumberFormat="1" applyFont="1" applyFill="1" applyBorder="1"/>
    <xf numFmtId="0" fontId="6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2F78-E83E-4891-8940-CFF242B85599}">
  <dimension ref="A1:R29"/>
  <sheetViews>
    <sheetView topLeftCell="A5" zoomScaleNormal="100" workbookViewId="0">
      <selection activeCell="B25" sqref="B25:C25"/>
    </sheetView>
  </sheetViews>
  <sheetFormatPr defaultRowHeight="14.4" x14ac:dyDescent="0.3"/>
  <cols>
    <col min="1" max="1" width="28.77734375" customWidth="1"/>
    <col min="2" max="18" width="12.77734375" customWidth="1"/>
  </cols>
  <sheetData>
    <row r="1" spans="1:18" ht="28.8" x14ac:dyDescent="0.55000000000000004">
      <c r="E1" s="69" t="s">
        <v>36</v>
      </c>
      <c r="F1" s="70"/>
      <c r="G1" s="70"/>
      <c r="H1" s="70"/>
      <c r="I1" s="70"/>
      <c r="J1" s="70"/>
    </row>
    <row r="2" spans="1:18" x14ac:dyDescent="0.3">
      <c r="E2" s="71"/>
      <c r="F2" s="71"/>
      <c r="G2" s="71"/>
      <c r="H2" s="71"/>
      <c r="I2" s="71"/>
      <c r="J2" s="71"/>
    </row>
    <row r="3" spans="1:18" ht="15" thickBot="1" x14ac:dyDescent="0.35"/>
    <row r="4" spans="1:18" x14ac:dyDescent="0.3">
      <c r="A4" s="2" t="s">
        <v>0</v>
      </c>
      <c r="B4" s="11">
        <v>0.125</v>
      </c>
      <c r="C4" s="9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 t="s">
        <v>34</v>
      </c>
      <c r="R4" s="14">
        <f>(1+$B$7)</f>
        <v>1.06</v>
      </c>
    </row>
    <row r="5" spans="1:18" x14ac:dyDescent="0.3">
      <c r="A5" s="5" t="s">
        <v>1</v>
      </c>
      <c r="B5" s="12">
        <v>0.3</v>
      </c>
      <c r="C5" s="10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</row>
    <row r="6" spans="1:18" x14ac:dyDescent="0.3">
      <c r="A6" s="5" t="s">
        <v>2</v>
      </c>
      <c r="B6" s="12">
        <v>0.25</v>
      </c>
      <c r="C6" s="10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</row>
    <row r="7" spans="1:18" x14ac:dyDescent="0.3">
      <c r="A7" s="5" t="s">
        <v>33</v>
      </c>
      <c r="B7" s="12">
        <v>0.06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</row>
    <row r="8" spans="1:18" ht="15" thickBot="1" x14ac:dyDescent="0.35">
      <c r="A8" s="5"/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</row>
    <row r="9" spans="1:18" ht="15" thickBot="1" x14ac:dyDescent="0.35">
      <c r="A9" s="15"/>
      <c r="B9" s="16" t="s">
        <v>20</v>
      </c>
      <c r="C9" s="16" t="s">
        <v>19</v>
      </c>
      <c r="D9" s="16" t="s">
        <v>18</v>
      </c>
      <c r="E9" s="16" t="s">
        <v>17</v>
      </c>
      <c r="F9" s="16" t="s">
        <v>16</v>
      </c>
      <c r="G9" s="16" t="s">
        <v>21</v>
      </c>
      <c r="H9" s="16" t="s">
        <v>22</v>
      </c>
      <c r="I9" s="16" t="s">
        <v>23</v>
      </c>
      <c r="J9" s="16" t="s">
        <v>24</v>
      </c>
      <c r="K9" s="16" t="s">
        <v>25</v>
      </c>
      <c r="L9" s="16" t="s">
        <v>26</v>
      </c>
      <c r="M9" s="16" t="s">
        <v>27</v>
      </c>
      <c r="N9" s="16" t="s">
        <v>28</v>
      </c>
      <c r="O9" s="16" t="s">
        <v>29</v>
      </c>
      <c r="P9" s="16" t="s">
        <v>30</v>
      </c>
      <c r="Q9" s="16" t="s">
        <v>31</v>
      </c>
      <c r="R9" s="17" t="s">
        <v>32</v>
      </c>
    </row>
    <row r="10" spans="1:18" x14ac:dyDescent="0.3">
      <c r="A10" s="18" t="s">
        <v>3</v>
      </c>
      <c r="B10" s="68">
        <v>75</v>
      </c>
      <c r="C10" s="68">
        <v>75</v>
      </c>
      <c r="D10" s="33">
        <v>75</v>
      </c>
      <c r="E10" s="33">
        <v>75</v>
      </c>
      <c r="F10" s="33">
        <v>75</v>
      </c>
      <c r="G10" s="33">
        <v>75</v>
      </c>
      <c r="H10" s="33">
        <v>75</v>
      </c>
      <c r="I10" s="33">
        <v>85</v>
      </c>
      <c r="J10" s="33">
        <v>85</v>
      </c>
      <c r="K10" s="33">
        <v>85</v>
      </c>
      <c r="L10" s="33">
        <v>85</v>
      </c>
      <c r="M10" s="33">
        <v>85</v>
      </c>
      <c r="N10" s="33">
        <v>85</v>
      </c>
      <c r="O10" s="33">
        <v>85</v>
      </c>
      <c r="P10" s="33">
        <v>85</v>
      </c>
      <c r="Q10" s="34">
        <v>85</v>
      </c>
      <c r="R10" s="35">
        <v>85</v>
      </c>
    </row>
    <row r="11" spans="1:18" x14ac:dyDescent="0.3">
      <c r="A11" s="18" t="s">
        <v>15</v>
      </c>
      <c r="B11" s="36">
        <v>0</v>
      </c>
      <c r="C11" s="36">
        <v>0</v>
      </c>
      <c r="D11" s="37">
        <v>1519</v>
      </c>
      <c r="E11" s="37">
        <v>1415</v>
      </c>
      <c r="F11" s="37">
        <v>1332</v>
      </c>
      <c r="G11" s="37">
        <v>1254</v>
      </c>
      <c r="H11" s="37">
        <v>1205</v>
      </c>
      <c r="I11" s="37">
        <v>1146</v>
      </c>
      <c r="J11" s="37">
        <v>1101</v>
      </c>
      <c r="K11" s="37">
        <v>1057</v>
      </c>
      <c r="L11" s="37">
        <v>1016</v>
      </c>
      <c r="M11" s="37">
        <v>966</v>
      </c>
      <c r="N11" s="37">
        <v>928</v>
      </c>
      <c r="O11" s="37">
        <v>882</v>
      </c>
      <c r="P11" s="37">
        <v>839</v>
      </c>
      <c r="Q11" s="38">
        <v>782</v>
      </c>
      <c r="R11" s="39">
        <v>722</v>
      </c>
    </row>
    <row r="12" spans="1:18" ht="15" thickBot="1" x14ac:dyDescent="0.35">
      <c r="A12" s="18" t="s">
        <v>37</v>
      </c>
      <c r="B12" s="40">
        <v>0</v>
      </c>
      <c r="C12" s="40">
        <v>0</v>
      </c>
      <c r="D12" s="41">
        <f>D11*365/100000</f>
        <v>5.5443499999999997</v>
      </c>
      <c r="E12" s="41">
        <f t="shared" ref="E12:R12" si="0">E11*365/100000</f>
        <v>5.1647499999999997</v>
      </c>
      <c r="F12" s="41">
        <f t="shared" si="0"/>
        <v>4.8617999999999997</v>
      </c>
      <c r="G12" s="41">
        <f t="shared" si="0"/>
        <v>4.5770999999999997</v>
      </c>
      <c r="H12" s="41">
        <f t="shared" si="0"/>
        <v>4.39825</v>
      </c>
      <c r="I12" s="41">
        <f t="shared" si="0"/>
        <v>4.1829000000000001</v>
      </c>
      <c r="J12" s="41">
        <f t="shared" si="0"/>
        <v>4.0186500000000001</v>
      </c>
      <c r="K12" s="41">
        <f t="shared" si="0"/>
        <v>3.85805</v>
      </c>
      <c r="L12" s="41">
        <f t="shared" si="0"/>
        <v>3.7084000000000001</v>
      </c>
      <c r="M12" s="41">
        <f t="shared" si="0"/>
        <v>3.5259</v>
      </c>
      <c r="N12" s="41">
        <f t="shared" si="0"/>
        <v>3.3872</v>
      </c>
      <c r="O12" s="41">
        <f t="shared" si="0"/>
        <v>3.2193000000000001</v>
      </c>
      <c r="P12" s="41">
        <f t="shared" si="0"/>
        <v>3.0623499999999999</v>
      </c>
      <c r="Q12" s="42">
        <f t="shared" si="0"/>
        <v>2.8542999999999998</v>
      </c>
      <c r="R12" s="43">
        <f t="shared" si="0"/>
        <v>2.6353</v>
      </c>
    </row>
    <row r="13" spans="1:18" ht="15" thickBot="1" x14ac:dyDescent="0.35">
      <c r="A13" s="19" t="s">
        <v>4</v>
      </c>
      <c r="B13" s="25">
        <f>B12*B10</f>
        <v>0</v>
      </c>
      <c r="C13" s="25">
        <f>C12*C10</f>
        <v>0</v>
      </c>
      <c r="D13" s="65">
        <f>D12*D10</f>
        <v>415.82624999999996</v>
      </c>
      <c r="E13" s="65">
        <f t="shared" ref="E13:R13" si="1">E12*E10</f>
        <v>387.35624999999999</v>
      </c>
      <c r="F13" s="65">
        <f t="shared" si="1"/>
        <v>364.63499999999999</v>
      </c>
      <c r="G13" s="65">
        <f t="shared" si="1"/>
        <v>343.28249999999997</v>
      </c>
      <c r="H13" s="65">
        <f t="shared" si="1"/>
        <v>329.86874999999998</v>
      </c>
      <c r="I13" s="65">
        <f t="shared" si="1"/>
        <v>355.54649999999998</v>
      </c>
      <c r="J13" s="65">
        <f t="shared" si="1"/>
        <v>341.58525000000003</v>
      </c>
      <c r="K13" s="65">
        <f t="shared" si="1"/>
        <v>327.93425000000002</v>
      </c>
      <c r="L13" s="65">
        <f t="shared" si="1"/>
        <v>315.214</v>
      </c>
      <c r="M13" s="65">
        <f t="shared" si="1"/>
        <v>299.70150000000001</v>
      </c>
      <c r="N13" s="65">
        <f t="shared" si="1"/>
        <v>287.91199999999998</v>
      </c>
      <c r="O13" s="65">
        <f t="shared" si="1"/>
        <v>273.64050000000003</v>
      </c>
      <c r="P13" s="65">
        <f t="shared" si="1"/>
        <v>260.29975000000002</v>
      </c>
      <c r="Q13" s="66">
        <f t="shared" si="1"/>
        <v>242.6155</v>
      </c>
      <c r="R13" s="67">
        <f t="shared" si="1"/>
        <v>224.00049999999999</v>
      </c>
    </row>
    <row r="14" spans="1:18" x14ac:dyDescent="0.3">
      <c r="A14" s="20"/>
      <c r="B14" s="44"/>
      <c r="C14" s="4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  <c r="R14" s="35"/>
    </row>
    <row r="15" spans="1:18" ht="15" thickBot="1" x14ac:dyDescent="0.35">
      <c r="A15" s="21" t="s">
        <v>5</v>
      </c>
      <c r="B15" s="45">
        <f>B13*$B$4</f>
        <v>0</v>
      </c>
      <c r="C15" s="46">
        <f t="shared" ref="C15:R15" si="2">C13*$B$4</f>
        <v>0</v>
      </c>
      <c r="D15" s="46">
        <f t="shared" si="2"/>
        <v>51.978281249999995</v>
      </c>
      <c r="E15" s="46">
        <f t="shared" si="2"/>
        <v>48.419531249999999</v>
      </c>
      <c r="F15" s="46">
        <f t="shared" si="2"/>
        <v>45.579374999999999</v>
      </c>
      <c r="G15" s="46">
        <f t="shared" si="2"/>
        <v>42.910312499999996</v>
      </c>
      <c r="H15" s="46">
        <f t="shared" si="2"/>
        <v>41.233593749999997</v>
      </c>
      <c r="I15" s="46">
        <f t="shared" si="2"/>
        <v>44.443312499999998</v>
      </c>
      <c r="J15" s="46">
        <f t="shared" si="2"/>
        <v>42.698156250000004</v>
      </c>
      <c r="K15" s="46">
        <f t="shared" si="2"/>
        <v>40.991781250000003</v>
      </c>
      <c r="L15" s="46">
        <f t="shared" si="2"/>
        <v>39.40175</v>
      </c>
      <c r="M15" s="46">
        <f t="shared" si="2"/>
        <v>37.462687500000001</v>
      </c>
      <c r="N15" s="46">
        <f t="shared" si="2"/>
        <v>35.988999999999997</v>
      </c>
      <c r="O15" s="46">
        <f t="shared" si="2"/>
        <v>34.205062500000004</v>
      </c>
      <c r="P15" s="46">
        <f t="shared" si="2"/>
        <v>32.537468750000002</v>
      </c>
      <c r="Q15" s="46">
        <f t="shared" si="2"/>
        <v>30.3269375</v>
      </c>
      <c r="R15" s="47">
        <f t="shared" si="2"/>
        <v>28.000062499999999</v>
      </c>
    </row>
    <row r="16" spans="1:18" ht="15" thickBot="1" x14ac:dyDescent="0.35">
      <c r="A16" s="22" t="s">
        <v>6</v>
      </c>
      <c r="B16" s="26">
        <f>B13-B15</f>
        <v>0</v>
      </c>
      <c r="C16" s="27">
        <f t="shared" ref="C16:R16" si="3">C13-C15</f>
        <v>0</v>
      </c>
      <c r="D16" s="27">
        <f t="shared" si="3"/>
        <v>363.84796874999995</v>
      </c>
      <c r="E16" s="27">
        <f t="shared" si="3"/>
        <v>338.93671875000001</v>
      </c>
      <c r="F16" s="27">
        <f t="shared" si="3"/>
        <v>319.05562499999996</v>
      </c>
      <c r="G16" s="27">
        <f t="shared" si="3"/>
        <v>300.3721875</v>
      </c>
      <c r="H16" s="27">
        <f t="shared" si="3"/>
        <v>288.63515624999997</v>
      </c>
      <c r="I16" s="27">
        <f t="shared" si="3"/>
        <v>311.10318749999999</v>
      </c>
      <c r="J16" s="27">
        <f t="shared" si="3"/>
        <v>298.88709375000002</v>
      </c>
      <c r="K16" s="27">
        <f t="shared" si="3"/>
        <v>286.94246874999999</v>
      </c>
      <c r="L16" s="27">
        <f t="shared" si="3"/>
        <v>275.81225000000001</v>
      </c>
      <c r="M16" s="27">
        <f t="shared" si="3"/>
        <v>262.23881249999999</v>
      </c>
      <c r="N16" s="27">
        <f t="shared" si="3"/>
        <v>251.92299999999997</v>
      </c>
      <c r="O16" s="27">
        <f t="shared" si="3"/>
        <v>239.43543750000003</v>
      </c>
      <c r="P16" s="27">
        <f t="shared" si="3"/>
        <v>227.76228125</v>
      </c>
      <c r="Q16" s="27">
        <f t="shared" si="3"/>
        <v>212.28856250000001</v>
      </c>
      <c r="R16" s="28">
        <f t="shared" si="3"/>
        <v>196.00043749999998</v>
      </c>
    </row>
    <row r="17" spans="1:18" ht="15" thickBot="1" x14ac:dyDescent="0.35">
      <c r="A17" s="20"/>
      <c r="B17" s="50"/>
      <c r="C17" s="48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2"/>
    </row>
    <row r="18" spans="1:18" ht="15" thickBot="1" x14ac:dyDescent="0.35">
      <c r="A18" s="21" t="s">
        <v>7</v>
      </c>
      <c r="B18" s="50">
        <v>47</v>
      </c>
      <c r="C18" s="48">
        <v>47</v>
      </c>
      <c r="D18" s="51">
        <f>D16*0.1</f>
        <v>36.384796874999999</v>
      </c>
      <c r="E18" s="51">
        <f t="shared" ref="E18:R18" si="4">E16*0.1</f>
        <v>33.893671875000003</v>
      </c>
      <c r="F18" s="51">
        <f t="shared" si="4"/>
        <v>31.905562499999998</v>
      </c>
      <c r="G18" s="51">
        <f t="shared" si="4"/>
        <v>30.037218750000001</v>
      </c>
      <c r="H18" s="51">
        <f t="shared" si="4"/>
        <v>28.863515624999998</v>
      </c>
      <c r="I18" s="51">
        <f t="shared" si="4"/>
        <v>31.110318750000001</v>
      </c>
      <c r="J18" s="51">
        <f t="shared" si="4"/>
        <v>29.888709375000005</v>
      </c>
      <c r="K18" s="51">
        <f t="shared" si="4"/>
        <v>28.694246875000001</v>
      </c>
      <c r="L18" s="51">
        <f t="shared" si="4"/>
        <v>27.581225000000003</v>
      </c>
      <c r="M18" s="51">
        <f t="shared" si="4"/>
        <v>26.223881250000002</v>
      </c>
      <c r="N18" s="51">
        <f t="shared" si="4"/>
        <v>25.192299999999999</v>
      </c>
      <c r="O18" s="51">
        <f t="shared" si="4"/>
        <v>23.943543750000003</v>
      </c>
      <c r="P18" s="51">
        <f t="shared" si="4"/>
        <v>22.776228125000003</v>
      </c>
      <c r="Q18" s="51">
        <f t="shared" si="4"/>
        <v>21.228856250000003</v>
      </c>
      <c r="R18" s="52">
        <f t="shared" si="4"/>
        <v>19.600043749999998</v>
      </c>
    </row>
    <row r="19" spans="1:18" ht="15" thickBot="1" x14ac:dyDescent="0.35">
      <c r="A19" s="21" t="s">
        <v>8</v>
      </c>
      <c r="B19" s="50">
        <v>100</v>
      </c>
      <c r="C19" s="48">
        <v>60</v>
      </c>
      <c r="D19" s="51">
        <v>20</v>
      </c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/>
      <c r="P19" s="51"/>
      <c r="Q19" s="51"/>
      <c r="R19" s="52">
        <v>0</v>
      </c>
    </row>
    <row r="20" spans="1:18" ht="15" thickBot="1" x14ac:dyDescent="0.35">
      <c r="A20" s="21" t="s">
        <v>9</v>
      </c>
      <c r="B20" s="50">
        <f>B19*0.2</f>
        <v>20</v>
      </c>
      <c r="C20" s="48">
        <f>C19*0.2</f>
        <v>12</v>
      </c>
      <c r="D20" s="51">
        <f t="shared" ref="D20:R20" si="5">$D$6*D13</f>
        <v>0</v>
      </c>
      <c r="E20" s="51">
        <f t="shared" si="5"/>
        <v>0</v>
      </c>
      <c r="F20" s="51">
        <f t="shared" si="5"/>
        <v>0</v>
      </c>
      <c r="G20" s="51">
        <f t="shared" si="5"/>
        <v>0</v>
      </c>
      <c r="H20" s="51">
        <f t="shared" si="5"/>
        <v>0</v>
      </c>
      <c r="I20" s="51">
        <f t="shared" si="5"/>
        <v>0</v>
      </c>
      <c r="J20" s="51">
        <f t="shared" si="5"/>
        <v>0</v>
      </c>
      <c r="K20" s="51">
        <f t="shared" si="5"/>
        <v>0</v>
      </c>
      <c r="L20" s="51">
        <f t="shared" si="5"/>
        <v>0</v>
      </c>
      <c r="M20" s="51">
        <f t="shared" si="5"/>
        <v>0</v>
      </c>
      <c r="N20" s="51">
        <f t="shared" si="5"/>
        <v>0</v>
      </c>
      <c r="O20" s="51">
        <f t="shared" si="5"/>
        <v>0</v>
      </c>
      <c r="P20" s="51">
        <f t="shared" si="5"/>
        <v>0</v>
      </c>
      <c r="Q20" s="51">
        <f t="shared" si="5"/>
        <v>0</v>
      </c>
      <c r="R20" s="52">
        <f t="shared" si="5"/>
        <v>0</v>
      </c>
    </row>
    <row r="21" spans="1:18" ht="15" thickBot="1" x14ac:dyDescent="0.35">
      <c r="A21" s="20"/>
      <c r="B21" s="50"/>
      <c r="C21" s="48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2"/>
    </row>
    <row r="22" spans="1:18" ht="15" thickBot="1" x14ac:dyDescent="0.35">
      <c r="A22" s="19" t="s">
        <v>10</v>
      </c>
      <c r="B22" s="30">
        <f>B16-B15-B20-B19-B18</f>
        <v>-167</v>
      </c>
      <c r="C22" s="31">
        <f t="shared" ref="C22:R22" si="6">C16-C15-C20-C19-C18</f>
        <v>-119</v>
      </c>
      <c r="D22" s="31">
        <f t="shared" si="6"/>
        <v>255.48489062499993</v>
      </c>
      <c r="E22" s="31">
        <f t="shared" si="6"/>
        <v>256.62351562500004</v>
      </c>
      <c r="F22" s="31">
        <f t="shared" si="6"/>
        <v>241.57068749999993</v>
      </c>
      <c r="G22" s="31">
        <f t="shared" si="6"/>
        <v>227.42465625000003</v>
      </c>
      <c r="H22" s="31">
        <f t="shared" si="6"/>
        <v>218.53804687499996</v>
      </c>
      <c r="I22" s="31">
        <f t="shared" si="6"/>
        <v>235.54955624999999</v>
      </c>
      <c r="J22" s="31">
        <f t="shared" si="6"/>
        <v>226.30022812499999</v>
      </c>
      <c r="K22" s="31">
        <f t="shared" si="6"/>
        <v>217.25644062499998</v>
      </c>
      <c r="L22" s="31">
        <f t="shared" si="6"/>
        <v>208.829275</v>
      </c>
      <c r="M22" s="31">
        <f t="shared" si="6"/>
        <v>198.55224374999997</v>
      </c>
      <c r="N22" s="31">
        <f t="shared" si="6"/>
        <v>190.74169999999998</v>
      </c>
      <c r="O22" s="31">
        <f t="shared" si="6"/>
        <v>181.28683125000003</v>
      </c>
      <c r="P22" s="31">
        <f t="shared" si="6"/>
        <v>172.448584375</v>
      </c>
      <c r="Q22" s="31">
        <f t="shared" si="6"/>
        <v>160.73276875000002</v>
      </c>
      <c r="R22" s="32">
        <f t="shared" si="6"/>
        <v>148.40033124999997</v>
      </c>
    </row>
    <row r="23" spans="1:18" ht="15" thickBot="1" x14ac:dyDescent="0.35">
      <c r="A23" s="21" t="s">
        <v>11</v>
      </c>
      <c r="B23" s="53">
        <f>IF(B22&gt;0,B22*$B$5,0)</f>
        <v>0</v>
      </c>
      <c r="C23" s="53">
        <f>IF(C22&gt;0,C22*$B$5,0)</f>
        <v>0</v>
      </c>
      <c r="D23" s="54">
        <f t="shared" ref="D23:R23" si="7">D22*$B$5</f>
        <v>76.645467187499975</v>
      </c>
      <c r="E23" s="54">
        <f t="shared" si="7"/>
        <v>76.987054687500006</v>
      </c>
      <c r="F23" s="54">
        <f t="shared" si="7"/>
        <v>72.47120624999998</v>
      </c>
      <c r="G23" s="54">
        <f t="shared" si="7"/>
        <v>68.227396875000011</v>
      </c>
      <c r="H23" s="54">
        <f t="shared" si="7"/>
        <v>65.561414062499992</v>
      </c>
      <c r="I23" s="54">
        <f t="shared" si="7"/>
        <v>70.664866875000001</v>
      </c>
      <c r="J23" s="54">
        <f t="shared" si="7"/>
        <v>67.890068437499991</v>
      </c>
      <c r="K23" s="54">
        <f t="shared" si="7"/>
        <v>65.176932187499986</v>
      </c>
      <c r="L23" s="54">
        <f t="shared" si="7"/>
        <v>62.648782499999996</v>
      </c>
      <c r="M23" s="54">
        <f t="shared" si="7"/>
        <v>59.565673124999989</v>
      </c>
      <c r="N23" s="54">
        <f t="shared" si="7"/>
        <v>57.222509999999993</v>
      </c>
      <c r="O23" s="54">
        <f t="shared" si="7"/>
        <v>54.386049375000006</v>
      </c>
      <c r="P23" s="54">
        <f t="shared" si="7"/>
        <v>51.734575312499999</v>
      </c>
      <c r="Q23" s="54">
        <f t="shared" si="7"/>
        <v>48.219830625000007</v>
      </c>
      <c r="R23" s="55">
        <f t="shared" si="7"/>
        <v>44.520099374999987</v>
      </c>
    </row>
    <row r="24" spans="1:18" ht="15" thickBot="1" x14ac:dyDescent="0.35">
      <c r="A24" s="20"/>
      <c r="B24" s="50"/>
      <c r="C24" s="48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2"/>
    </row>
    <row r="25" spans="1:18" ht="15" thickBot="1" x14ac:dyDescent="0.35">
      <c r="A25" s="19" t="s">
        <v>12</v>
      </c>
      <c r="B25" s="53">
        <f>B22-B23</f>
        <v>-167</v>
      </c>
      <c r="C25" s="54">
        <f t="shared" ref="C25:R25" si="8">C22-C23</f>
        <v>-119</v>
      </c>
      <c r="D25" s="48">
        <f t="shared" si="8"/>
        <v>178.83942343749996</v>
      </c>
      <c r="E25" s="48">
        <f t="shared" si="8"/>
        <v>179.63646093750003</v>
      </c>
      <c r="F25" s="48">
        <f t="shared" si="8"/>
        <v>169.09948124999994</v>
      </c>
      <c r="G25" s="48">
        <f t="shared" si="8"/>
        <v>159.19725937500002</v>
      </c>
      <c r="H25" s="48">
        <f t="shared" si="8"/>
        <v>152.97663281249999</v>
      </c>
      <c r="I25" s="48">
        <f t="shared" si="8"/>
        <v>164.88468937499999</v>
      </c>
      <c r="J25" s="48">
        <f t="shared" si="8"/>
        <v>158.4101596875</v>
      </c>
      <c r="K25" s="48">
        <f t="shared" si="8"/>
        <v>152.07950843750001</v>
      </c>
      <c r="L25" s="48">
        <f t="shared" si="8"/>
        <v>146.18049250000001</v>
      </c>
      <c r="M25" s="48">
        <f t="shared" si="8"/>
        <v>138.98657062499998</v>
      </c>
      <c r="N25" s="48">
        <f t="shared" si="8"/>
        <v>133.51918999999998</v>
      </c>
      <c r="O25" s="48">
        <f t="shared" si="8"/>
        <v>126.90078187500004</v>
      </c>
      <c r="P25" s="48">
        <f t="shared" si="8"/>
        <v>120.7140090625</v>
      </c>
      <c r="Q25" s="48">
        <f t="shared" si="8"/>
        <v>112.51293812500001</v>
      </c>
      <c r="R25" s="49">
        <f t="shared" si="8"/>
        <v>103.88023187499998</v>
      </c>
    </row>
    <row r="26" spans="1:18" ht="15" thickBot="1" x14ac:dyDescent="0.35">
      <c r="A26" s="23" t="s">
        <v>13</v>
      </c>
      <c r="B26" s="29">
        <f>SUM(B25:R25)</f>
        <v>1911.8178293750002</v>
      </c>
      <c r="C26" s="48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2"/>
    </row>
    <row r="27" spans="1:18" ht="15" thickBot="1" x14ac:dyDescent="0.35">
      <c r="A27" s="21" t="s">
        <v>38</v>
      </c>
      <c r="B27" s="56">
        <f>B25/($R$4^0)</f>
        <v>-167</v>
      </c>
      <c r="C27" s="57">
        <f>C25/($R$4^1)</f>
        <v>-112.26415094339622</v>
      </c>
      <c r="D27" s="57">
        <f>D25/($R$4^2)</f>
        <v>159.16645019357418</v>
      </c>
      <c r="E27" s="57">
        <f>E25/($R$4^3)</f>
        <v>150.82623653880384</v>
      </c>
      <c r="F27" s="57">
        <f>F25/($R$4^4)</f>
        <v>133.9426275549614</v>
      </c>
      <c r="G27" s="57">
        <f>G25/($R$4^5)</f>
        <v>118.96145316584625</v>
      </c>
      <c r="H27" s="57">
        <f>H25/($R$4^6)</f>
        <v>107.84248974214191</v>
      </c>
      <c r="I27" s="57">
        <f>I25/($R$4^7)</f>
        <v>109.65773559625295</v>
      </c>
      <c r="J27" s="57">
        <f>J25/($R$4^8)</f>
        <v>99.388493934171777</v>
      </c>
      <c r="K27" s="57">
        <f>K25/($R$4^9)</f>
        <v>90.015627378557724</v>
      </c>
      <c r="L27" s="57">
        <f>L25/($R$4^10)</f>
        <v>81.626423498879575</v>
      </c>
      <c r="M27" s="57">
        <f>M25/($R$4^11)</f>
        <v>73.216391602211445</v>
      </c>
      <c r="N27" s="57">
        <f>N25/($R$4^12)</f>
        <v>66.354946879616605</v>
      </c>
      <c r="O27" s="57">
        <f>O25/($R$4^13)</f>
        <v>59.496038496077851</v>
      </c>
      <c r="P27" s="57">
        <f>P25/($R$4^14)</f>
        <v>53.391922622480323</v>
      </c>
      <c r="Q27" s="57">
        <f>Q25/($R$4^15)</f>
        <v>46.947717960262217</v>
      </c>
      <c r="R27" s="58">
        <f>R25/($R$4^16)</f>
        <v>40.892067228814994</v>
      </c>
    </row>
    <row r="28" spans="1:18" ht="15" thickBot="1" x14ac:dyDescent="0.35">
      <c r="A28" s="24" t="s">
        <v>39</v>
      </c>
      <c r="B28" s="63">
        <f>SUM(B27:R27)</f>
        <v>1112.462471449257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60"/>
    </row>
    <row r="29" spans="1:18" ht="15" thickBot="1" x14ac:dyDescent="0.35">
      <c r="A29" s="23" t="s">
        <v>35</v>
      </c>
      <c r="B29" s="64">
        <f>IRR(B25:R25)</f>
        <v>0.46576440093736626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2"/>
    </row>
  </sheetData>
  <mergeCells count="2">
    <mergeCell ref="E1:J1"/>
    <mergeCell ref="E2:J2"/>
  </mergeCells>
  <pageMargins left="0.7" right="0.7" top="0.75" bottom="0.75" header="0.3" footer="0.3"/>
  <pageSetup paperSize="9" orientation="portrait" horizontalDpi="200" verticalDpi="200" r:id="rId1"/>
  <ignoredErrors>
    <ignoredError sqref="B2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D7C3-24D0-47AF-850D-BD5A687DF006}">
  <sheetPr>
    <pageSetUpPr fitToPage="1"/>
  </sheetPr>
  <dimension ref="A1:T29"/>
  <sheetViews>
    <sheetView tabSelected="1" topLeftCell="A14" zoomScale="145" zoomScaleNormal="145" workbookViewId="0">
      <selection activeCell="B25" sqref="B25:C25"/>
    </sheetView>
  </sheetViews>
  <sheetFormatPr defaultRowHeight="14.4" x14ac:dyDescent="0.3"/>
  <cols>
    <col min="1" max="1" width="28.77734375" customWidth="1"/>
    <col min="2" max="18" width="12.77734375" customWidth="1"/>
  </cols>
  <sheetData>
    <row r="1" spans="1:20" ht="28.8" x14ac:dyDescent="0.55000000000000004">
      <c r="E1" s="69" t="s">
        <v>14</v>
      </c>
      <c r="F1" s="70"/>
      <c r="G1" s="70"/>
      <c r="H1" s="70"/>
      <c r="I1" s="70"/>
      <c r="J1" s="70"/>
    </row>
    <row r="2" spans="1:20" x14ac:dyDescent="0.3">
      <c r="E2" s="71"/>
      <c r="F2" s="71"/>
      <c r="G2" s="71"/>
      <c r="H2" s="71"/>
      <c r="I2" s="71"/>
      <c r="J2" s="71"/>
    </row>
    <row r="3" spans="1:20" ht="15" thickBot="1" x14ac:dyDescent="0.35"/>
    <row r="4" spans="1:20" x14ac:dyDescent="0.3">
      <c r="A4" s="2" t="s">
        <v>0</v>
      </c>
      <c r="B4" s="11">
        <v>0.125</v>
      </c>
      <c r="C4" s="9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 t="s">
        <v>34</v>
      </c>
      <c r="R4" s="14">
        <f>(1+$B$7)</f>
        <v>1.06</v>
      </c>
    </row>
    <row r="5" spans="1:20" x14ac:dyDescent="0.3">
      <c r="A5" s="5" t="s">
        <v>1</v>
      </c>
      <c r="B5" s="12">
        <v>0.3</v>
      </c>
      <c r="C5" s="10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</row>
    <row r="6" spans="1:20" x14ac:dyDescent="0.3">
      <c r="A6" s="5" t="s">
        <v>2</v>
      </c>
      <c r="B6" s="12">
        <v>0.25</v>
      </c>
      <c r="C6" s="10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</row>
    <row r="7" spans="1:20" x14ac:dyDescent="0.3">
      <c r="A7" s="5" t="s">
        <v>33</v>
      </c>
      <c r="B7" s="12">
        <v>0.06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</row>
    <row r="8" spans="1:20" ht="15" thickBot="1" x14ac:dyDescent="0.35">
      <c r="A8" s="5"/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</row>
    <row r="9" spans="1:20" ht="15" thickBot="1" x14ac:dyDescent="0.35">
      <c r="A9" s="15"/>
      <c r="B9" s="16" t="s">
        <v>20</v>
      </c>
      <c r="C9" s="16" t="s">
        <v>19</v>
      </c>
      <c r="D9" s="16" t="s">
        <v>18</v>
      </c>
      <c r="E9" s="16" t="s">
        <v>17</v>
      </c>
      <c r="F9" s="16" t="s">
        <v>16</v>
      </c>
      <c r="G9" s="16" t="s">
        <v>21</v>
      </c>
      <c r="H9" s="16" t="s">
        <v>22</v>
      </c>
      <c r="I9" s="16" t="s">
        <v>23</v>
      </c>
      <c r="J9" s="16" t="s">
        <v>24</v>
      </c>
      <c r="K9" s="16" t="s">
        <v>25</v>
      </c>
      <c r="L9" s="16" t="s">
        <v>26</v>
      </c>
      <c r="M9" s="16" t="s">
        <v>27</v>
      </c>
      <c r="N9" s="16" t="s">
        <v>28</v>
      </c>
      <c r="O9" s="16" t="s">
        <v>29</v>
      </c>
      <c r="P9" s="16" t="s">
        <v>30</v>
      </c>
      <c r="Q9" s="16" t="s">
        <v>31</v>
      </c>
      <c r="R9" s="17" t="s">
        <v>32</v>
      </c>
      <c r="S9" s="13"/>
      <c r="T9" s="1"/>
    </row>
    <row r="10" spans="1:20" x14ac:dyDescent="0.3">
      <c r="A10" s="18" t="s">
        <v>3</v>
      </c>
      <c r="B10" s="68">
        <v>75</v>
      </c>
      <c r="C10" s="68">
        <v>75</v>
      </c>
      <c r="D10" s="33">
        <v>75</v>
      </c>
      <c r="E10" s="33">
        <v>75</v>
      </c>
      <c r="F10" s="33">
        <v>75</v>
      </c>
      <c r="G10" s="33">
        <v>75</v>
      </c>
      <c r="H10" s="33">
        <v>75</v>
      </c>
      <c r="I10" s="33">
        <v>85</v>
      </c>
      <c r="J10" s="33">
        <v>85</v>
      </c>
      <c r="K10" s="33">
        <v>85</v>
      </c>
      <c r="L10" s="33">
        <v>85</v>
      </c>
      <c r="M10" s="33">
        <v>85</v>
      </c>
      <c r="N10" s="33">
        <v>85</v>
      </c>
      <c r="O10" s="33">
        <v>85</v>
      </c>
      <c r="P10" s="33">
        <v>85</v>
      </c>
      <c r="Q10" s="34">
        <v>85</v>
      </c>
      <c r="R10" s="35">
        <v>85</v>
      </c>
      <c r="S10" s="7"/>
    </row>
    <row r="11" spans="1:20" x14ac:dyDescent="0.3">
      <c r="A11" s="18" t="s">
        <v>15</v>
      </c>
      <c r="B11" s="36">
        <v>0</v>
      </c>
      <c r="C11" s="36">
        <v>0</v>
      </c>
      <c r="D11" s="37">
        <v>1968</v>
      </c>
      <c r="E11" s="37">
        <v>1968</v>
      </c>
      <c r="F11" s="37">
        <v>1968</v>
      </c>
      <c r="G11" s="37">
        <v>1968</v>
      </c>
      <c r="H11" s="37">
        <v>1968</v>
      </c>
      <c r="I11" s="37">
        <v>1872</v>
      </c>
      <c r="J11" s="37">
        <v>1798</v>
      </c>
      <c r="K11" s="37">
        <v>1710</v>
      </c>
      <c r="L11" s="37">
        <v>1643</v>
      </c>
      <c r="M11" s="37">
        <v>1578</v>
      </c>
      <c r="N11" s="37">
        <v>1500</v>
      </c>
      <c r="O11" s="37">
        <v>1427</v>
      </c>
      <c r="P11" s="37">
        <v>1343</v>
      </c>
      <c r="Q11" s="38">
        <v>1252</v>
      </c>
      <c r="R11" s="39">
        <v>1132</v>
      </c>
      <c r="S11" s="7"/>
    </row>
    <row r="12" spans="1:20" ht="15" thickBot="1" x14ac:dyDescent="0.35">
      <c r="A12" s="18" t="s">
        <v>37</v>
      </c>
      <c r="B12" s="40">
        <v>0</v>
      </c>
      <c r="C12" s="40">
        <v>0</v>
      </c>
      <c r="D12" s="41">
        <f>D11*365/100000</f>
        <v>7.1832000000000003</v>
      </c>
      <c r="E12" s="41">
        <f t="shared" ref="E12:R12" si="0">E11*365/100000</f>
        <v>7.1832000000000003</v>
      </c>
      <c r="F12" s="41">
        <f t="shared" si="0"/>
        <v>7.1832000000000003</v>
      </c>
      <c r="G12" s="41">
        <f t="shared" si="0"/>
        <v>7.1832000000000003</v>
      </c>
      <c r="H12" s="41">
        <f t="shared" si="0"/>
        <v>7.1832000000000003</v>
      </c>
      <c r="I12" s="41">
        <f t="shared" si="0"/>
        <v>6.8327999999999998</v>
      </c>
      <c r="J12" s="41">
        <f t="shared" si="0"/>
        <v>6.5627000000000004</v>
      </c>
      <c r="K12" s="41">
        <f t="shared" si="0"/>
        <v>6.2415000000000003</v>
      </c>
      <c r="L12" s="41">
        <f t="shared" si="0"/>
        <v>5.99695</v>
      </c>
      <c r="M12" s="41">
        <f t="shared" si="0"/>
        <v>5.7596999999999996</v>
      </c>
      <c r="N12" s="41">
        <f t="shared" si="0"/>
        <v>5.4749999999999996</v>
      </c>
      <c r="O12" s="41">
        <f t="shared" si="0"/>
        <v>5.2085499999999998</v>
      </c>
      <c r="P12" s="41">
        <f t="shared" si="0"/>
        <v>4.9019500000000003</v>
      </c>
      <c r="Q12" s="42">
        <f t="shared" si="0"/>
        <v>4.5697999999999999</v>
      </c>
      <c r="R12" s="43">
        <f t="shared" si="0"/>
        <v>4.1318000000000001</v>
      </c>
      <c r="S12" s="7"/>
    </row>
    <row r="13" spans="1:20" ht="15" thickBot="1" x14ac:dyDescent="0.35">
      <c r="A13" s="19" t="s">
        <v>4</v>
      </c>
      <c r="B13" s="25">
        <f>B12*B10</f>
        <v>0</v>
      </c>
      <c r="C13" s="25">
        <f>C12*C10</f>
        <v>0</v>
      </c>
      <c r="D13" s="65">
        <f>D12*D10</f>
        <v>538.74</v>
      </c>
      <c r="E13" s="65">
        <f t="shared" ref="E13:R13" si="1">E12*E10</f>
        <v>538.74</v>
      </c>
      <c r="F13" s="65">
        <f t="shared" si="1"/>
        <v>538.74</v>
      </c>
      <c r="G13" s="65">
        <f t="shared" si="1"/>
        <v>538.74</v>
      </c>
      <c r="H13" s="65">
        <f t="shared" si="1"/>
        <v>538.74</v>
      </c>
      <c r="I13" s="65">
        <f t="shared" si="1"/>
        <v>580.78800000000001</v>
      </c>
      <c r="J13" s="65">
        <f t="shared" si="1"/>
        <v>557.82950000000005</v>
      </c>
      <c r="K13" s="65">
        <f t="shared" si="1"/>
        <v>530.52750000000003</v>
      </c>
      <c r="L13" s="65">
        <f t="shared" si="1"/>
        <v>509.74074999999999</v>
      </c>
      <c r="M13" s="65">
        <f t="shared" si="1"/>
        <v>489.57449999999994</v>
      </c>
      <c r="N13" s="65">
        <f t="shared" si="1"/>
        <v>465.37499999999994</v>
      </c>
      <c r="O13" s="65">
        <f t="shared" si="1"/>
        <v>442.72674999999998</v>
      </c>
      <c r="P13" s="65">
        <f t="shared" si="1"/>
        <v>416.66575</v>
      </c>
      <c r="Q13" s="66">
        <f t="shared" si="1"/>
        <v>388.43299999999999</v>
      </c>
      <c r="R13" s="67">
        <f t="shared" si="1"/>
        <v>351.20300000000003</v>
      </c>
      <c r="S13" s="7"/>
    </row>
    <row r="14" spans="1:20" x14ac:dyDescent="0.3">
      <c r="A14" s="20"/>
      <c r="B14" s="44"/>
      <c r="C14" s="4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  <c r="R14" s="35"/>
      <c r="S14" s="7"/>
    </row>
    <row r="15" spans="1:20" ht="15" thickBot="1" x14ac:dyDescent="0.35">
      <c r="A15" s="21" t="s">
        <v>5</v>
      </c>
      <c r="B15" s="45">
        <f>B13*$B$4</f>
        <v>0</v>
      </c>
      <c r="C15" s="46">
        <f t="shared" ref="C15:R15" si="2">C13*$B$4</f>
        <v>0</v>
      </c>
      <c r="D15" s="46">
        <f t="shared" si="2"/>
        <v>67.342500000000001</v>
      </c>
      <c r="E15" s="46">
        <f t="shared" si="2"/>
        <v>67.342500000000001</v>
      </c>
      <c r="F15" s="46">
        <f t="shared" si="2"/>
        <v>67.342500000000001</v>
      </c>
      <c r="G15" s="46">
        <f t="shared" si="2"/>
        <v>67.342500000000001</v>
      </c>
      <c r="H15" s="46">
        <f t="shared" si="2"/>
        <v>67.342500000000001</v>
      </c>
      <c r="I15" s="46">
        <f t="shared" si="2"/>
        <v>72.598500000000001</v>
      </c>
      <c r="J15" s="46">
        <f t="shared" si="2"/>
        <v>69.728687500000007</v>
      </c>
      <c r="K15" s="46">
        <f t="shared" si="2"/>
        <v>66.315937500000004</v>
      </c>
      <c r="L15" s="46">
        <f t="shared" si="2"/>
        <v>63.717593749999999</v>
      </c>
      <c r="M15" s="46">
        <f t="shared" si="2"/>
        <v>61.196812499999993</v>
      </c>
      <c r="N15" s="46">
        <f t="shared" si="2"/>
        <v>58.171874999999993</v>
      </c>
      <c r="O15" s="46">
        <f t="shared" si="2"/>
        <v>55.340843749999998</v>
      </c>
      <c r="P15" s="46">
        <f t="shared" si="2"/>
        <v>52.08321875</v>
      </c>
      <c r="Q15" s="46">
        <f t="shared" si="2"/>
        <v>48.554124999999999</v>
      </c>
      <c r="R15" s="47">
        <f t="shared" si="2"/>
        <v>43.900375000000004</v>
      </c>
      <c r="S15" s="7"/>
    </row>
    <row r="16" spans="1:20" ht="15" thickBot="1" x14ac:dyDescent="0.35">
      <c r="A16" s="22" t="s">
        <v>6</v>
      </c>
      <c r="B16" s="26">
        <f>B13-B15</f>
        <v>0</v>
      </c>
      <c r="C16" s="27">
        <f t="shared" ref="C16:R16" si="3">C13-C15</f>
        <v>0</v>
      </c>
      <c r="D16" s="27">
        <f t="shared" si="3"/>
        <v>471.39750000000004</v>
      </c>
      <c r="E16" s="27">
        <f t="shared" si="3"/>
        <v>471.39750000000004</v>
      </c>
      <c r="F16" s="27">
        <f t="shared" si="3"/>
        <v>471.39750000000004</v>
      </c>
      <c r="G16" s="27">
        <f t="shared" si="3"/>
        <v>471.39750000000004</v>
      </c>
      <c r="H16" s="27">
        <f t="shared" si="3"/>
        <v>471.39750000000004</v>
      </c>
      <c r="I16" s="27">
        <f t="shared" si="3"/>
        <v>508.18950000000001</v>
      </c>
      <c r="J16" s="27">
        <f t="shared" si="3"/>
        <v>488.10081250000007</v>
      </c>
      <c r="K16" s="27">
        <f t="shared" si="3"/>
        <v>464.21156250000001</v>
      </c>
      <c r="L16" s="27">
        <f t="shared" si="3"/>
        <v>446.02315625</v>
      </c>
      <c r="M16" s="27">
        <f t="shared" si="3"/>
        <v>428.37768749999998</v>
      </c>
      <c r="N16" s="27">
        <f t="shared" si="3"/>
        <v>407.20312499999994</v>
      </c>
      <c r="O16" s="27">
        <f t="shared" si="3"/>
        <v>387.38590625000001</v>
      </c>
      <c r="P16" s="27">
        <f t="shared" si="3"/>
        <v>364.58253124999999</v>
      </c>
      <c r="Q16" s="27">
        <f t="shared" si="3"/>
        <v>339.87887499999999</v>
      </c>
      <c r="R16" s="28">
        <f t="shared" si="3"/>
        <v>307.30262500000003</v>
      </c>
      <c r="S16" s="7"/>
    </row>
    <row r="17" spans="1:19" ht="15" thickBot="1" x14ac:dyDescent="0.35">
      <c r="A17" s="20"/>
      <c r="B17" s="50"/>
      <c r="C17" s="48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2"/>
      <c r="S17" s="7"/>
    </row>
    <row r="18" spans="1:19" ht="15" thickBot="1" x14ac:dyDescent="0.35">
      <c r="A18" s="21" t="s">
        <v>7</v>
      </c>
      <c r="B18" s="50">
        <v>47</v>
      </c>
      <c r="C18" s="48">
        <v>47</v>
      </c>
      <c r="D18" s="51">
        <f>D16*0.1</f>
        <v>47.139750000000006</v>
      </c>
      <c r="E18" s="51">
        <f t="shared" ref="E18:R18" si="4">E16*0.1</f>
        <v>47.139750000000006</v>
      </c>
      <c r="F18" s="51">
        <f t="shared" si="4"/>
        <v>47.139750000000006</v>
      </c>
      <c r="G18" s="51">
        <f t="shared" si="4"/>
        <v>47.139750000000006</v>
      </c>
      <c r="H18" s="51">
        <f t="shared" si="4"/>
        <v>47.139750000000006</v>
      </c>
      <c r="I18" s="51">
        <f t="shared" si="4"/>
        <v>50.818950000000001</v>
      </c>
      <c r="J18" s="51">
        <f t="shared" si="4"/>
        <v>48.81008125000001</v>
      </c>
      <c r="K18" s="51">
        <f t="shared" si="4"/>
        <v>46.421156250000003</v>
      </c>
      <c r="L18" s="51">
        <f t="shared" si="4"/>
        <v>44.602315625000003</v>
      </c>
      <c r="M18" s="51">
        <f t="shared" si="4"/>
        <v>42.837768750000002</v>
      </c>
      <c r="N18" s="51">
        <f t="shared" si="4"/>
        <v>40.720312499999999</v>
      </c>
      <c r="O18" s="51">
        <f t="shared" si="4"/>
        <v>38.738590625000001</v>
      </c>
      <c r="P18" s="51">
        <f t="shared" si="4"/>
        <v>36.458253124999999</v>
      </c>
      <c r="Q18" s="51">
        <f t="shared" si="4"/>
        <v>33.987887499999999</v>
      </c>
      <c r="R18" s="52">
        <f t="shared" si="4"/>
        <v>30.730262500000006</v>
      </c>
      <c r="S18" s="7"/>
    </row>
    <row r="19" spans="1:19" ht="15" thickBot="1" x14ac:dyDescent="0.35">
      <c r="A19" s="21" t="s">
        <v>8</v>
      </c>
      <c r="B19" s="50">
        <v>100</v>
      </c>
      <c r="C19" s="48">
        <v>60</v>
      </c>
      <c r="D19" s="51">
        <v>20</v>
      </c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/>
      <c r="P19" s="51"/>
      <c r="Q19" s="51"/>
      <c r="R19" s="52">
        <v>0</v>
      </c>
      <c r="S19" s="7"/>
    </row>
    <row r="20" spans="1:19" ht="15" thickBot="1" x14ac:dyDescent="0.35">
      <c r="A20" s="21" t="s">
        <v>9</v>
      </c>
      <c r="B20" s="50">
        <f>B19*0.2</f>
        <v>20</v>
      </c>
      <c r="C20" s="48">
        <f>C19*0.2</f>
        <v>12</v>
      </c>
      <c r="D20" s="51">
        <f t="shared" ref="D20:R20" si="5">$D$6*D13</f>
        <v>0</v>
      </c>
      <c r="E20" s="51">
        <f t="shared" si="5"/>
        <v>0</v>
      </c>
      <c r="F20" s="51">
        <f t="shared" si="5"/>
        <v>0</v>
      </c>
      <c r="G20" s="51">
        <f t="shared" si="5"/>
        <v>0</v>
      </c>
      <c r="H20" s="51">
        <f t="shared" si="5"/>
        <v>0</v>
      </c>
      <c r="I20" s="51">
        <f t="shared" si="5"/>
        <v>0</v>
      </c>
      <c r="J20" s="51">
        <f t="shared" si="5"/>
        <v>0</v>
      </c>
      <c r="K20" s="51">
        <f t="shared" si="5"/>
        <v>0</v>
      </c>
      <c r="L20" s="51">
        <f t="shared" si="5"/>
        <v>0</v>
      </c>
      <c r="M20" s="51">
        <f t="shared" si="5"/>
        <v>0</v>
      </c>
      <c r="N20" s="51">
        <f t="shared" si="5"/>
        <v>0</v>
      </c>
      <c r="O20" s="51">
        <f t="shared" si="5"/>
        <v>0</v>
      </c>
      <c r="P20" s="51">
        <f t="shared" si="5"/>
        <v>0</v>
      </c>
      <c r="Q20" s="51">
        <f t="shared" si="5"/>
        <v>0</v>
      </c>
      <c r="R20" s="52">
        <f t="shared" si="5"/>
        <v>0</v>
      </c>
      <c r="S20" s="7"/>
    </row>
    <row r="21" spans="1:19" ht="15" thickBot="1" x14ac:dyDescent="0.35">
      <c r="A21" s="20"/>
      <c r="B21" s="50"/>
      <c r="C21" s="48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2"/>
      <c r="S21" s="7"/>
    </row>
    <row r="22" spans="1:19" ht="15" thickBot="1" x14ac:dyDescent="0.35">
      <c r="A22" s="19" t="s">
        <v>10</v>
      </c>
      <c r="B22" s="30">
        <f>B16-B15-B20-B19-B18</f>
        <v>-167</v>
      </c>
      <c r="C22" s="31">
        <f t="shared" ref="C22:R22" si="6">C16-C15-C20-C19-C18</f>
        <v>-119</v>
      </c>
      <c r="D22" s="31">
        <f t="shared" si="6"/>
        <v>336.91525000000007</v>
      </c>
      <c r="E22" s="31">
        <f t="shared" si="6"/>
        <v>356.91525000000007</v>
      </c>
      <c r="F22" s="31">
        <f t="shared" si="6"/>
        <v>356.91525000000007</v>
      </c>
      <c r="G22" s="31">
        <f t="shared" si="6"/>
        <v>356.91525000000007</v>
      </c>
      <c r="H22" s="31">
        <f t="shared" si="6"/>
        <v>356.91525000000007</v>
      </c>
      <c r="I22" s="31">
        <f t="shared" si="6"/>
        <v>384.77205000000004</v>
      </c>
      <c r="J22" s="31">
        <f t="shared" si="6"/>
        <v>369.5620437500001</v>
      </c>
      <c r="K22" s="31">
        <f t="shared" si="6"/>
        <v>351.47446874999997</v>
      </c>
      <c r="L22" s="31">
        <f t="shared" si="6"/>
        <v>337.70324687499999</v>
      </c>
      <c r="M22" s="31">
        <f t="shared" si="6"/>
        <v>324.34310625000001</v>
      </c>
      <c r="N22" s="31">
        <f t="shared" si="6"/>
        <v>308.31093749999997</v>
      </c>
      <c r="O22" s="31">
        <f t="shared" si="6"/>
        <v>293.30647187500006</v>
      </c>
      <c r="P22" s="31">
        <f t="shared" si="6"/>
        <v>276.04105937499997</v>
      </c>
      <c r="Q22" s="31">
        <f t="shared" si="6"/>
        <v>257.3368625</v>
      </c>
      <c r="R22" s="32">
        <f t="shared" si="6"/>
        <v>232.67198750000003</v>
      </c>
      <c r="S22" s="7"/>
    </row>
    <row r="23" spans="1:19" ht="15" thickBot="1" x14ac:dyDescent="0.35">
      <c r="A23" s="21" t="s">
        <v>11</v>
      </c>
      <c r="B23" s="53">
        <f>IF(B22&gt;=0,B22*$B$5,0)</f>
        <v>0</v>
      </c>
      <c r="C23" s="53">
        <f t="shared" ref="C23:D23" si="7">IF(C22&gt;=0,C22*$B$5,0)</f>
        <v>0</v>
      </c>
      <c r="D23" s="53">
        <f t="shared" si="7"/>
        <v>101.07457500000002</v>
      </c>
      <c r="E23" s="54">
        <f t="shared" ref="E23:R23" si="8">E22*$B$5</f>
        <v>107.07457500000002</v>
      </c>
      <c r="F23" s="54">
        <f t="shared" si="8"/>
        <v>107.07457500000002</v>
      </c>
      <c r="G23" s="54">
        <f t="shared" si="8"/>
        <v>107.07457500000002</v>
      </c>
      <c r="H23" s="54">
        <f t="shared" si="8"/>
        <v>107.07457500000002</v>
      </c>
      <c r="I23" s="54">
        <f t="shared" si="8"/>
        <v>115.43161500000001</v>
      </c>
      <c r="J23" s="54">
        <f t="shared" si="8"/>
        <v>110.86861312500002</v>
      </c>
      <c r="K23" s="54">
        <f t="shared" si="8"/>
        <v>105.44234062499999</v>
      </c>
      <c r="L23" s="54">
        <f t="shared" si="8"/>
        <v>101.31097406249999</v>
      </c>
      <c r="M23" s="54">
        <f t="shared" si="8"/>
        <v>97.302931874999999</v>
      </c>
      <c r="N23" s="54">
        <f t="shared" si="8"/>
        <v>92.493281249999981</v>
      </c>
      <c r="O23" s="54">
        <f t="shared" si="8"/>
        <v>87.991941562500017</v>
      </c>
      <c r="P23" s="54">
        <f t="shared" si="8"/>
        <v>82.812317812499984</v>
      </c>
      <c r="Q23" s="54">
        <f t="shared" si="8"/>
        <v>77.201058750000001</v>
      </c>
      <c r="R23" s="55">
        <f t="shared" si="8"/>
        <v>69.801596250000003</v>
      </c>
      <c r="S23" s="7"/>
    </row>
    <row r="24" spans="1:19" ht="15" thickBot="1" x14ac:dyDescent="0.35">
      <c r="A24" s="20"/>
      <c r="B24" s="50"/>
      <c r="C24" s="48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2"/>
      <c r="S24" s="7"/>
    </row>
    <row r="25" spans="1:19" ht="15" thickBot="1" x14ac:dyDescent="0.35">
      <c r="A25" s="19" t="s">
        <v>12</v>
      </c>
      <c r="B25" s="53">
        <f>B22-B23</f>
        <v>-167</v>
      </c>
      <c r="C25" s="54">
        <f t="shared" ref="C25:R25" si="9">C22-C23</f>
        <v>-119</v>
      </c>
      <c r="D25" s="48">
        <f t="shared" si="9"/>
        <v>235.84067500000003</v>
      </c>
      <c r="E25" s="48">
        <f t="shared" si="9"/>
        <v>249.84067500000003</v>
      </c>
      <c r="F25" s="48">
        <f t="shared" si="9"/>
        <v>249.84067500000003</v>
      </c>
      <c r="G25" s="48">
        <f t="shared" si="9"/>
        <v>249.84067500000003</v>
      </c>
      <c r="H25" s="48">
        <f t="shared" si="9"/>
        <v>249.84067500000003</v>
      </c>
      <c r="I25" s="48">
        <f t="shared" si="9"/>
        <v>269.34043500000001</v>
      </c>
      <c r="J25" s="48">
        <f t="shared" si="9"/>
        <v>258.69343062500008</v>
      </c>
      <c r="K25" s="48">
        <f t="shared" si="9"/>
        <v>246.03212812499999</v>
      </c>
      <c r="L25" s="48">
        <f t="shared" si="9"/>
        <v>236.39227281249998</v>
      </c>
      <c r="M25" s="48">
        <f t="shared" si="9"/>
        <v>227.04017437499999</v>
      </c>
      <c r="N25" s="48">
        <f t="shared" si="9"/>
        <v>215.81765624999997</v>
      </c>
      <c r="O25" s="48">
        <f t="shared" si="9"/>
        <v>205.31453031250004</v>
      </c>
      <c r="P25" s="48">
        <f t="shared" si="9"/>
        <v>193.22874156249998</v>
      </c>
      <c r="Q25" s="48">
        <f t="shared" si="9"/>
        <v>180.13580374999998</v>
      </c>
      <c r="R25" s="49">
        <f t="shared" si="9"/>
        <v>162.87039125000001</v>
      </c>
      <c r="S25" s="7"/>
    </row>
    <row r="26" spans="1:19" ht="15" thickBot="1" x14ac:dyDescent="0.35">
      <c r="A26" s="23" t="s">
        <v>13</v>
      </c>
      <c r="B26" s="29">
        <f>SUM(B25:R25)</f>
        <v>3144.0689390624998</v>
      </c>
      <c r="C26" s="48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2"/>
      <c r="S26" s="7"/>
    </row>
    <row r="27" spans="1:19" ht="15" thickBot="1" x14ac:dyDescent="0.35">
      <c r="A27" s="21" t="s">
        <v>38</v>
      </c>
      <c r="B27" s="56">
        <f>B25/($R$4^0)</f>
        <v>-167</v>
      </c>
      <c r="C27" s="57">
        <f>C25/($R$4^1)</f>
        <v>-112.26415094339622</v>
      </c>
      <c r="D27" s="57">
        <f>D25/($R$4^2)</f>
        <v>209.89736116055536</v>
      </c>
      <c r="E27" s="57">
        <f>E25/($R$4^3)</f>
        <v>209.77104841580632</v>
      </c>
      <c r="F27" s="57">
        <f>F25/($R$4^4)</f>
        <v>197.89721548660972</v>
      </c>
      <c r="G27" s="57">
        <f>G25/($R$4^5)</f>
        <v>186.69548630812236</v>
      </c>
      <c r="H27" s="57">
        <f>H25/($R$4^6)</f>
        <v>176.12781727181354</v>
      </c>
      <c r="I27" s="57">
        <f>I25/($R$4^7)</f>
        <v>179.12677228288442</v>
      </c>
      <c r="J27" s="57">
        <f>J25/($R$4^8)</f>
        <v>162.30745875898359</v>
      </c>
      <c r="K27" s="57">
        <f>K25/($R$4^9)</f>
        <v>145.62603861620974</v>
      </c>
      <c r="L27" s="57">
        <f>L25/($R$4^10)</f>
        <v>132.00021044159362</v>
      </c>
      <c r="M27" s="57">
        <f>M25/($R$4^11)</f>
        <v>119.60193162348827</v>
      </c>
      <c r="N27" s="57">
        <f>N25/($R$4^12)</f>
        <v>107.25476327524235</v>
      </c>
      <c r="O27" s="57">
        <f>O25/($R$4^13)</f>
        <v>96.259463643881048</v>
      </c>
      <c r="P27" s="57">
        <f>P25/($R$4^14)</f>
        <v>85.465258738964323</v>
      </c>
      <c r="Q27" s="57">
        <f>Q25/($R$4^15)</f>
        <v>75.164377092389117</v>
      </c>
      <c r="R27" s="58">
        <f>R25/($R$4^16)</f>
        <v>64.113324242408012</v>
      </c>
    </row>
    <row r="28" spans="1:19" ht="15" thickBot="1" x14ac:dyDescent="0.35">
      <c r="A28" s="24" t="s">
        <v>39</v>
      </c>
      <c r="B28" s="63">
        <f>SUM(B27:R27)</f>
        <v>1868.0443764155557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60"/>
    </row>
    <row r="29" spans="1:19" ht="15" thickBot="1" x14ac:dyDescent="0.35">
      <c r="A29" s="23" t="s">
        <v>35</v>
      </c>
      <c r="B29" s="64">
        <f>IRR(B25:R25)</f>
        <v>0.62609801721287184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2"/>
    </row>
  </sheetData>
  <mergeCells count="2">
    <mergeCell ref="E1:J1"/>
    <mergeCell ref="E2:J2"/>
  </mergeCells>
  <pageMargins left="0.7" right="0.7" top="0.75" bottom="0.75" header="0.3" footer="0.3"/>
  <pageSetup paperSize="18" scale="36" fitToHeight="0" orientation="landscape" horizontalDpi="200" verticalDpi="200" r:id="rId1"/>
  <ignoredErrors>
    <ignoredError sqref="B27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EF2B8997F0144EAEC9ACE00E11CCC5" ma:contentTypeVersion="7" ma:contentTypeDescription="Create a new document." ma:contentTypeScope="" ma:versionID="48b76c970fce35db42f38cd4d8cb1557">
  <xsd:schema xmlns:xsd="http://www.w3.org/2001/XMLSchema" xmlns:xs="http://www.w3.org/2001/XMLSchema" xmlns:p="http://schemas.microsoft.com/office/2006/metadata/properties" xmlns:ns2="902bda32-35ea-431a-bf36-f1d92c1085b1" targetNamespace="http://schemas.microsoft.com/office/2006/metadata/properties" ma:root="true" ma:fieldsID="19536023bfd12c3c6a65fef6e2ed35d6" ns2:_="">
    <xsd:import namespace="902bda32-35ea-431a-bf36-f1d92c1085b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bda32-35ea-431a-bf36-f1d92c1085b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02bda32-35ea-431a-bf36-f1d92c1085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E65053-0D1D-4BA8-AA8B-F1D8765A3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2bda32-35ea-431a-bf36-f1d92c1085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5D5127-6231-4674-81E1-5E0D0EE933AD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902bda32-35ea-431a-bf36-f1d92c1085b1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7E105D9-90C0-4312-A08C-F48AF155FD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cp:lastPrinted>2022-05-12T09:34:52Z</cp:lastPrinted>
  <dcterms:created xsi:type="dcterms:W3CDTF">2022-02-07T10:11:35Z</dcterms:created>
  <dcterms:modified xsi:type="dcterms:W3CDTF">2022-05-18T13:16:57Z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0x01010001EF2B8997F0144EAEC9ACE00E11CCC5</vt:lpwstr>
  </property>
</Properties>
</file>