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harsh\USC\Spring 2025\ISE 562\Final Exam\Submissions\"/>
    </mc:Choice>
  </mc:AlternateContent>
  <xr:revisionPtr revIDLastSave="0" documentId="8_{073939E9-ADA5-47B1-B7E6-255EBFDADDC1}" xr6:coauthVersionLast="47" xr6:coauthVersionMax="47" xr10:uidLastSave="{00000000-0000-0000-0000-000000000000}"/>
  <bookViews>
    <workbookView xWindow="-98" yWindow="-98" windowWidth="21795" windowHeight="13695" activeTab="4" xr2:uid="{00000000-000D-0000-FFFF-FFFF00000000}"/>
  </bookViews>
  <sheets>
    <sheet name="NPV" sheetId="1" r:id="rId1"/>
    <sheet name="Tornado Diagrams" sheetId="4" r:id="rId2"/>
    <sheet name="Decision Tree" sheetId="5" r:id="rId3"/>
    <sheet name="Decision Tree With Values" sheetId="6" r:id="rId4"/>
    <sheet name="Decision Tree (Risk Nuetral)" sheetId="7" r:id="rId5"/>
    <sheet name="Sensitivity Analysis" sheetId="10" r:id="rId6"/>
    <sheet name="Discretizing" sheetId="13" r:id="rId7"/>
    <sheet name="Extra(1)" sheetId="12" r:id="rId8"/>
    <sheet name="Extra(2)" sheetId="14" r:id="rId9"/>
    <sheet name="Extra(3)" sheetId="15" r:id="rId10"/>
  </sheets>
  <definedNames>
    <definedName name="b" localSheetId="8">'Extra(2)'!$AD$107</definedName>
    <definedName name="b" localSheetId="9">'Extra(3)'!$AD$107</definedName>
    <definedName name="b">'Extra(1)'!$AD$107</definedName>
    <definedName name="cccvvv" localSheetId="8">'Extra(2)'!$BU$208</definedName>
    <definedName name="cccvvv" localSheetId="9">'Extra(3)'!$BU$208</definedName>
    <definedName name="cccvvv">'Extra(1)'!$BU$208</definedName>
    <definedName name="DC" localSheetId="8">'Extra(2)'!$BV$31</definedName>
    <definedName name="DC" localSheetId="9">'Extra(3)'!$BV$31</definedName>
    <definedName name="DC">'Extra(1)'!$BV$31</definedName>
    <definedName name="DC_" localSheetId="8">'Extra(2)'!$AD$31</definedName>
    <definedName name="DC_" localSheetId="9">'Extra(3)'!$AD$31</definedName>
    <definedName name="DC_">'Extra(1)'!$AD$31</definedName>
    <definedName name="dem_DAC" localSheetId="7">'Extra(1)'!$AZ$31</definedName>
    <definedName name="dem_DAC" localSheetId="8">'Extra(2)'!$AZ$31</definedName>
    <definedName name="dem_DAC" localSheetId="9">'Extra(3)'!$AZ$31</definedName>
    <definedName name="dem_DAC">NPV!$K$31</definedName>
    <definedName name="dgdgf" localSheetId="8">'Extra(2)'!$AA$195</definedName>
    <definedName name="dgdgf" localSheetId="9">'Extra(3)'!$AA$195</definedName>
    <definedName name="dgdgf">'Extra(1)'!$AA$195</definedName>
    <definedName name="discount_rate" localSheetId="7">'Extra(1)'!$AX$18</definedName>
    <definedName name="discount_rate" localSheetId="8">'Extra(2)'!$AX$18</definedName>
    <definedName name="discount_rate" localSheetId="9">'Extra(3)'!$AX$18</definedName>
    <definedName name="discount_rate">NPV!$I$18</definedName>
    <definedName name="DR" localSheetId="8">'Extra(2)'!$BT$18</definedName>
    <definedName name="DR" localSheetId="9">'Extra(3)'!$BT$18</definedName>
    <definedName name="DR">'Extra(1)'!$BT$18</definedName>
    <definedName name="DRS" localSheetId="8">'Extra(2)'!$AB$18</definedName>
    <definedName name="DRS" localSheetId="9">'Extra(3)'!$AB$18</definedName>
    <definedName name="DRS">'Extra(1)'!$AB$18</definedName>
    <definedName name="dsav" localSheetId="8">'Extra(2)'!$BU$182</definedName>
    <definedName name="dsav" localSheetId="9">'Extra(3)'!$BU$182</definedName>
    <definedName name="dsav">'Extra(1)'!$BU$182</definedName>
    <definedName name="dsd" localSheetId="8">'Extra(2)'!$AW$196</definedName>
    <definedName name="dsd" localSheetId="9">'Extra(3)'!$AW$196</definedName>
    <definedName name="dsd">'Extra(1)'!$AW$196</definedName>
    <definedName name="fgfg" localSheetId="8">'Extra(2)'!$BS$195</definedName>
    <definedName name="fgfg" localSheetId="9">'Extra(3)'!$BS$195</definedName>
    <definedName name="fgfg">'Extra(1)'!$BS$195</definedName>
    <definedName name="g" localSheetId="8">'Extra(2)'!$AD$132</definedName>
    <definedName name="g" localSheetId="9">'Extra(3)'!$AD$132</definedName>
    <definedName name="g">'Extra(1)'!$AD$132</definedName>
    <definedName name="gddgdg" localSheetId="8">'Extra(2)'!$BS$196</definedName>
    <definedName name="gddgdg" localSheetId="9">'Extra(3)'!$BS$196</definedName>
    <definedName name="gddgdg">'Extra(1)'!$BS$196</definedName>
    <definedName name="gfdg" localSheetId="8">'Extra(2)'!$AW$195</definedName>
    <definedName name="gfdg" localSheetId="9">'Extra(3)'!$AW$195</definedName>
    <definedName name="gfdg">'Extra(1)'!$AW$195</definedName>
    <definedName name="ggff" localSheetId="8">'Extra(2)'!$AC$284</definedName>
    <definedName name="ggff" localSheetId="9">'Extra(3)'!$AC$284</definedName>
    <definedName name="ggff">'Extra(1)'!$AC$284</definedName>
    <definedName name="ggghhh" localSheetId="8">'Extra(2)'!$AY$208</definedName>
    <definedName name="ggghhh" localSheetId="9">'Extra(3)'!$AY$208</definedName>
    <definedName name="ggghhh">'Extra(1)'!$AY$208</definedName>
    <definedName name="h" localSheetId="8">'Extra(2)'!$AD$106</definedName>
    <definedName name="h" localSheetId="9">'Extra(3)'!$AD$106</definedName>
    <definedName name="h">'Extra(1)'!$AD$106</definedName>
    <definedName name="jj" localSheetId="8">'Extra(2)'!$AC$309</definedName>
    <definedName name="jj" localSheetId="9">'Extra(3)'!$AC$309</definedName>
    <definedName name="jj">'Extra(1)'!$AC$309</definedName>
    <definedName name="jm" localSheetId="8">'Extra(2)'!$AC$183</definedName>
    <definedName name="jm" localSheetId="9">'Extra(3)'!$AC$183</definedName>
    <definedName name="jm">'Extra(1)'!$AC$183</definedName>
    <definedName name="k" localSheetId="8">'Extra(2)'!$AB$120</definedName>
    <definedName name="k" localSheetId="9">'Extra(3)'!$AB$120</definedName>
    <definedName name="k">'Extra(1)'!$AB$120</definedName>
    <definedName name="l" localSheetId="8">'Extra(2)'!$AB$119</definedName>
    <definedName name="l" localSheetId="9">'Extra(3)'!$AB$119</definedName>
    <definedName name="l">'Extra(1)'!$AB$119</definedName>
    <definedName name="nb" localSheetId="8">'Extra(2)'!$AY$183</definedName>
    <definedName name="nb" localSheetId="9">'Extra(3)'!$AY$183</definedName>
    <definedName name="nb">'Extra(1)'!$AY$183</definedName>
    <definedName name="nnb" localSheetId="8">'Extra(2)'!$AC$182</definedName>
    <definedName name="nnb" localSheetId="9">'Extra(3)'!$AC$182</definedName>
    <definedName name="nnb">'Extra(1)'!$AC$182</definedName>
    <definedName name="p" localSheetId="8">'Extra(2)'!$AA$296</definedName>
    <definedName name="p" localSheetId="9">'Extra(3)'!$AA$296</definedName>
    <definedName name="p">'Extra(1)'!$AA$296</definedName>
    <definedName name="pp" localSheetId="8">'Extra(2)'!$AC$283</definedName>
    <definedName name="pp" localSheetId="9">'Extra(3)'!$AC$283</definedName>
    <definedName name="pp">'Extra(1)'!$AC$283</definedName>
    <definedName name="rrff" localSheetId="8">'Extra(2)'!$BU$183</definedName>
    <definedName name="rrff" localSheetId="9">'Extra(3)'!$BU$183</definedName>
    <definedName name="rrff">'Extra(1)'!$BU$183</definedName>
    <definedName name="S" localSheetId="8">'Extra(2)'!$BV$5</definedName>
    <definedName name="S" localSheetId="9">'Extra(3)'!$BV$5</definedName>
    <definedName name="S">'Extra(1)'!$BV$5</definedName>
    <definedName name="s_n" localSheetId="8">'Extra(2)'!$AD$6</definedName>
    <definedName name="s_n" localSheetId="9">'Extra(3)'!$AD$6</definedName>
    <definedName name="s_n">'Extra(1)'!$AD$6</definedName>
    <definedName name="sdsf" localSheetId="8">'Extra(2)'!$AA$196</definedName>
    <definedName name="sdsf" localSheetId="9">'Extra(3)'!$AA$196</definedName>
    <definedName name="sdsf">'Extra(1)'!$AA$196</definedName>
    <definedName name="SN" localSheetId="8">'Extra(2)'!$BV$6</definedName>
    <definedName name="SN" localSheetId="9">'Extra(3)'!$BV$6</definedName>
    <definedName name="SN">'Extra(1)'!$BV$6</definedName>
    <definedName name="Ss" localSheetId="8">'Extra(2)'!$AD$5</definedName>
    <definedName name="Ss" localSheetId="9">'Extra(3)'!$AD$5</definedName>
    <definedName name="Ss">'Extra(1)'!$AD$5</definedName>
    <definedName name="ssdd" localSheetId="8">'Extra(2)'!$AC$208</definedName>
    <definedName name="ssdd" localSheetId="9">'Extra(3)'!$AC$208</definedName>
    <definedName name="ssdd">'Extra(1)'!$AC$208</definedName>
    <definedName name="strategy" localSheetId="7">'Extra(1)'!$AZ$5</definedName>
    <definedName name="strategy" localSheetId="8">'Extra(2)'!$AZ$5</definedName>
    <definedName name="strategy" localSheetId="9">'Extra(3)'!$AZ$5</definedName>
    <definedName name="strategy">NPV!$K$5</definedName>
    <definedName name="strategy_name" localSheetId="7">'Extra(1)'!$AZ$6</definedName>
    <definedName name="strategy_name" localSheetId="8">'Extra(2)'!$AZ$6</definedName>
    <definedName name="strategy_name" localSheetId="9">'Extra(3)'!$AZ$6</definedName>
    <definedName name="strategy_name">NPV!$K$6</definedName>
    <definedName name="tax_rate" localSheetId="7">'Extra(1)'!$AX$19</definedName>
    <definedName name="tax_rate" localSheetId="8">'Extra(2)'!$AX$19</definedName>
    <definedName name="tax_rate" localSheetId="9">'Extra(3)'!$AX$19</definedName>
    <definedName name="tax_rate">NPV!$I$19</definedName>
    <definedName name="TR" localSheetId="8">'Extra(2)'!$BT$19</definedName>
    <definedName name="TR" localSheetId="9">'Extra(3)'!$BT$19</definedName>
    <definedName name="TR">'Extra(1)'!$BT$19</definedName>
    <definedName name="TR_" localSheetId="8">'Extra(2)'!$AB$19</definedName>
    <definedName name="TR_" localSheetId="9">'Extra(3)'!$AB$19</definedName>
    <definedName name="TR_">'Extra(1)'!$AB$19</definedName>
    <definedName name="vvg" localSheetId="8">'Extra(2)'!$AY$182</definedName>
    <definedName name="vvg" localSheetId="9">'Extra(3)'!$AY$182</definedName>
    <definedName name="vvg">'Extra(1)'!$AY$182</definedName>
    <definedName name="y" localSheetId="8">'Extra(2)'!$AA$297</definedName>
    <definedName name="y" localSheetId="9">'Extra(3)'!$AA$297</definedName>
    <definedName name="y">'Extra(1)'!$AA$297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40" i="15" l="1"/>
  <c r="AH340" i="15"/>
  <c r="AG340" i="15"/>
  <c r="AF340" i="15"/>
  <c r="AE340" i="15"/>
  <c r="AD340" i="15"/>
  <c r="AC340" i="15"/>
  <c r="AB340" i="15"/>
  <c r="AA340" i="15"/>
  <c r="Z340" i="15"/>
  <c r="Z338" i="15"/>
  <c r="AI336" i="15"/>
  <c r="AH336" i="15"/>
  <c r="AG336" i="15"/>
  <c r="AF336" i="15"/>
  <c r="AE336" i="15"/>
  <c r="AD336" i="15"/>
  <c r="AC336" i="15"/>
  <c r="AB336" i="15"/>
  <c r="AA336" i="15"/>
  <c r="Z336" i="15"/>
  <c r="Z331" i="15"/>
  <c r="Z329" i="15"/>
  <c r="AA329" i="15" s="1"/>
  <c r="AB329" i="15" s="1"/>
  <c r="AC329" i="15" s="1"/>
  <c r="AD329" i="15" s="1"/>
  <c r="AE329" i="15" s="1"/>
  <c r="AF329" i="15" s="1"/>
  <c r="AG329" i="15" s="1"/>
  <c r="AH329" i="15" s="1"/>
  <c r="AI329" i="15" s="1"/>
  <c r="Z326" i="15"/>
  <c r="AA325" i="15"/>
  <c r="S323" i="15"/>
  <c r="AC315" i="15"/>
  <c r="AC314" i="15"/>
  <c r="AC313" i="15"/>
  <c r="AC311" i="15"/>
  <c r="AC310" i="15"/>
  <c r="AC309" i="15"/>
  <c r="Z330" i="15" s="1"/>
  <c r="AA299" i="15"/>
  <c r="AA297" i="15"/>
  <c r="AA296" i="15"/>
  <c r="AC284" i="15"/>
  <c r="U269" i="15"/>
  <c r="X266" i="15"/>
  <c r="N259" i="15"/>
  <c r="M259" i="15"/>
  <c r="N256" i="15"/>
  <c r="N253" i="15"/>
  <c r="N249" i="15"/>
  <c r="M249" i="15" s="1"/>
  <c r="N246" i="15"/>
  <c r="M246" i="15" s="1"/>
  <c r="N243" i="15"/>
  <c r="M243" i="15" s="1"/>
  <c r="N239" i="15"/>
  <c r="BR237" i="15"/>
  <c r="AV237" i="15"/>
  <c r="Z237" i="15"/>
  <c r="N236" i="15"/>
  <c r="N233" i="15"/>
  <c r="BR230" i="15"/>
  <c r="CA230" i="15" s="1"/>
  <c r="AV230" i="15"/>
  <c r="Z230" i="15"/>
  <c r="BR228" i="15"/>
  <c r="BS228" i="15" s="1"/>
  <c r="BT228" i="15" s="1"/>
  <c r="BU228" i="15" s="1"/>
  <c r="BV228" i="15" s="1"/>
  <c r="BW228" i="15" s="1"/>
  <c r="BX228" i="15" s="1"/>
  <c r="BY228" i="15" s="1"/>
  <c r="BZ228" i="15" s="1"/>
  <c r="CA228" i="15" s="1"/>
  <c r="AV228" i="15"/>
  <c r="AW228" i="15" s="1"/>
  <c r="AX228" i="15" s="1"/>
  <c r="AY228" i="15" s="1"/>
  <c r="AZ228" i="15" s="1"/>
  <c r="BA228" i="15" s="1"/>
  <c r="BB228" i="15" s="1"/>
  <c r="BC228" i="15" s="1"/>
  <c r="BD228" i="15" s="1"/>
  <c r="BE228" i="15" s="1"/>
  <c r="Z228" i="15"/>
  <c r="BU225" i="15"/>
  <c r="BT225" i="15"/>
  <c r="BR225" i="15"/>
  <c r="AX225" i="15"/>
  <c r="AW225" i="15"/>
  <c r="AV225" i="15"/>
  <c r="AA225" i="15"/>
  <c r="Z225" i="15"/>
  <c r="P225" i="15"/>
  <c r="BU224" i="15"/>
  <c r="BV224" i="15" s="1"/>
  <c r="BV225" i="15" s="1"/>
  <c r="BT224" i="15"/>
  <c r="BS224" i="15"/>
  <c r="BS225" i="15" s="1"/>
  <c r="AW224" i="15"/>
  <c r="AX224" i="15" s="1"/>
  <c r="AY224" i="15" s="1"/>
  <c r="AY225" i="15" s="1"/>
  <c r="AA224" i="15"/>
  <c r="AB224" i="15" s="1"/>
  <c r="S222" i="15"/>
  <c r="P222" i="15"/>
  <c r="O222" i="15" s="1"/>
  <c r="P219" i="15"/>
  <c r="O219" i="15" s="1"/>
  <c r="P215" i="15"/>
  <c r="O215" i="15"/>
  <c r="BU214" i="15"/>
  <c r="AY214" i="15"/>
  <c r="AC214" i="15"/>
  <c r="BU213" i="15"/>
  <c r="AY213" i="15"/>
  <c r="AC213" i="15"/>
  <c r="BU212" i="15"/>
  <c r="AY212" i="15"/>
  <c r="AC212" i="15"/>
  <c r="P212" i="15"/>
  <c r="BU210" i="15"/>
  <c r="AY210" i="15"/>
  <c r="AC210" i="15"/>
  <c r="BU209" i="15"/>
  <c r="AY209" i="15"/>
  <c r="AV229" i="15" s="1"/>
  <c r="AW229" i="15" s="1"/>
  <c r="AX229" i="15" s="1"/>
  <c r="AY229" i="15" s="1"/>
  <c r="AC209" i="15"/>
  <c r="P209" i="15"/>
  <c r="BU208" i="15"/>
  <c r="AY208" i="15"/>
  <c r="AC208" i="15"/>
  <c r="Z229" i="15" s="1"/>
  <c r="AA229" i="15" s="1"/>
  <c r="P205" i="15"/>
  <c r="O205" i="15"/>
  <c r="P202" i="15"/>
  <c r="P199" i="15"/>
  <c r="BS198" i="15"/>
  <c r="AW198" i="15"/>
  <c r="AA198" i="15"/>
  <c r="BS196" i="15"/>
  <c r="AW196" i="15"/>
  <c r="AA196" i="15"/>
  <c r="BS195" i="15"/>
  <c r="AW195" i="15"/>
  <c r="AA195" i="15"/>
  <c r="P194" i="15"/>
  <c r="P191" i="15"/>
  <c r="P188" i="15"/>
  <c r="O188" i="15"/>
  <c r="P184" i="15"/>
  <c r="O184" i="15" s="1"/>
  <c r="BU183" i="15"/>
  <c r="BK222" i="15" s="1"/>
  <c r="AY183" i="15"/>
  <c r="AO222" i="15" s="1"/>
  <c r="AC183" i="15"/>
  <c r="P181" i="15"/>
  <c r="P178" i="15"/>
  <c r="O178" i="15"/>
  <c r="P174" i="15"/>
  <c r="P171" i="15"/>
  <c r="O171" i="15"/>
  <c r="P168" i="15"/>
  <c r="AJ163" i="15"/>
  <c r="AI163" i="15"/>
  <c r="AH163" i="15"/>
  <c r="AG163" i="15"/>
  <c r="AF163" i="15"/>
  <c r="AE163" i="15"/>
  <c r="AD163" i="15"/>
  <c r="AC163" i="15"/>
  <c r="AB163" i="15"/>
  <c r="AA163" i="15"/>
  <c r="P163" i="15"/>
  <c r="P160" i="15"/>
  <c r="O160" i="15"/>
  <c r="P157" i="15"/>
  <c r="AA154" i="15"/>
  <c r="AA153" i="15"/>
  <c r="AB153" i="15" s="1"/>
  <c r="AC153" i="15" s="1"/>
  <c r="AD153" i="15" s="1"/>
  <c r="AE153" i="15" s="1"/>
  <c r="AF153" i="15" s="1"/>
  <c r="AG153" i="15" s="1"/>
  <c r="AH153" i="15" s="1"/>
  <c r="AI153" i="15" s="1"/>
  <c r="AJ153" i="15" s="1"/>
  <c r="P153" i="15"/>
  <c r="O153" i="15" s="1"/>
  <c r="P150" i="15"/>
  <c r="O150" i="15" s="1"/>
  <c r="AC149" i="15"/>
  <c r="AB149" i="15"/>
  <c r="AA149" i="15"/>
  <c r="AD148" i="15"/>
  <c r="AD149" i="15" s="1"/>
  <c r="AB148" i="15"/>
  <c r="AC148" i="15" s="1"/>
  <c r="P147" i="15"/>
  <c r="O147" i="15"/>
  <c r="P143" i="15"/>
  <c r="P140" i="15"/>
  <c r="O140" i="15"/>
  <c r="AD138" i="15"/>
  <c r="AA161" i="15" s="1"/>
  <c r="AD137" i="15"/>
  <c r="P137" i="15"/>
  <c r="O137" i="15" s="1"/>
  <c r="AD136" i="15"/>
  <c r="AD134" i="15"/>
  <c r="AD133" i="15"/>
  <c r="AD132" i="15"/>
  <c r="AA152" i="15" s="1"/>
  <c r="AB152" i="15" s="1"/>
  <c r="N129" i="15"/>
  <c r="M129" i="15"/>
  <c r="N126" i="15"/>
  <c r="N123" i="15"/>
  <c r="AB122" i="15"/>
  <c r="AB120" i="15"/>
  <c r="AB119" i="15"/>
  <c r="N119" i="15"/>
  <c r="M119" i="15" s="1"/>
  <c r="N116" i="15"/>
  <c r="N113" i="15"/>
  <c r="M113" i="15"/>
  <c r="N109" i="15"/>
  <c r="AD107" i="15"/>
  <c r="T146" i="15" s="1"/>
  <c r="N106" i="15"/>
  <c r="N103" i="15"/>
  <c r="M103" i="15"/>
  <c r="P95" i="15"/>
  <c r="P92" i="15"/>
  <c r="O92" i="15"/>
  <c r="P89" i="15"/>
  <c r="P85" i="15"/>
  <c r="P82" i="15"/>
  <c r="O82" i="15" s="1"/>
  <c r="P79" i="15"/>
  <c r="O79" i="15" s="1"/>
  <c r="P75" i="15"/>
  <c r="P72" i="15"/>
  <c r="O72" i="15"/>
  <c r="P69" i="15"/>
  <c r="O69" i="15" s="1"/>
  <c r="P64" i="15"/>
  <c r="O64" i="15" s="1"/>
  <c r="CB62" i="15"/>
  <c r="CA62" i="15"/>
  <c r="BZ62" i="15"/>
  <c r="BY62" i="15"/>
  <c r="BX62" i="15"/>
  <c r="BW62" i="15"/>
  <c r="BV62" i="15"/>
  <c r="BU62" i="15"/>
  <c r="BT62" i="15"/>
  <c r="BS62" i="15"/>
  <c r="BF62" i="15"/>
  <c r="BE62" i="15"/>
  <c r="BD62" i="15"/>
  <c r="BC62" i="15"/>
  <c r="BB62" i="15"/>
  <c r="BA62" i="15"/>
  <c r="AZ62" i="15"/>
  <c r="AY62" i="15"/>
  <c r="AX62" i="15"/>
  <c r="AW62" i="15"/>
  <c r="AJ62" i="15"/>
  <c r="AI62" i="15"/>
  <c r="AH62" i="15"/>
  <c r="AG62" i="15"/>
  <c r="AF62" i="15"/>
  <c r="AE62" i="15"/>
  <c r="AD62" i="15"/>
  <c r="AC62" i="15"/>
  <c r="AB62" i="15"/>
  <c r="AA62" i="15"/>
  <c r="P61" i="15"/>
  <c r="O61" i="15" s="1"/>
  <c r="BS60" i="15"/>
  <c r="AW60" i="15"/>
  <c r="AA60" i="15"/>
  <c r="P58" i="15"/>
  <c r="O58" i="15" s="1"/>
  <c r="P54" i="15"/>
  <c r="O54" i="15" s="1"/>
  <c r="BS53" i="15"/>
  <c r="AW53" i="15"/>
  <c r="BC53" i="15" s="1"/>
  <c r="AA53" i="15"/>
  <c r="BS52" i="15"/>
  <c r="BT52" i="15" s="1"/>
  <c r="BU52" i="15" s="1"/>
  <c r="BV52" i="15" s="1"/>
  <c r="BW52" i="15" s="1"/>
  <c r="BX52" i="15" s="1"/>
  <c r="BY52" i="15" s="1"/>
  <c r="BZ52" i="15" s="1"/>
  <c r="CA52" i="15" s="1"/>
  <c r="CB52" i="15" s="1"/>
  <c r="AW52" i="15"/>
  <c r="AX52" i="15" s="1"/>
  <c r="AY52" i="15" s="1"/>
  <c r="AZ52" i="15" s="1"/>
  <c r="BA52" i="15" s="1"/>
  <c r="BB52" i="15" s="1"/>
  <c r="BC52" i="15" s="1"/>
  <c r="BD52" i="15" s="1"/>
  <c r="BE52" i="15" s="1"/>
  <c r="BF52" i="15" s="1"/>
  <c r="AA52" i="15"/>
  <c r="AB52" i="15" s="1"/>
  <c r="AC52" i="15" s="1"/>
  <c r="AD52" i="15" s="1"/>
  <c r="AE52" i="15" s="1"/>
  <c r="AF52" i="15" s="1"/>
  <c r="AG52" i="15" s="1"/>
  <c r="AH52" i="15" s="1"/>
  <c r="AI52" i="15" s="1"/>
  <c r="AJ52" i="15" s="1"/>
  <c r="BS51" i="15"/>
  <c r="BS54" i="15" s="1"/>
  <c r="BS56" i="15" s="1"/>
  <c r="BS63" i="15" s="1"/>
  <c r="P51" i="15"/>
  <c r="O51" i="15" s="1"/>
  <c r="BS48" i="15"/>
  <c r="AW48" i="15"/>
  <c r="AB48" i="15"/>
  <c r="AA48" i="15"/>
  <c r="P48" i="15"/>
  <c r="O48" i="15" s="1"/>
  <c r="BT47" i="15"/>
  <c r="AX47" i="15"/>
  <c r="AX48" i="15" s="1"/>
  <c r="AB47" i="15"/>
  <c r="AC47" i="15" s="1"/>
  <c r="AC48" i="15" s="1"/>
  <c r="BL45" i="15"/>
  <c r="AP45" i="15"/>
  <c r="T45" i="15"/>
  <c r="P44" i="15"/>
  <c r="O44" i="15" s="1"/>
  <c r="P41" i="15"/>
  <c r="O41" i="15" s="1"/>
  <c r="P38" i="15"/>
  <c r="BV37" i="15"/>
  <c r="AZ37" i="15"/>
  <c r="AD37" i="15"/>
  <c r="BV36" i="15"/>
  <c r="AZ36" i="15"/>
  <c r="AD36" i="15"/>
  <c r="BV35" i="15"/>
  <c r="AZ35" i="15"/>
  <c r="AD35" i="15"/>
  <c r="BV33" i="15"/>
  <c r="AZ33" i="15"/>
  <c r="AD33" i="15"/>
  <c r="P33" i="15"/>
  <c r="O33" i="15"/>
  <c r="BV32" i="15"/>
  <c r="AZ32" i="15"/>
  <c r="AD32" i="15"/>
  <c r="BV31" i="15"/>
  <c r="AZ31" i="15"/>
  <c r="AW51" i="15" s="1"/>
  <c r="AD31" i="15"/>
  <c r="AA51" i="15" s="1"/>
  <c r="AB51" i="15" s="1"/>
  <c r="AC51" i="15" s="1"/>
  <c r="AD51" i="15" s="1"/>
  <c r="P30" i="15"/>
  <c r="O30" i="15"/>
  <c r="P27" i="15"/>
  <c r="P23" i="15"/>
  <c r="O23" i="15" s="1"/>
  <c r="BT21" i="15"/>
  <c r="AX21" i="15"/>
  <c r="AB21" i="15"/>
  <c r="P20" i="15"/>
  <c r="O20" i="15" s="1"/>
  <c r="BT19" i="15"/>
  <c r="AX19" i="15"/>
  <c r="AB19" i="15"/>
  <c r="BT18" i="15"/>
  <c r="AX18" i="15"/>
  <c r="AB18" i="15"/>
  <c r="P17" i="15"/>
  <c r="P13" i="15"/>
  <c r="O13" i="15"/>
  <c r="P10" i="15"/>
  <c r="P7" i="15"/>
  <c r="O7" i="15" s="1"/>
  <c r="BV6" i="15"/>
  <c r="AZ6" i="15"/>
  <c r="AD6" i="15"/>
  <c r="E2" i="15"/>
  <c r="AI340" i="14"/>
  <c r="AH340" i="14"/>
  <c r="AG340" i="14"/>
  <c r="AF340" i="14"/>
  <c r="AE340" i="14"/>
  <c r="AD340" i="14"/>
  <c r="AC340" i="14"/>
  <c r="AB340" i="14"/>
  <c r="AA340" i="14"/>
  <c r="Z340" i="14"/>
  <c r="Z338" i="14"/>
  <c r="AI336" i="14"/>
  <c r="AH336" i="14"/>
  <c r="AG336" i="14"/>
  <c r="AF336" i="14"/>
  <c r="AE336" i="14"/>
  <c r="AD336" i="14"/>
  <c r="AC336" i="14"/>
  <c r="AB336" i="14"/>
  <c r="AA336" i="14"/>
  <c r="Z336" i="14"/>
  <c r="AE331" i="14"/>
  <c r="AD331" i="14"/>
  <c r="AC331" i="14"/>
  <c r="Z331" i="14"/>
  <c r="Z330" i="14"/>
  <c r="Z332" i="14" s="1"/>
  <c r="Z334" i="14" s="1"/>
  <c r="Z341" i="14" s="1"/>
  <c r="Z329" i="14"/>
  <c r="Z326" i="14"/>
  <c r="AA325" i="14"/>
  <c r="AB325" i="14" s="1"/>
  <c r="AC315" i="14"/>
  <c r="AC314" i="14"/>
  <c r="AC313" i="14"/>
  <c r="AC311" i="14"/>
  <c r="AC310" i="14"/>
  <c r="AC309" i="14"/>
  <c r="AA299" i="14"/>
  <c r="AA297" i="14"/>
  <c r="AA296" i="14"/>
  <c r="AC284" i="14"/>
  <c r="S323" i="14" s="1"/>
  <c r="U269" i="14"/>
  <c r="X266" i="14"/>
  <c r="N259" i="14"/>
  <c r="N256" i="14"/>
  <c r="M256" i="14" s="1"/>
  <c r="N253" i="14"/>
  <c r="M253" i="14" s="1"/>
  <c r="N249" i="14"/>
  <c r="N246" i="14"/>
  <c r="N243" i="14"/>
  <c r="N239" i="14"/>
  <c r="M239" i="14"/>
  <c r="BR237" i="14"/>
  <c r="AV237" i="14"/>
  <c r="Z237" i="14"/>
  <c r="N236" i="14"/>
  <c r="M236" i="14"/>
  <c r="N233" i="14"/>
  <c r="M233" i="14" s="1"/>
  <c r="BR230" i="14"/>
  <c r="AV230" i="14"/>
  <c r="BB230" i="14" s="1"/>
  <c r="Z230" i="14"/>
  <c r="BR229" i="14"/>
  <c r="BS229" i="14" s="1"/>
  <c r="BR228" i="14"/>
  <c r="BS228" i="14" s="1"/>
  <c r="BT228" i="14" s="1"/>
  <c r="BU228" i="14" s="1"/>
  <c r="BV228" i="14" s="1"/>
  <c r="BW228" i="14" s="1"/>
  <c r="BX228" i="14" s="1"/>
  <c r="BY228" i="14" s="1"/>
  <c r="BZ228" i="14" s="1"/>
  <c r="CA228" i="14" s="1"/>
  <c r="AV228" i="14"/>
  <c r="Z228" i="14"/>
  <c r="BU225" i="14"/>
  <c r="BT225" i="14"/>
  <c r="BR225" i="14"/>
  <c r="AX225" i="14"/>
  <c r="AW225" i="14"/>
  <c r="AV225" i="14"/>
  <c r="AC225" i="14"/>
  <c r="AB225" i="14"/>
  <c r="AA225" i="14"/>
  <c r="Z225" i="14"/>
  <c r="P225" i="14"/>
  <c r="BV224" i="14"/>
  <c r="BV225" i="14" s="1"/>
  <c r="BU224" i="14"/>
  <c r="BT224" i="14"/>
  <c r="BS224" i="14"/>
  <c r="BS225" i="14" s="1"/>
  <c r="AW224" i="14"/>
  <c r="AX224" i="14" s="1"/>
  <c r="AY224" i="14" s="1"/>
  <c r="AY225" i="14" s="1"/>
  <c r="AD224" i="14"/>
  <c r="AE224" i="14" s="1"/>
  <c r="AA224" i="14"/>
  <c r="AB224" i="14" s="1"/>
  <c r="AC224" i="14" s="1"/>
  <c r="AO222" i="14"/>
  <c r="S222" i="14"/>
  <c r="P222" i="14"/>
  <c r="P219" i="14"/>
  <c r="O219" i="14" s="1"/>
  <c r="P215" i="14"/>
  <c r="O215" i="14" s="1"/>
  <c r="BU214" i="14"/>
  <c r="AY214" i="14"/>
  <c r="AC214" i="14"/>
  <c r="BU213" i="14"/>
  <c r="AY213" i="14"/>
  <c r="AC213" i="14"/>
  <c r="BU212" i="14"/>
  <c r="AY212" i="14"/>
  <c r="AC212" i="14"/>
  <c r="P212" i="14"/>
  <c r="O212" i="14" s="1"/>
  <c r="BU210" i="14"/>
  <c r="AY210" i="14"/>
  <c r="AC210" i="14"/>
  <c r="BU209" i="14"/>
  <c r="AY209" i="14"/>
  <c r="AC209" i="14"/>
  <c r="Z229" i="14" s="1"/>
  <c r="P209" i="14"/>
  <c r="O209" i="14" s="1"/>
  <c r="BU208" i="14"/>
  <c r="AY208" i="14"/>
  <c r="AV229" i="14" s="1"/>
  <c r="AW229" i="14" s="1"/>
  <c r="AC208" i="14"/>
  <c r="P205" i="14"/>
  <c r="P202" i="14"/>
  <c r="O202" i="14" s="1"/>
  <c r="P199" i="14"/>
  <c r="O199" i="14"/>
  <c r="BS198" i="14"/>
  <c r="AW198" i="14"/>
  <c r="AA198" i="14"/>
  <c r="BS196" i="14"/>
  <c r="AW196" i="14"/>
  <c r="AA196" i="14"/>
  <c r="BS195" i="14"/>
  <c r="AW195" i="14"/>
  <c r="AA195" i="14"/>
  <c r="P194" i="14"/>
  <c r="O194" i="14" s="1"/>
  <c r="P191" i="14"/>
  <c r="O191" i="14" s="1"/>
  <c r="P188" i="14"/>
  <c r="P184" i="14"/>
  <c r="BU183" i="14"/>
  <c r="BK222" i="14" s="1"/>
  <c r="AY183" i="14"/>
  <c r="AC183" i="14"/>
  <c r="P181" i="14"/>
  <c r="P178" i="14"/>
  <c r="O178" i="14" s="1"/>
  <c r="P174" i="14"/>
  <c r="O174" i="14"/>
  <c r="P171" i="14"/>
  <c r="O171" i="14" s="1"/>
  <c r="P168" i="14"/>
  <c r="AJ163" i="14"/>
  <c r="AI163" i="14"/>
  <c r="AH163" i="14"/>
  <c r="AG163" i="14"/>
  <c r="AF163" i="14"/>
  <c r="AE163" i="14"/>
  <c r="AD163" i="14"/>
  <c r="AC163" i="14"/>
  <c r="AB163" i="14"/>
  <c r="AA163" i="14"/>
  <c r="P163" i="14"/>
  <c r="O163" i="14"/>
  <c r="P160" i="14"/>
  <c r="O160" i="14" s="1"/>
  <c r="P157" i="14"/>
  <c r="AA154" i="14"/>
  <c r="AI154" i="14" s="1"/>
  <c r="AA153" i="14"/>
  <c r="P153" i="14"/>
  <c r="O153" i="14" s="1"/>
  <c r="AA152" i="14"/>
  <c r="P150" i="14"/>
  <c r="O150" i="14"/>
  <c r="AB149" i="14"/>
  <c r="AA149" i="14"/>
  <c r="AB148" i="14"/>
  <c r="AC148" i="14" s="1"/>
  <c r="AC149" i="14" s="1"/>
  <c r="P147" i="14"/>
  <c r="O147" i="14"/>
  <c r="T146" i="14"/>
  <c r="P143" i="14"/>
  <c r="P140" i="14"/>
  <c r="O140" i="14" s="1"/>
  <c r="AD138" i="14"/>
  <c r="AA161" i="14" s="1"/>
  <c r="AD137" i="14"/>
  <c r="P137" i="14"/>
  <c r="AD136" i="14"/>
  <c r="AD134" i="14"/>
  <c r="AD133" i="14"/>
  <c r="AD132" i="14"/>
  <c r="N129" i="14"/>
  <c r="M129" i="14"/>
  <c r="N126" i="14"/>
  <c r="N123" i="14"/>
  <c r="M123" i="14" s="1"/>
  <c r="AB122" i="14"/>
  <c r="AB120" i="14"/>
  <c r="AB119" i="14"/>
  <c r="N119" i="14"/>
  <c r="N116" i="14"/>
  <c r="M116" i="14"/>
  <c r="N113" i="14"/>
  <c r="M113" i="14" s="1"/>
  <c r="N109" i="14"/>
  <c r="AD107" i="14"/>
  <c r="N106" i="14"/>
  <c r="M106" i="14" s="1"/>
  <c r="N103" i="14"/>
  <c r="M103" i="14"/>
  <c r="P95" i="14"/>
  <c r="P92" i="14"/>
  <c r="O92" i="14"/>
  <c r="P89" i="14"/>
  <c r="O89" i="14" s="1"/>
  <c r="P85" i="14"/>
  <c r="O85" i="14" s="1"/>
  <c r="P82" i="14"/>
  <c r="O82" i="14"/>
  <c r="P79" i="14"/>
  <c r="O79" i="14" s="1"/>
  <c r="K83" i="14" s="1"/>
  <c r="P75" i="14"/>
  <c r="O75" i="14" s="1"/>
  <c r="P72" i="14"/>
  <c r="O72" i="14"/>
  <c r="P69" i="14"/>
  <c r="P64" i="14"/>
  <c r="CB62" i="14"/>
  <c r="CA62" i="14"/>
  <c r="BZ62" i="14"/>
  <c r="BY62" i="14"/>
  <c r="BX62" i="14"/>
  <c r="BW62" i="14"/>
  <c r="BV62" i="14"/>
  <c r="BU62" i="14"/>
  <c r="BT62" i="14"/>
  <c r="BS62" i="14"/>
  <c r="BF62" i="14"/>
  <c r="BE62" i="14"/>
  <c r="BD62" i="14"/>
  <c r="BC62" i="14"/>
  <c r="BB62" i="14"/>
  <c r="BA62" i="14"/>
  <c r="AZ62" i="14"/>
  <c r="AY62" i="14"/>
  <c r="AX62" i="14"/>
  <c r="AW62" i="14"/>
  <c r="AJ62" i="14"/>
  <c r="AI62" i="14"/>
  <c r="AH62" i="14"/>
  <c r="AG62" i="14"/>
  <c r="AF62" i="14"/>
  <c r="AE62" i="14"/>
  <c r="AD62" i="14"/>
  <c r="AC62" i="14"/>
  <c r="AB62" i="14"/>
  <c r="AA62" i="14"/>
  <c r="P61" i="14"/>
  <c r="O61" i="14" s="1"/>
  <c r="BS60" i="14"/>
  <c r="AW60" i="14"/>
  <c r="AA60" i="14"/>
  <c r="P58" i="14"/>
  <c r="O58" i="14"/>
  <c r="P54" i="14"/>
  <c r="O54" i="14" s="1"/>
  <c r="BS53" i="14"/>
  <c r="AW53" i="14"/>
  <c r="AA53" i="14"/>
  <c r="AJ53" i="14" s="1"/>
  <c r="BS52" i="14"/>
  <c r="AW52" i="14"/>
  <c r="AA52" i="14"/>
  <c r="BS51" i="14"/>
  <c r="P51" i="14"/>
  <c r="O51" i="14" s="1"/>
  <c r="BS48" i="14"/>
  <c r="AW48" i="14"/>
  <c r="AB48" i="14"/>
  <c r="AA48" i="14"/>
  <c r="P48" i="14"/>
  <c r="O48" i="14" s="1"/>
  <c r="BT47" i="14"/>
  <c r="AX47" i="14"/>
  <c r="AX48" i="14" s="1"/>
  <c r="AC47" i="14"/>
  <c r="AC48" i="14" s="1"/>
  <c r="AB47" i="14"/>
  <c r="BL45" i="14"/>
  <c r="AP45" i="14"/>
  <c r="T45" i="14"/>
  <c r="P44" i="14"/>
  <c r="P41" i="14"/>
  <c r="O41" i="14"/>
  <c r="P38" i="14"/>
  <c r="O38" i="14" s="1"/>
  <c r="BV37" i="14"/>
  <c r="AZ37" i="14"/>
  <c r="AD37" i="14"/>
  <c r="BV36" i="14"/>
  <c r="AZ36" i="14"/>
  <c r="AD36" i="14"/>
  <c r="BV35" i="14"/>
  <c r="AZ35" i="14"/>
  <c r="AD35" i="14"/>
  <c r="BV33" i="14"/>
  <c r="AZ33" i="14"/>
  <c r="AD33" i="14"/>
  <c r="P33" i="14"/>
  <c r="O33" i="14"/>
  <c r="BV32" i="14"/>
  <c r="AZ32" i="14"/>
  <c r="AD32" i="14"/>
  <c r="BV31" i="14"/>
  <c r="AZ31" i="14"/>
  <c r="AW51" i="14" s="1"/>
  <c r="AD31" i="14"/>
  <c r="AA51" i="14" s="1"/>
  <c r="P30" i="14"/>
  <c r="O30" i="14"/>
  <c r="P27" i="14"/>
  <c r="P23" i="14"/>
  <c r="O23" i="14" s="1"/>
  <c r="BT21" i="14"/>
  <c r="AX21" i="14"/>
  <c r="AB21" i="14"/>
  <c r="P20" i="14"/>
  <c r="BT19" i="14"/>
  <c r="AX19" i="14"/>
  <c r="AB19" i="14"/>
  <c r="BT18" i="14"/>
  <c r="AX18" i="14"/>
  <c r="AB18" i="14"/>
  <c r="P17" i="14"/>
  <c r="P13" i="14"/>
  <c r="O13" i="14"/>
  <c r="P10" i="14"/>
  <c r="P7" i="14"/>
  <c r="O7" i="14" s="1"/>
  <c r="BV6" i="14"/>
  <c r="AZ6" i="14"/>
  <c r="AD6" i="14"/>
  <c r="E2" i="14"/>
  <c r="AA299" i="12"/>
  <c r="BS198" i="12"/>
  <c r="AW198" i="12"/>
  <c r="AA198" i="12"/>
  <c r="AB122" i="12"/>
  <c r="BT21" i="12"/>
  <c r="AX21" i="12"/>
  <c r="AB21" i="12"/>
  <c r="P225" i="12"/>
  <c r="P222" i="12"/>
  <c r="P219" i="12"/>
  <c r="P215" i="12"/>
  <c r="P212" i="12"/>
  <c r="P209" i="12"/>
  <c r="P205" i="12"/>
  <c r="P202" i="12"/>
  <c r="P199" i="12"/>
  <c r="P194" i="12"/>
  <c r="P191" i="12"/>
  <c r="P188" i="12"/>
  <c r="P184" i="12"/>
  <c r="P181" i="12"/>
  <c r="P178" i="12"/>
  <c r="P174" i="12"/>
  <c r="P171" i="12"/>
  <c r="P168" i="12"/>
  <c r="P163" i="12"/>
  <c r="P160" i="12"/>
  <c r="P157" i="12"/>
  <c r="P153" i="12"/>
  <c r="P150" i="12"/>
  <c r="P147" i="12"/>
  <c r="P143" i="12"/>
  <c r="P140" i="12"/>
  <c r="P137" i="12"/>
  <c r="N259" i="12"/>
  <c r="N256" i="12"/>
  <c r="N253" i="12"/>
  <c r="N249" i="12"/>
  <c r="N246" i="12"/>
  <c r="N243" i="12"/>
  <c r="N239" i="12"/>
  <c r="N236" i="12"/>
  <c r="N233" i="12"/>
  <c r="X266" i="12"/>
  <c r="U269" i="12"/>
  <c r="AA297" i="12"/>
  <c r="AA296" i="12"/>
  <c r="BS196" i="12"/>
  <c r="BS195" i="12"/>
  <c r="AW196" i="12"/>
  <c r="AW195" i="12"/>
  <c r="AA196" i="12"/>
  <c r="AA195" i="12"/>
  <c r="AC183" i="12"/>
  <c r="S222" i="12" s="1"/>
  <c r="AY183" i="12"/>
  <c r="AO222" i="12" s="1"/>
  <c r="BU183" i="12"/>
  <c r="BK222" i="12" s="1"/>
  <c r="AC208" i="12"/>
  <c r="AY208" i="12"/>
  <c r="BU208" i="12"/>
  <c r="BR229" i="12" s="1"/>
  <c r="BR231" i="12" s="1"/>
  <c r="BR235" i="12" s="1"/>
  <c r="AC209" i="12"/>
  <c r="Z229" i="12" s="1"/>
  <c r="AY209" i="12"/>
  <c r="AV229" i="12" s="1"/>
  <c r="BU209" i="12"/>
  <c r="AC210" i="12"/>
  <c r="AY210" i="12"/>
  <c r="BU210" i="12"/>
  <c r="AC212" i="12"/>
  <c r="AY212" i="12"/>
  <c r="BU212" i="12"/>
  <c r="AC213" i="12"/>
  <c r="AY213" i="12"/>
  <c r="BU213" i="12"/>
  <c r="AC214" i="12"/>
  <c r="AY214" i="12"/>
  <c r="BU214" i="12"/>
  <c r="AA224" i="12"/>
  <c r="AW224" i="12"/>
  <c r="AX224" i="12" s="1"/>
  <c r="AY224" i="12" s="1"/>
  <c r="AZ224" i="12" s="1"/>
  <c r="BS224" i="12"/>
  <c r="BS225" i="12" s="1"/>
  <c r="BT224" i="12"/>
  <c r="BT225" i="12" s="1"/>
  <c r="BU224" i="12"/>
  <c r="BU225" i="12" s="1"/>
  <c r="BV224" i="12"/>
  <c r="BW224" i="12" s="1"/>
  <c r="Z225" i="12"/>
  <c r="AV225" i="12"/>
  <c r="BR225" i="12"/>
  <c r="Z228" i="12"/>
  <c r="AV228" i="12"/>
  <c r="BR228" i="12"/>
  <c r="Z230" i="12"/>
  <c r="AA230" i="12" s="1"/>
  <c r="AV230" i="12"/>
  <c r="AX230" i="12" s="1"/>
  <c r="BR230" i="12"/>
  <c r="BS230" i="12" s="1"/>
  <c r="Z237" i="12"/>
  <c r="AV237" i="12"/>
  <c r="BR237" i="12"/>
  <c r="AC284" i="12"/>
  <c r="S323" i="12" s="1"/>
  <c r="AC309" i="12"/>
  <c r="Z330" i="12" s="1"/>
  <c r="AC310" i="12"/>
  <c r="AC311" i="12"/>
  <c r="AC313" i="12"/>
  <c r="AC314" i="12"/>
  <c r="AC315" i="12"/>
  <c r="AA325" i="12"/>
  <c r="AB325" i="12"/>
  <c r="AB326" i="12" s="1"/>
  <c r="AC325" i="12"/>
  <c r="AC326" i="12" s="1"/>
  <c r="AD325" i="12"/>
  <c r="AD326" i="12" s="1"/>
  <c r="Z326" i="12"/>
  <c r="AA326" i="12"/>
  <c r="Z329" i="12"/>
  <c r="Z331" i="12"/>
  <c r="AA331" i="12" s="1"/>
  <c r="Z338" i="12"/>
  <c r="Z340" i="12"/>
  <c r="AA340" i="12"/>
  <c r="AB340" i="12"/>
  <c r="AC340" i="12"/>
  <c r="AD340" i="12"/>
  <c r="AE340" i="12"/>
  <c r="AF340" i="12"/>
  <c r="AG340" i="12"/>
  <c r="AH340" i="12"/>
  <c r="AI340" i="12"/>
  <c r="BT230" i="15" l="1"/>
  <c r="AB331" i="15"/>
  <c r="AA331" i="15"/>
  <c r="AI331" i="15"/>
  <c r="AH331" i="15"/>
  <c r="AF331" i="15"/>
  <c r="BW230" i="15"/>
  <c r="AE331" i="15"/>
  <c r="AB230" i="14"/>
  <c r="AA230" i="14"/>
  <c r="AH230" i="14"/>
  <c r="AG230" i="14"/>
  <c r="AF230" i="14"/>
  <c r="AC230" i="15"/>
  <c r="AF230" i="15"/>
  <c r="AE230" i="15"/>
  <c r="AG230" i="15"/>
  <c r="AD230" i="15"/>
  <c r="AB230" i="15"/>
  <c r="AD230" i="14"/>
  <c r="AA230" i="15"/>
  <c r="AH230" i="15"/>
  <c r="AG331" i="14"/>
  <c r="AB331" i="14"/>
  <c r="AA331" i="14"/>
  <c r="AI331" i="14"/>
  <c r="AF331" i="14"/>
  <c r="AY53" i="15"/>
  <c r="AZ53" i="15"/>
  <c r="BR229" i="15"/>
  <c r="BS229" i="15" s="1"/>
  <c r="K151" i="15"/>
  <c r="I247" i="15"/>
  <c r="BS58" i="15"/>
  <c r="BS65" i="15" s="1"/>
  <c r="AE51" i="15"/>
  <c r="AD54" i="15"/>
  <c r="AY231" i="15"/>
  <c r="AZ229" i="15"/>
  <c r="BE230" i="15"/>
  <c r="AW230" i="15"/>
  <c r="AW231" i="15" s="1"/>
  <c r="BD230" i="15"/>
  <c r="BC230" i="15"/>
  <c r="AY230" i="15"/>
  <c r="AX230" i="15"/>
  <c r="AX231" i="15" s="1"/>
  <c r="BB230" i="15"/>
  <c r="BA230" i="15"/>
  <c r="AB325" i="15"/>
  <c r="AA326" i="15"/>
  <c r="AD47" i="15"/>
  <c r="AG53" i="15"/>
  <c r="AF53" i="15"/>
  <c r="AJ53" i="15"/>
  <c r="AI53" i="15"/>
  <c r="AH53" i="15"/>
  <c r="AA54" i="15"/>
  <c r="AE148" i="15"/>
  <c r="BW224" i="15"/>
  <c r="AB229" i="15"/>
  <c r="AA231" i="15"/>
  <c r="AZ230" i="15"/>
  <c r="CB53" i="14"/>
  <c r="CA53" i="14"/>
  <c r="BZ53" i="14"/>
  <c r="BY53" i="14"/>
  <c r="AB53" i="15"/>
  <c r="AC152" i="15"/>
  <c r="AB155" i="15"/>
  <c r="AE154" i="15"/>
  <c r="AD154" i="15"/>
  <c r="AB154" i="15"/>
  <c r="AJ154" i="15"/>
  <c r="AI154" i="15"/>
  <c r="AH154" i="15"/>
  <c r="BT53" i="14"/>
  <c r="BU47" i="15"/>
  <c r="BT48" i="15"/>
  <c r="AC53" i="15"/>
  <c r="AC54" i="15" s="1"/>
  <c r="BU53" i="15"/>
  <c r="BW53" i="15"/>
  <c r="CB53" i="15"/>
  <c r="CA53" i="15"/>
  <c r="BZ53" i="15"/>
  <c r="AC154" i="15"/>
  <c r="AD53" i="15"/>
  <c r="BT53" i="15"/>
  <c r="AF154" i="15"/>
  <c r="AH154" i="14"/>
  <c r="AJ154" i="14"/>
  <c r="AB54" i="15"/>
  <c r="AE53" i="15"/>
  <c r="BV53" i="15"/>
  <c r="AG154" i="15"/>
  <c r="AC224" i="15"/>
  <c r="AB225" i="15"/>
  <c r="AB154" i="14"/>
  <c r="AW54" i="15"/>
  <c r="AX51" i="15"/>
  <c r="BA53" i="15"/>
  <c r="BB53" i="15"/>
  <c r="BF53" i="15"/>
  <c r="BE53" i="15"/>
  <c r="BD53" i="15"/>
  <c r="BX53" i="15"/>
  <c r="K62" i="15"/>
  <c r="AA155" i="15"/>
  <c r="Z231" i="15"/>
  <c r="AG154" i="14"/>
  <c r="K52" i="15"/>
  <c r="AX53" i="15"/>
  <c r="BY53" i="15"/>
  <c r="BS67" i="15"/>
  <c r="AV231" i="15"/>
  <c r="AA330" i="15"/>
  <c r="Z332" i="15"/>
  <c r="Z334" i="15" s="1"/>
  <c r="Z341" i="15" s="1"/>
  <c r="AA228" i="15"/>
  <c r="AB228" i="15" s="1"/>
  <c r="AC228" i="15" s="1"/>
  <c r="AD228" i="15" s="1"/>
  <c r="AE228" i="15" s="1"/>
  <c r="AF228" i="15" s="1"/>
  <c r="AG228" i="15" s="1"/>
  <c r="AH228" i="15" s="1"/>
  <c r="AI228" i="15" s="1"/>
  <c r="M256" i="15"/>
  <c r="O225" i="15"/>
  <c r="K223" i="15" s="1"/>
  <c r="O199" i="15"/>
  <c r="O168" i="15"/>
  <c r="M236" i="15"/>
  <c r="O194" i="15"/>
  <c r="O174" i="15"/>
  <c r="M109" i="15"/>
  <c r="O95" i="15"/>
  <c r="O27" i="15"/>
  <c r="K31" i="15" s="1"/>
  <c r="M233" i="15"/>
  <c r="O17" i="15"/>
  <c r="K21" i="15" s="1"/>
  <c r="O85" i="15"/>
  <c r="K83" i="15" s="1"/>
  <c r="O143" i="15"/>
  <c r="K141" i="15" s="1"/>
  <c r="O181" i="15"/>
  <c r="K182" i="15" s="1"/>
  <c r="O202" i="15"/>
  <c r="O209" i="15"/>
  <c r="O212" i="15"/>
  <c r="AA155" i="14"/>
  <c r="AA159" i="14" s="1"/>
  <c r="BC230" i="14"/>
  <c r="AZ230" i="14"/>
  <c r="O10" i="15"/>
  <c r="K11" i="15" s="1"/>
  <c r="O38" i="15"/>
  <c r="K42" i="15" s="1"/>
  <c r="AY47" i="15"/>
  <c r="BT51" i="15"/>
  <c r="O89" i="15"/>
  <c r="M106" i="15"/>
  <c r="M116" i="15"/>
  <c r="I117" i="15" s="1"/>
  <c r="M123" i="15"/>
  <c r="O157" i="15"/>
  <c r="O163" i="15"/>
  <c r="O191" i="15"/>
  <c r="K192" i="15" s="1"/>
  <c r="BY230" i="15"/>
  <c r="BZ230" i="15"/>
  <c r="BX230" i="15"/>
  <c r="BV230" i="15"/>
  <c r="BU230" i="15"/>
  <c r="M253" i="15"/>
  <c r="BA230" i="14"/>
  <c r="O75" i="15"/>
  <c r="K73" i="15" s="1"/>
  <c r="AZ224" i="15"/>
  <c r="BS230" i="15"/>
  <c r="M239" i="15"/>
  <c r="AC230" i="14"/>
  <c r="AE230" i="14"/>
  <c r="M126" i="15"/>
  <c r="AG331" i="15"/>
  <c r="AD331" i="15"/>
  <c r="AC331" i="15"/>
  <c r="AI230" i="15"/>
  <c r="AA329" i="14"/>
  <c r="AB329" i="14" s="1"/>
  <c r="AC329" i="14" s="1"/>
  <c r="AD329" i="14" s="1"/>
  <c r="AE329" i="14" s="1"/>
  <c r="AF329" i="14" s="1"/>
  <c r="AG329" i="14" s="1"/>
  <c r="AH329" i="14" s="1"/>
  <c r="AI329" i="14" s="1"/>
  <c r="AA330" i="14"/>
  <c r="AA229" i="14"/>
  <c r="AB229" i="14" s="1"/>
  <c r="AA228" i="14"/>
  <c r="AB228" i="14" s="1"/>
  <c r="AC228" i="14" s="1"/>
  <c r="AD228" i="14" s="1"/>
  <c r="AE228" i="14" s="1"/>
  <c r="AF228" i="14" s="1"/>
  <c r="AG228" i="14" s="1"/>
  <c r="AH228" i="14" s="1"/>
  <c r="AI228" i="14" s="1"/>
  <c r="AB153" i="14"/>
  <c r="AC153" i="14" s="1"/>
  <c r="AD153" i="14" s="1"/>
  <c r="AE153" i="14" s="1"/>
  <c r="AF153" i="14" s="1"/>
  <c r="AG153" i="14" s="1"/>
  <c r="AH153" i="14" s="1"/>
  <c r="AI153" i="14" s="1"/>
  <c r="AJ153" i="14" s="1"/>
  <c r="AX52" i="14"/>
  <c r="AY52" i="14" s="1"/>
  <c r="AZ52" i="14" s="1"/>
  <c r="BA52" i="14" s="1"/>
  <c r="BB52" i="14" s="1"/>
  <c r="BC52" i="14" s="1"/>
  <c r="BD52" i="14" s="1"/>
  <c r="BE52" i="14" s="1"/>
  <c r="BF52" i="14" s="1"/>
  <c r="AB52" i="14"/>
  <c r="AC52" i="14" s="1"/>
  <c r="AD52" i="14" s="1"/>
  <c r="AE52" i="14" s="1"/>
  <c r="AF52" i="14" s="1"/>
  <c r="AG52" i="14" s="1"/>
  <c r="AH52" i="14" s="1"/>
  <c r="AI52" i="14" s="1"/>
  <c r="AJ52" i="14" s="1"/>
  <c r="I237" i="14"/>
  <c r="K213" i="14"/>
  <c r="AV231" i="14"/>
  <c r="AV233" i="14" s="1"/>
  <c r="AV240" i="14" s="1"/>
  <c r="BT52" i="14"/>
  <c r="BU52" i="14" s="1"/>
  <c r="BV52" i="14" s="1"/>
  <c r="BW52" i="14" s="1"/>
  <c r="BX52" i="14" s="1"/>
  <c r="BY52" i="14" s="1"/>
  <c r="BZ52" i="14" s="1"/>
  <c r="CA52" i="14" s="1"/>
  <c r="CB52" i="14" s="1"/>
  <c r="K52" i="14"/>
  <c r="AE225" i="14"/>
  <c r="AF224" i="14"/>
  <c r="AA54" i="14"/>
  <c r="AB51" i="14"/>
  <c r="AW54" i="14"/>
  <c r="AX51" i="14"/>
  <c r="BY230" i="14"/>
  <c r="BZ230" i="14"/>
  <c r="BU230" i="14"/>
  <c r="BT230" i="14"/>
  <c r="BS230" i="14"/>
  <c r="BS231" i="14" s="1"/>
  <c r="AD47" i="14"/>
  <c r="BA53" i="14"/>
  <c r="BC53" i="14"/>
  <c r="BB53" i="14"/>
  <c r="AZ53" i="14"/>
  <c r="BV230" i="14"/>
  <c r="Z343" i="14"/>
  <c r="Z345" i="14" s="1"/>
  <c r="BT51" i="14"/>
  <c r="BS54" i="14"/>
  <c r="AX53" i="14"/>
  <c r="BW224" i="14"/>
  <c r="BW230" i="14"/>
  <c r="AC325" i="14"/>
  <c r="AB326" i="14"/>
  <c r="BU47" i="14"/>
  <c r="BT48" i="14"/>
  <c r="AG53" i="14"/>
  <c r="AH53" i="14"/>
  <c r="AF53" i="14"/>
  <c r="AE53" i="14"/>
  <c r="AY53" i="14"/>
  <c r="K151" i="14"/>
  <c r="AB152" i="14"/>
  <c r="AD225" i="14"/>
  <c r="BX230" i="14"/>
  <c r="AB53" i="14"/>
  <c r="BD53" i="14"/>
  <c r="CA230" i="14"/>
  <c r="AC53" i="14"/>
  <c r="BE53" i="14"/>
  <c r="Z231" i="14"/>
  <c r="AA326" i="14"/>
  <c r="AY47" i="14"/>
  <c r="AD53" i="14"/>
  <c r="BF53" i="14"/>
  <c r="AD148" i="14"/>
  <c r="M259" i="14"/>
  <c r="I257" i="14" s="1"/>
  <c r="O10" i="14"/>
  <c r="K11" i="14" s="1"/>
  <c r="O188" i="14"/>
  <c r="K192" i="14" s="1"/>
  <c r="O168" i="14"/>
  <c r="K172" i="14" s="1"/>
  <c r="O137" i="14"/>
  <c r="M109" i="14"/>
  <c r="I107" i="14" s="1"/>
  <c r="O95" i="14"/>
  <c r="K93" i="14" s="1"/>
  <c r="O27" i="14"/>
  <c r="K31" i="14" s="1"/>
  <c r="O20" i="14"/>
  <c r="O17" i="14"/>
  <c r="K21" i="14" s="1"/>
  <c r="O225" i="14"/>
  <c r="O205" i="14"/>
  <c r="K203" i="14" s="1"/>
  <c r="O69" i="14"/>
  <c r="K73" i="14" s="1"/>
  <c r="AI53" i="14"/>
  <c r="BU53" i="14"/>
  <c r="BX53" i="14"/>
  <c r="BW53" i="14"/>
  <c r="BV53" i="14"/>
  <c r="AE154" i="14"/>
  <c r="AF154" i="14"/>
  <c r="AD154" i="14"/>
  <c r="AC154" i="14"/>
  <c r="AX229" i="14"/>
  <c r="O222" i="14"/>
  <c r="AW228" i="14"/>
  <c r="AX228" i="14" s="1"/>
  <c r="AY228" i="14" s="1"/>
  <c r="AZ228" i="14" s="1"/>
  <c r="BA228" i="14" s="1"/>
  <c r="BB228" i="14" s="1"/>
  <c r="BC228" i="14" s="1"/>
  <c r="BD228" i="14" s="1"/>
  <c r="BE228" i="14" s="1"/>
  <c r="BR231" i="14"/>
  <c r="M246" i="14"/>
  <c r="O64" i="14"/>
  <c r="K62" i="14" s="1"/>
  <c r="O143" i="14"/>
  <c r="O157" i="14"/>
  <c r="K161" i="14" s="1"/>
  <c r="O184" i="14"/>
  <c r="BE230" i="14"/>
  <c r="AW230" i="14"/>
  <c r="AW231" i="14" s="1"/>
  <c r="BD230" i="14"/>
  <c r="M243" i="14"/>
  <c r="M126" i="14"/>
  <c r="I127" i="14" s="1"/>
  <c r="O181" i="14"/>
  <c r="BT229" i="14"/>
  <c r="AX230" i="14"/>
  <c r="O44" i="14"/>
  <c r="K42" i="14" s="1"/>
  <c r="M119" i="14"/>
  <c r="I117" i="14" s="1"/>
  <c r="AZ224" i="14"/>
  <c r="AY230" i="14"/>
  <c r="M249" i="14"/>
  <c r="AI230" i="14"/>
  <c r="AH331" i="14"/>
  <c r="BS228" i="12"/>
  <c r="BT228" i="12" s="1"/>
  <c r="BU228" i="12" s="1"/>
  <c r="BV228" i="12" s="1"/>
  <c r="AZ230" i="12"/>
  <c r="AW225" i="12"/>
  <c r="Z231" i="12"/>
  <c r="Z233" i="12" s="1"/>
  <c r="Z240" i="12" s="1"/>
  <c r="CA230" i="12"/>
  <c r="BZ230" i="12"/>
  <c r="BY230" i="12"/>
  <c r="BX230" i="12"/>
  <c r="Z332" i="12"/>
  <c r="Z334" i="12" s="1"/>
  <c r="BW230" i="12"/>
  <c r="AA228" i="12"/>
  <c r="AB228" i="12" s="1"/>
  <c r="AC228" i="12" s="1"/>
  <c r="AD228" i="12" s="1"/>
  <c r="AE228" i="12" s="1"/>
  <c r="AF228" i="12" s="1"/>
  <c r="AA229" i="12"/>
  <c r="AB229" i="12" s="1"/>
  <c r="AC229" i="12" s="1"/>
  <c r="AD229" i="12" s="1"/>
  <c r="AE229" i="12" s="1"/>
  <c r="AF229" i="12" s="1"/>
  <c r="AG229" i="12" s="1"/>
  <c r="AH229" i="12" s="1"/>
  <c r="AI229" i="12" s="1"/>
  <c r="AY230" i="12"/>
  <c r="AW228" i="12"/>
  <c r="AX228" i="12" s="1"/>
  <c r="BR233" i="12"/>
  <c r="BR239" i="12" s="1"/>
  <c r="BS229" i="12"/>
  <c r="BV230" i="12"/>
  <c r="AC230" i="12"/>
  <c r="AI230" i="12"/>
  <c r="Z336" i="12"/>
  <c r="BX224" i="12"/>
  <c r="BW225" i="12"/>
  <c r="AA329" i="12"/>
  <c r="AW230" i="12"/>
  <c r="AB230" i="12"/>
  <c r="AW229" i="12"/>
  <c r="AX229" i="12" s="1"/>
  <c r="AY229" i="12" s="1"/>
  <c r="AZ229" i="12" s="1"/>
  <c r="BA229" i="12" s="1"/>
  <c r="BB229" i="12" s="1"/>
  <c r="BC229" i="12" s="1"/>
  <c r="BD229" i="12" s="1"/>
  <c r="BE229" i="12" s="1"/>
  <c r="BV225" i="12"/>
  <c r="AZ225" i="12"/>
  <c r="BA224" i="12"/>
  <c r="AD230" i="12"/>
  <c r="AE230" i="12"/>
  <c r="AF230" i="12"/>
  <c r="AG230" i="12"/>
  <c r="AH230" i="12"/>
  <c r="AA225" i="12"/>
  <c r="AB224" i="12"/>
  <c r="AF331" i="12"/>
  <c r="AG331" i="12"/>
  <c r="AH331" i="12"/>
  <c r="AA330" i="12"/>
  <c r="AB330" i="12" s="1"/>
  <c r="AC330" i="12" s="1"/>
  <c r="AD330" i="12" s="1"/>
  <c r="AE330" i="12" s="1"/>
  <c r="AF330" i="12" s="1"/>
  <c r="AG330" i="12" s="1"/>
  <c r="AH330" i="12" s="1"/>
  <c r="AI330" i="12" s="1"/>
  <c r="BE230" i="12"/>
  <c r="AV231" i="12"/>
  <c r="AY225" i="12"/>
  <c r="AI331" i="12"/>
  <c r="BD230" i="12"/>
  <c r="AX225" i="12"/>
  <c r="AD331" i="12"/>
  <c r="BC230" i="12"/>
  <c r="AC331" i="12"/>
  <c r="BB230" i="12"/>
  <c r="AE331" i="12"/>
  <c r="AB331" i="12"/>
  <c r="AE325" i="12"/>
  <c r="BA230" i="12"/>
  <c r="BU230" i="12"/>
  <c r="BT230" i="12"/>
  <c r="BR231" i="15" l="1"/>
  <c r="I52" i="15"/>
  <c r="I257" i="15"/>
  <c r="I127" i="15"/>
  <c r="K93" i="15"/>
  <c r="I83" i="15" s="1"/>
  <c r="AA231" i="14"/>
  <c r="AA233" i="14" s="1"/>
  <c r="AC58" i="15"/>
  <c r="AC56" i="15"/>
  <c r="AW233" i="15"/>
  <c r="AW235" i="15"/>
  <c r="AX233" i="15"/>
  <c r="AX235" i="15"/>
  <c r="BU51" i="15"/>
  <c r="BT54" i="15"/>
  <c r="BA224" i="15"/>
  <c r="AZ225" i="15"/>
  <c r="AZ47" i="15"/>
  <c r="AY48" i="15"/>
  <c r="AC225" i="15"/>
  <c r="AD224" i="15"/>
  <c r="AB58" i="15"/>
  <c r="AB56" i="15"/>
  <c r="AB159" i="15"/>
  <c r="AB157" i="15"/>
  <c r="AA233" i="15"/>
  <c r="AA235" i="15"/>
  <c r="AA58" i="15"/>
  <c r="AA56" i="15"/>
  <c r="K161" i="15"/>
  <c r="I151" i="15" s="1"/>
  <c r="K213" i="15"/>
  <c r="Z343" i="15"/>
  <c r="Z235" i="15"/>
  <c r="Z233" i="15"/>
  <c r="AA157" i="15"/>
  <c r="AA159" i="15"/>
  <c r="AC155" i="15"/>
  <c r="AD152" i="15"/>
  <c r="AC229" i="15"/>
  <c r="AB231" i="15"/>
  <c r="AA332" i="15"/>
  <c r="AA334" i="15" s="1"/>
  <c r="AB330" i="15"/>
  <c r="BU48" i="15"/>
  <c r="BV47" i="15"/>
  <c r="BW225" i="15"/>
  <c r="BX224" i="15"/>
  <c r="BA229" i="15"/>
  <c r="AZ231" i="15"/>
  <c r="AA157" i="14"/>
  <c r="AA166" i="14" s="1"/>
  <c r="AA168" i="14" s="1"/>
  <c r="AA170" i="14" s="1"/>
  <c r="AA172" i="14" s="1"/>
  <c r="K172" i="15"/>
  <c r="I182" i="15" s="1"/>
  <c r="AV233" i="15"/>
  <c r="AV235" i="15"/>
  <c r="AY51" i="15"/>
  <c r="AX54" i="15"/>
  <c r="BR233" i="15"/>
  <c r="BR235" i="15"/>
  <c r="AY233" i="15"/>
  <c r="AY235" i="15"/>
  <c r="I107" i="15"/>
  <c r="I21" i="15"/>
  <c r="I237" i="15"/>
  <c r="K203" i="15"/>
  <c r="AW56" i="15"/>
  <c r="AW58" i="15"/>
  <c r="BS231" i="15"/>
  <c r="BT229" i="15"/>
  <c r="BS69" i="15"/>
  <c r="BS71" i="15" s="1"/>
  <c r="BS68" i="15"/>
  <c r="AD58" i="15"/>
  <c r="AD56" i="15"/>
  <c r="AF148" i="15"/>
  <c r="AE149" i="15"/>
  <c r="AE47" i="15"/>
  <c r="AD48" i="15"/>
  <c r="AC325" i="15"/>
  <c r="AB326" i="15"/>
  <c r="AF51" i="15"/>
  <c r="AE54" i="15"/>
  <c r="AB330" i="14"/>
  <c r="AA332" i="14"/>
  <c r="AA334" i="14" s="1"/>
  <c r="K223" i="14"/>
  <c r="I213" i="14" s="1"/>
  <c r="K182" i="14"/>
  <c r="I182" i="14" s="1"/>
  <c r="AV235" i="14"/>
  <c r="AV239" i="14" s="1"/>
  <c r="G116" i="14"/>
  <c r="G117" i="14" s="1"/>
  <c r="C8" i="14" s="1"/>
  <c r="AW233" i="14"/>
  <c r="AW235" i="14"/>
  <c r="I52" i="14"/>
  <c r="AY229" i="14"/>
  <c r="AX231" i="14"/>
  <c r="BW225" i="14"/>
  <c r="BX224" i="14"/>
  <c r="AX54" i="14"/>
  <c r="AY51" i="14"/>
  <c r="BS233" i="14"/>
  <c r="BS235" i="14"/>
  <c r="AZ47" i="14"/>
  <c r="AY48" i="14"/>
  <c r="AC152" i="14"/>
  <c r="AB155" i="14"/>
  <c r="AW58" i="14"/>
  <c r="AW56" i="14"/>
  <c r="I83" i="14"/>
  <c r="K141" i="14"/>
  <c r="I151" i="14" s="1"/>
  <c r="AC326" i="14"/>
  <c r="AD325" i="14"/>
  <c r="AE47" i="14"/>
  <c r="AD48" i="14"/>
  <c r="AB54" i="14"/>
  <c r="AC51" i="14"/>
  <c r="Z347" i="14"/>
  <c r="Z349" i="14" s="1"/>
  <c r="Z346" i="14"/>
  <c r="AD149" i="14"/>
  <c r="AE148" i="14"/>
  <c r="AA58" i="14"/>
  <c r="AA56" i="14"/>
  <c r="BA224" i="14"/>
  <c r="AZ225" i="14"/>
  <c r="I247" i="14"/>
  <c r="G246" i="14" s="1"/>
  <c r="G247" i="14" s="1"/>
  <c r="C10" i="14" s="1"/>
  <c r="BR233" i="14"/>
  <c r="BR235" i="14"/>
  <c r="BU48" i="14"/>
  <c r="BV47" i="14"/>
  <c r="BU229" i="14"/>
  <c r="BT231" i="14"/>
  <c r="I21" i="14"/>
  <c r="Z235" i="14"/>
  <c r="Z233" i="14"/>
  <c r="AG224" i="14"/>
  <c r="AF225" i="14"/>
  <c r="BS58" i="14"/>
  <c r="BS56" i="14"/>
  <c r="AC229" i="14"/>
  <c r="AB231" i="14"/>
  <c r="BU51" i="14"/>
  <c r="BT54" i="14"/>
  <c r="Z235" i="12"/>
  <c r="Z239" i="12" s="1"/>
  <c r="Z242" i="12" s="1"/>
  <c r="Z244" i="12" s="1"/>
  <c r="AD231" i="12"/>
  <c r="AD235" i="12" s="1"/>
  <c r="AA231" i="12"/>
  <c r="AA235" i="12" s="1"/>
  <c r="AC231" i="12"/>
  <c r="AC233" i="12" s="1"/>
  <c r="AE231" i="12"/>
  <c r="AE235" i="12" s="1"/>
  <c r="AB231" i="12"/>
  <c r="AB233" i="12" s="1"/>
  <c r="BR242" i="12"/>
  <c r="BR244" i="12" s="1"/>
  <c r="AW231" i="12"/>
  <c r="AW235" i="12" s="1"/>
  <c r="BR240" i="12"/>
  <c r="BT229" i="12"/>
  <c r="BU229" i="12" s="1"/>
  <c r="BS231" i="12"/>
  <c r="AB329" i="12"/>
  <c r="AA332" i="12"/>
  <c r="AF231" i="12"/>
  <c r="AG228" i="12"/>
  <c r="BY224" i="12"/>
  <c r="BX225" i="12"/>
  <c r="BW228" i="12"/>
  <c r="AV235" i="12"/>
  <c r="AV233" i="12"/>
  <c r="Z341" i="12"/>
  <c r="Z343" i="12" s="1"/>
  <c r="BA225" i="12"/>
  <c r="BB224" i="12"/>
  <c r="AE326" i="12"/>
  <c r="AF325" i="12"/>
  <c r="AB225" i="12"/>
  <c r="AC224" i="12"/>
  <c r="AX231" i="12"/>
  <c r="AY228" i="12"/>
  <c r="AA164" i="14" l="1"/>
  <c r="AA235" i="14"/>
  <c r="G246" i="15"/>
  <c r="G247" i="15" s="1"/>
  <c r="C10" i="15" s="1"/>
  <c r="G116" i="15"/>
  <c r="G117" i="15" s="1"/>
  <c r="C8" i="15" s="1"/>
  <c r="G51" i="15"/>
  <c r="G52" i="15" s="1"/>
  <c r="C7" i="15" s="1"/>
  <c r="AV242" i="14"/>
  <c r="AE56" i="15"/>
  <c r="AE58" i="15"/>
  <c r="AD65" i="15"/>
  <c r="AD63" i="15"/>
  <c r="BR239" i="15"/>
  <c r="BR242" i="15" s="1"/>
  <c r="BR240" i="15"/>
  <c r="AC231" i="15"/>
  <c r="AD229" i="15"/>
  <c r="BT58" i="15"/>
  <c r="BT56" i="15"/>
  <c r="AG51" i="15"/>
  <c r="AF54" i="15"/>
  <c r="AX58" i="15"/>
  <c r="AX56" i="15"/>
  <c r="BX225" i="15"/>
  <c r="BY224" i="15"/>
  <c r="BU54" i="15"/>
  <c r="BV51" i="15"/>
  <c r="AZ51" i="15"/>
  <c r="AY54" i="15"/>
  <c r="AA341" i="15"/>
  <c r="AA343" i="15" s="1"/>
  <c r="AB166" i="15"/>
  <c r="AB164" i="15"/>
  <c r="AC65" i="15"/>
  <c r="AC63" i="15"/>
  <c r="BA231" i="15"/>
  <c r="BB229" i="15"/>
  <c r="AB65" i="15"/>
  <c r="AB63" i="15"/>
  <c r="I213" i="15"/>
  <c r="G181" i="15" s="1"/>
  <c r="G182" i="15" s="1"/>
  <c r="C9" i="15" s="1"/>
  <c r="AD155" i="15"/>
  <c r="AE152" i="15"/>
  <c r="AC159" i="15"/>
  <c r="AC157" i="15"/>
  <c r="AA65" i="15"/>
  <c r="AA63" i="15"/>
  <c r="AD225" i="15"/>
  <c r="AE224" i="15"/>
  <c r="AC326" i="15"/>
  <c r="AD325" i="15"/>
  <c r="BV48" i="15"/>
  <c r="BW47" i="15"/>
  <c r="AX239" i="15"/>
  <c r="AX242" i="15" s="1"/>
  <c r="AX240" i="15"/>
  <c r="AA169" i="14"/>
  <c r="BT231" i="15"/>
  <c r="BU229" i="15"/>
  <c r="AV239" i="15"/>
  <c r="AV242" i="15" s="1"/>
  <c r="AV240" i="15"/>
  <c r="AA166" i="15"/>
  <c r="AA164" i="15"/>
  <c r="AF47" i="15"/>
  <c r="AE48" i="15"/>
  <c r="BS233" i="15"/>
  <c r="BS235" i="15"/>
  <c r="AB332" i="15"/>
  <c r="AB334" i="15" s="1"/>
  <c r="AC330" i="15"/>
  <c r="Z239" i="15"/>
  <c r="Z242" i="15" s="1"/>
  <c r="Z240" i="15"/>
  <c r="AA239" i="15"/>
  <c r="AA242" i="15" s="1"/>
  <c r="AA240" i="15"/>
  <c r="BA47" i="15"/>
  <c r="AZ48" i="15"/>
  <c r="AW239" i="15"/>
  <c r="AW242" i="15"/>
  <c r="AW240" i="15"/>
  <c r="AY239" i="15"/>
  <c r="AY242" i="15" s="1"/>
  <c r="AY240" i="15"/>
  <c r="AF149" i="15"/>
  <c r="AG148" i="15"/>
  <c r="AW63" i="15"/>
  <c r="AW65" i="15"/>
  <c r="AZ235" i="15"/>
  <c r="AZ233" i="15"/>
  <c r="AB233" i="15"/>
  <c r="AB235" i="15"/>
  <c r="Z345" i="15"/>
  <c r="BA225" i="15"/>
  <c r="BB224" i="15"/>
  <c r="AA341" i="14"/>
  <c r="AA343" i="14" s="1"/>
  <c r="AA345" i="14" s="1"/>
  <c r="AA347" i="14" s="1"/>
  <c r="AA349" i="14" s="1"/>
  <c r="AC330" i="14"/>
  <c r="AB332" i="14"/>
  <c r="AB334" i="14" s="1"/>
  <c r="BU231" i="14"/>
  <c r="BV229" i="14"/>
  <c r="AA65" i="14"/>
  <c r="AA63" i="14"/>
  <c r="AC54" i="14"/>
  <c r="AD51" i="14"/>
  <c r="AG225" i="14"/>
  <c r="AH224" i="14"/>
  <c r="BW47" i="14"/>
  <c r="BV48" i="14"/>
  <c r="AB56" i="14"/>
  <c r="AB58" i="14"/>
  <c r="AW65" i="14"/>
  <c r="AW63" i="14"/>
  <c r="BS65" i="14"/>
  <c r="BS63" i="14"/>
  <c r="AE149" i="14"/>
  <c r="AF148" i="14"/>
  <c r="BS239" i="14"/>
  <c r="BS242" i="14" s="1"/>
  <c r="BS240" i="14"/>
  <c r="AV244" i="14"/>
  <c r="AF47" i="14"/>
  <c r="AE48" i="14"/>
  <c r="AB157" i="14"/>
  <c r="AB159" i="14"/>
  <c r="AX233" i="14"/>
  <c r="AX235" i="14"/>
  <c r="AA233" i="12"/>
  <c r="AA240" i="12" s="1"/>
  <c r="BT58" i="14"/>
  <c r="BT56" i="14"/>
  <c r="Z240" i="14"/>
  <c r="Z239" i="14"/>
  <c r="Z242" i="14" s="1"/>
  <c r="BR239" i="14"/>
  <c r="BR242" i="14" s="1"/>
  <c r="BR240" i="14"/>
  <c r="AE325" i="14"/>
  <c r="AD326" i="14"/>
  <c r="AC155" i="14"/>
  <c r="AD152" i="14"/>
  <c r="AY231" i="14"/>
  <c r="AZ229" i="14"/>
  <c r="BU54" i="14"/>
  <c r="BV51" i="14"/>
  <c r="AA239" i="14"/>
  <c r="AA242" i="14"/>
  <c r="AA240" i="14"/>
  <c r="AZ51" i="14"/>
  <c r="AY54" i="14"/>
  <c r="AD233" i="12"/>
  <c r="AD239" i="12" s="1"/>
  <c r="AD242" i="12" s="1"/>
  <c r="AB233" i="14"/>
  <c r="AB235" i="14"/>
  <c r="G51" i="14"/>
  <c r="G52" i="14" s="1"/>
  <c r="G181" i="14"/>
  <c r="G182" i="14" s="1"/>
  <c r="C9" i="14" s="1"/>
  <c r="BA47" i="14"/>
  <c r="AZ48" i="14"/>
  <c r="AX58" i="14"/>
  <c r="AX56" i="14"/>
  <c r="AC231" i="14"/>
  <c r="AD229" i="14"/>
  <c r="BT235" i="14"/>
  <c r="BT233" i="14"/>
  <c r="BB224" i="14"/>
  <c r="BA225" i="14"/>
  <c r="BX225" i="14"/>
  <c r="BY224" i="14"/>
  <c r="AW239" i="14"/>
  <c r="AW242" i="14" s="1"/>
  <c r="AW240" i="14"/>
  <c r="AB235" i="12"/>
  <c r="AB239" i="12" s="1"/>
  <c r="AB242" i="12" s="1"/>
  <c r="AV239" i="12"/>
  <c r="AV242" i="12" s="1"/>
  <c r="AC235" i="12"/>
  <c r="AC239" i="12" s="1"/>
  <c r="AC242" i="12" s="1"/>
  <c r="AW233" i="12"/>
  <c r="AW239" i="12" s="1"/>
  <c r="AW242" i="12" s="1"/>
  <c r="AA239" i="12"/>
  <c r="AA242" i="12" s="1"/>
  <c r="BT231" i="12"/>
  <c r="BT235" i="12" s="1"/>
  <c r="AE233" i="12"/>
  <c r="AE240" i="12" s="1"/>
  <c r="BS233" i="12"/>
  <c r="BS235" i="12"/>
  <c r="BV229" i="12"/>
  <c r="BU231" i="12"/>
  <c r="AD224" i="12"/>
  <c r="AC225" i="12"/>
  <c r="AB240" i="12"/>
  <c r="AG231" i="12"/>
  <c r="AH228" i="12"/>
  <c r="AC240" i="12"/>
  <c r="AF326" i="12"/>
  <c r="AG325" i="12"/>
  <c r="AA334" i="12"/>
  <c r="AA336" i="12"/>
  <c r="AV240" i="12"/>
  <c r="BB225" i="12"/>
  <c r="BC224" i="12"/>
  <c r="BX228" i="12"/>
  <c r="BR246" i="12"/>
  <c r="BR248" i="12" s="1"/>
  <c r="BR245" i="12"/>
  <c r="Z245" i="12"/>
  <c r="Z246" i="12"/>
  <c r="Z248" i="12" s="1"/>
  <c r="AF233" i="12"/>
  <c r="AF235" i="12"/>
  <c r="AB332" i="12"/>
  <c r="AC329" i="12"/>
  <c r="AY231" i="12"/>
  <c r="AZ228" i="12"/>
  <c r="Z345" i="12"/>
  <c r="AX235" i="12"/>
  <c r="AX233" i="12"/>
  <c r="BZ224" i="12"/>
  <c r="BY225" i="12"/>
  <c r="A16" i="15" l="1"/>
  <c r="AY244" i="15"/>
  <c r="Z244" i="15"/>
  <c r="AA345" i="15"/>
  <c r="BR244" i="15"/>
  <c r="AV244" i="15"/>
  <c r="AB67" i="15"/>
  <c r="AC235" i="15"/>
  <c r="AC233" i="15"/>
  <c r="AA244" i="15"/>
  <c r="BU231" i="15"/>
  <c r="BV229" i="15"/>
  <c r="AA67" i="15"/>
  <c r="BC229" i="15"/>
  <c r="BB231" i="15"/>
  <c r="AX65" i="15"/>
  <c r="AX63" i="15"/>
  <c r="AC166" i="15"/>
  <c r="AC164" i="15"/>
  <c r="BA235" i="15"/>
  <c r="BA233" i="15"/>
  <c r="C146" i="15"/>
  <c r="AY58" i="15"/>
  <c r="AY56" i="15"/>
  <c r="AF56" i="15"/>
  <c r="AF58" i="15"/>
  <c r="BB225" i="15"/>
  <c r="BC224" i="15"/>
  <c r="AW244" i="15"/>
  <c r="AD326" i="15"/>
  <c r="AE325" i="15"/>
  <c r="AG54" i="15"/>
  <c r="AH51" i="15"/>
  <c r="AA168" i="15"/>
  <c r="AD159" i="15"/>
  <c r="AD157" i="15"/>
  <c r="BT65" i="15"/>
  <c r="BT63" i="15"/>
  <c r="Z347" i="15"/>
  <c r="Z349" i="15" s="1"/>
  <c r="Z346" i="15"/>
  <c r="AH148" i="15"/>
  <c r="AG149" i="15"/>
  <c r="AC332" i="15"/>
  <c r="AC334" i="15" s="1"/>
  <c r="AD330" i="15"/>
  <c r="AE225" i="15"/>
  <c r="AF224" i="15"/>
  <c r="BU56" i="15"/>
  <c r="BU58" i="15"/>
  <c r="AB239" i="15"/>
  <c r="AB242" i="15" s="1"/>
  <c r="AB240" i="15"/>
  <c r="BS239" i="15"/>
  <c r="BS242" i="15" s="1"/>
  <c r="BS240" i="15"/>
  <c r="AZ239" i="15"/>
  <c r="AZ242" i="15" s="1"/>
  <c r="AZ240" i="15"/>
  <c r="BT233" i="15"/>
  <c r="BT235" i="15"/>
  <c r="AF48" i="15"/>
  <c r="AG47" i="15"/>
  <c r="AW67" i="15"/>
  <c r="AF152" i="15"/>
  <c r="AE155" i="15"/>
  <c r="AZ54" i="15"/>
  <c r="BA51" i="15"/>
  <c r="AX244" i="15"/>
  <c r="AC67" i="15"/>
  <c r="BW51" i="15"/>
  <c r="BV54" i="15"/>
  <c r="AD67" i="15"/>
  <c r="BA48" i="15"/>
  <c r="BB47" i="15"/>
  <c r="AB341" i="15"/>
  <c r="AB343" i="15" s="1"/>
  <c r="BX47" i="15"/>
  <c r="BW48" i="15"/>
  <c r="AB168" i="15"/>
  <c r="BZ224" i="15"/>
  <c r="BY225" i="15"/>
  <c r="AD231" i="15"/>
  <c r="AE229" i="15"/>
  <c r="AE65" i="15"/>
  <c r="AE63" i="15"/>
  <c r="AA346" i="14"/>
  <c r="AB341" i="14"/>
  <c r="AB343" i="14" s="1"/>
  <c r="AB345" i="14" s="1"/>
  <c r="AC332" i="14"/>
  <c r="AC334" i="14" s="1"/>
  <c r="AC341" i="14" s="1"/>
  <c r="AC343" i="14" s="1"/>
  <c r="AC345" i="14" s="1"/>
  <c r="AD330" i="14"/>
  <c r="AE239" i="12"/>
  <c r="AE242" i="12" s="1"/>
  <c r="AE244" i="12" s="1"/>
  <c r="AW240" i="12"/>
  <c r="BR244" i="14"/>
  <c r="BS244" i="14"/>
  <c r="Z244" i="14"/>
  <c r="AW244" i="14"/>
  <c r="BZ224" i="14"/>
  <c r="BY225" i="14"/>
  <c r="AX65" i="14"/>
  <c r="AX63" i="14"/>
  <c r="BW51" i="14"/>
  <c r="BV54" i="14"/>
  <c r="AG47" i="14"/>
  <c r="AF48" i="14"/>
  <c r="BX47" i="14"/>
  <c r="BW48" i="14"/>
  <c r="AA67" i="14"/>
  <c r="AB239" i="14"/>
  <c r="AB242" i="14" s="1"/>
  <c r="AB240" i="14"/>
  <c r="BU58" i="14"/>
  <c r="BU56" i="14"/>
  <c r="AV246" i="14"/>
  <c r="AV248" i="14" s="1"/>
  <c r="AV245" i="14"/>
  <c r="AH225" i="14"/>
  <c r="AI224" i="14"/>
  <c r="AI225" i="14" s="1"/>
  <c r="BW229" i="14"/>
  <c r="BV231" i="14"/>
  <c r="AZ231" i="14"/>
  <c r="BA229" i="14"/>
  <c r="AX239" i="14"/>
  <c r="AX242" i="14" s="1"/>
  <c r="AX240" i="14"/>
  <c r="BS67" i="14"/>
  <c r="BU235" i="14"/>
  <c r="BU233" i="14"/>
  <c r="AD240" i="12"/>
  <c r="BC224" i="14"/>
  <c r="BB225" i="14"/>
  <c r="BA48" i="14"/>
  <c r="BB47" i="14"/>
  <c r="AY58" i="14"/>
  <c r="AY56" i="14"/>
  <c r="AY233" i="14"/>
  <c r="AY235" i="14"/>
  <c r="BT240" i="14"/>
  <c r="BT239" i="14"/>
  <c r="BT242" i="14" s="1"/>
  <c r="BA51" i="14"/>
  <c r="AZ54" i="14"/>
  <c r="AD155" i="14"/>
  <c r="AE152" i="14"/>
  <c r="AW67" i="14"/>
  <c r="AD231" i="14"/>
  <c r="AE229" i="14"/>
  <c r="C146" i="14"/>
  <c r="A16" i="14"/>
  <c r="C7" i="14"/>
  <c r="AC157" i="14"/>
  <c r="AC159" i="14"/>
  <c r="AE51" i="14"/>
  <c r="AD54" i="14"/>
  <c r="AA244" i="14"/>
  <c r="BT65" i="14"/>
  <c r="BT63" i="14"/>
  <c r="AB166" i="14"/>
  <c r="AB164" i="14"/>
  <c r="AG148" i="14"/>
  <c r="AF149" i="14"/>
  <c r="AB65" i="14"/>
  <c r="AB63" i="14"/>
  <c r="AC58" i="14"/>
  <c r="AC56" i="14"/>
  <c r="AC233" i="14"/>
  <c r="AC235" i="14"/>
  <c r="AE326" i="14"/>
  <c r="AF325" i="14"/>
  <c r="AX239" i="12"/>
  <c r="AX242" i="12" s="1"/>
  <c r="BT233" i="12"/>
  <c r="BT239" i="12" s="1"/>
  <c r="BU235" i="12"/>
  <c r="BU233" i="12"/>
  <c r="BW229" i="12"/>
  <c r="BV231" i="12"/>
  <c r="BS239" i="12"/>
  <c r="BS242" i="12" s="1"/>
  <c r="BS244" i="12" s="1"/>
  <c r="BS240" i="12"/>
  <c r="AF239" i="12"/>
  <c r="AF242" i="12" s="1"/>
  <c r="Z346" i="12"/>
  <c r="Z347" i="12"/>
  <c r="Z349" i="12" s="1"/>
  <c r="BY228" i="12"/>
  <c r="AA341" i="12"/>
  <c r="AA343" i="12" s="1"/>
  <c r="AH325" i="12"/>
  <c r="AG326" i="12"/>
  <c r="AA244" i="12"/>
  <c r="AZ231" i="12"/>
  <c r="BA228" i="12"/>
  <c r="AY235" i="12"/>
  <c r="AY233" i="12"/>
  <c r="AG233" i="12"/>
  <c r="AG235" i="12"/>
  <c r="AW244" i="12"/>
  <c r="AC244" i="12"/>
  <c r="AD329" i="12"/>
  <c r="AC332" i="12"/>
  <c r="AB334" i="12"/>
  <c r="AB336" i="12"/>
  <c r="AF240" i="12"/>
  <c r="AB244" i="12"/>
  <c r="AD244" i="12"/>
  <c r="AH231" i="12"/>
  <c r="AI228" i="12"/>
  <c r="AI231" i="12" s="1"/>
  <c r="AX240" i="12"/>
  <c r="CA224" i="12"/>
  <c r="CA225" i="12" s="1"/>
  <c r="BZ225" i="12"/>
  <c r="BC225" i="12"/>
  <c r="BD224" i="12"/>
  <c r="AV244" i="12"/>
  <c r="AE224" i="12"/>
  <c r="AD225" i="12"/>
  <c r="AB345" i="15" l="1"/>
  <c r="AZ244" i="15"/>
  <c r="AB244" i="15"/>
  <c r="BS244" i="15"/>
  <c r="AE231" i="15"/>
  <c r="AF229" i="15"/>
  <c r="AW69" i="15"/>
  <c r="AW71" i="15" s="1"/>
  <c r="AW68" i="15"/>
  <c r="BU65" i="15"/>
  <c r="BU63" i="15"/>
  <c r="AG58" i="15"/>
  <c r="AG56" i="15"/>
  <c r="AF65" i="15"/>
  <c r="AF63" i="15"/>
  <c r="BR245" i="15"/>
  <c r="BR246" i="15"/>
  <c r="BR248" i="15" s="1"/>
  <c r="AD235" i="15"/>
  <c r="AD233" i="15"/>
  <c r="AF225" i="15"/>
  <c r="AG224" i="15"/>
  <c r="AE326" i="15"/>
  <c r="AF325" i="15"/>
  <c r="AY65" i="15"/>
  <c r="AY63" i="15"/>
  <c r="AX67" i="15"/>
  <c r="BB48" i="15"/>
  <c r="BC47" i="15"/>
  <c r="AG48" i="15"/>
  <c r="AH47" i="15"/>
  <c r="BT67" i="15"/>
  <c r="BB235" i="15"/>
  <c r="BB233" i="15"/>
  <c r="AC239" i="15"/>
  <c r="AC242" i="15" s="1"/>
  <c r="AC240" i="15"/>
  <c r="AA347" i="15"/>
  <c r="AA349" i="15" s="1"/>
  <c r="AA346" i="15"/>
  <c r="CA224" i="15"/>
  <c r="CA225" i="15" s="1"/>
  <c r="BZ225" i="15"/>
  <c r="AE330" i="15"/>
  <c r="AD332" i="15"/>
  <c r="AD334" i="15" s="1"/>
  <c r="AD166" i="15"/>
  <c r="AD164" i="15"/>
  <c r="B145" i="15"/>
  <c r="B16" i="15"/>
  <c r="BC231" i="15"/>
  <c r="BD229" i="15"/>
  <c r="BA54" i="15"/>
  <c r="BB51" i="15"/>
  <c r="AC341" i="15"/>
  <c r="AC343" i="15" s="1"/>
  <c r="BA239" i="15"/>
  <c r="BA242" i="15"/>
  <c r="BA240" i="15"/>
  <c r="AA69" i="15"/>
  <c r="AA71" i="15" s="1"/>
  <c r="AA68" i="15"/>
  <c r="AB69" i="15"/>
  <c r="AB71" i="15" s="1"/>
  <c r="AB68" i="15"/>
  <c r="AC69" i="15" s="1"/>
  <c r="AC71" i="15" s="1"/>
  <c r="AZ56" i="15"/>
  <c r="AZ58" i="15"/>
  <c r="BT239" i="15"/>
  <c r="BT242" i="15" s="1"/>
  <c r="BT240" i="15"/>
  <c r="AA170" i="15"/>
  <c r="AA172" i="15" s="1"/>
  <c r="AA169" i="15"/>
  <c r="AB169" i="15" s="1"/>
  <c r="BC225" i="15"/>
  <c r="BD224" i="15"/>
  <c r="Z245" i="15"/>
  <c r="AA246" i="15" s="1"/>
  <c r="AA248" i="15" s="1"/>
  <c r="Z246" i="15"/>
  <c r="Z248" i="15" s="1"/>
  <c r="BV56" i="15"/>
  <c r="BV58" i="15"/>
  <c r="AE159" i="15"/>
  <c r="AE157" i="15"/>
  <c r="AH149" i="15"/>
  <c r="AI148" i="15"/>
  <c r="BW229" i="15"/>
  <c r="BV231" i="15"/>
  <c r="AV245" i="15"/>
  <c r="AW245" i="15" s="1"/>
  <c r="AV246" i="15"/>
  <c r="AV248" i="15" s="1"/>
  <c r="AE67" i="15"/>
  <c r="BY47" i="15"/>
  <c r="BX48" i="15"/>
  <c r="BX51" i="15"/>
  <c r="BW54" i="15"/>
  <c r="AG152" i="15"/>
  <c r="AF155" i="15"/>
  <c r="AH54" i="15"/>
  <c r="AI51" i="15"/>
  <c r="AC168" i="15"/>
  <c r="BU235" i="15"/>
  <c r="BU233" i="15"/>
  <c r="AB347" i="14"/>
  <c r="AB349" i="14" s="1"/>
  <c r="AB346" i="14"/>
  <c r="AD332" i="14"/>
  <c r="AD334" i="14" s="1"/>
  <c r="AD341" i="14" s="1"/>
  <c r="AD343" i="14" s="1"/>
  <c r="AD345" i="14" s="1"/>
  <c r="AE330" i="14"/>
  <c r="BT244" i="14"/>
  <c r="AC239" i="14"/>
  <c r="AC242" i="14" s="1"/>
  <c r="AC240" i="14"/>
  <c r="AF51" i="14"/>
  <c r="AE54" i="14"/>
  <c r="BS69" i="14"/>
  <c r="BS71" i="14" s="1"/>
  <c r="BS68" i="14"/>
  <c r="AB244" i="14"/>
  <c r="BC47" i="14"/>
  <c r="BB48" i="14"/>
  <c r="BX51" i="14"/>
  <c r="BW54" i="14"/>
  <c r="AC166" i="14"/>
  <c r="AC164" i="14"/>
  <c r="AA69" i="14"/>
  <c r="AA71" i="14" s="1"/>
  <c r="AA68" i="14"/>
  <c r="Z245" i="14"/>
  <c r="AA246" i="14" s="1"/>
  <c r="AA248" i="14" s="1"/>
  <c r="Z246" i="14"/>
  <c r="Z248" i="14" s="1"/>
  <c r="AX244" i="14"/>
  <c r="AE155" i="14"/>
  <c r="AF152" i="14"/>
  <c r="AG325" i="14"/>
  <c r="AF326" i="14"/>
  <c r="B145" i="14"/>
  <c r="B16" i="14"/>
  <c r="AD157" i="14"/>
  <c r="AD159" i="14"/>
  <c r="BA231" i="14"/>
  <c r="BB229" i="14"/>
  <c r="BU65" i="14"/>
  <c r="BU63" i="14"/>
  <c r="BY47" i="14"/>
  <c r="BX48" i="14"/>
  <c r="CA224" i="14"/>
  <c r="CA225" i="14" s="1"/>
  <c r="BZ225" i="14"/>
  <c r="AH148" i="14"/>
  <c r="AG149" i="14"/>
  <c r="AE231" i="14"/>
  <c r="AF229" i="14"/>
  <c r="AZ58" i="14"/>
  <c r="AZ56" i="14"/>
  <c r="AY240" i="14"/>
  <c r="AY239" i="14"/>
  <c r="AY242" i="14" s="1"/>
  <c r="BU239" i="14"/>
  <c r="BU242" i="14" s="1"/>
  <c r="BU240" i="14"/>
  <c r="AZ235" i="14"/>
  <c r="AZ233" i="14"/>
  <c r="AW246" i="14"/>
  <c r="AW248" i="14" s="1"/>
  <c r="AW245" i="14"/>
  <c r="BR246" i="14"/>
  <c r="BR248" i="14" s="1"/>
  <c r="BR245" i="14"/>
  <c r="BS246" i="14" s="1"/>
  <c r="BS248" i="14" s="1"/>
  <c r="AB168" i="14"/>
  <c r="BW231" i="14"/>
  <c r="BX229" i="14"/>
  <c r="BV58" i="14"/>
  <c r="BV56" i="14"/>
  <c r="AC65" i="14"/>
  <c r="AC63" i="14"/>
  <c r="BT67" i="14"/>
  <c r="AW69" i="14"/>
  <c r="AW71" i="14" s="1"/>
  <c r="AW68" i="14"/>
  <c r="AX67" i="14"/>
  <c r="AB67" i="14"/>
  <c r="BC225" i="14"/>
  <c r="BD224" i="14"/>
  <c r="AD58" i="14"/>
  <c r="AD56" i="14"/>
  <c r="AD235" i="14"/>
  <c r="AD233" i="14"/>
  <c r="BA54" i="14"/>
  <c r="BB51" i="14"/>
  <c r="AY65" i="14"/>
  <c r="AY63" i="14"/>
  <c r="BV233" i="14"/>
  <c r="BV235" i="14"/>
  <c r="AG48" i="14"/>
  <c r="AH47" i="14"/>
  <c r="AY239" i="12"/>
  <c r="AY242" i="12" s="1"/>
  <c r="BT242" i="12"/>
  <c r="BT244" i="12" s="1"/>
  <c r="BT240" i="12"/>
  <c r="BU239" i="12"/>
  <c r="BU242" i="12" s="1"/>
  <c r="BU244" i="12" s="1"/>
  <c r="BU240" i="12"/>
  <c r="BS246" i="12"/>
  <c r="BS248" i="12" s="1"/>
  <c r="BS245" i="12"/>
  <c r="BV235" i="12"/>
  <c r="BV233" i="12"/>
  <c r="BX229" i="12"/>
  <c r="BW231" i="12"/>
  <c r="AG239" i="12"/>
  <c r="AG242" i="12" s="1"/>
  <c r="AC334" i="12"/>
  <c r="AC336" i="12"/>
  <c r="AB341" i="12"/>
  <c r="AB343" i="12" s="1"/>
  <c r="BB228" i="12"/>
  <c r="BA231" i="12"/>
  <c r="AE329" i="12"/>
  <c r="AD332" i="12"/>
  <c r="AA345" i="12"/>
  <c r="BD225" i="12"/>
  <c r="BE224" i="12"/>
  <c r="BE225" i="12" s="1"/>
  <c r="AZ235" i="12"/>
  <c r="AZ233" i="12"/>
  <c r="AI233" i="12"/>
  <c r="AI235" i="12"/>
  <c r="AA245" i="12"/>
  <c r="AB245" i="12" s="1"/>
  <c r="AC246" i="12" s="1"/>
  <c r="AC248" i="12" s="1"/>
  <c r="AA246" i="12"/>
  <c r="AA248" i="12" s="1"/>
  <c r="AF224" i="12"/>
  <c r="AE225" i="12"/>
  <c r="AG240" i="12"/>
  <c r="AV246" i="12"/>
  <c r="AV248" i="12" s="1"/>
  <c r="AV245" i="12"/>
  <c r="AW245" i="12" s="1"/>
  <c r="AX244" i="12"/>
  <c r="AI325" i="12"/>
  <c r="AI326" i="12" s="1"/>
  <c r="AH326" i="12"/>
  <c r="AF244" i="12"/>
  <c r="AY240" i="12"/>
  <c r="AH233" i="12"/>
  <c r="AH235" i="12"/>
  <c r="BZ228" i="12"/>
  <c r="AB170" i="15" l="1"/>
  <c r="AB172" i="15" s="1"/>
  <c r="AX245" i="15"/>
  <c r="AX246" i="15"/>
  <c r="AX248" i="15" s="1"/>
  <c r="BT244" i="15"/>
  <c r="AC345" i="15"/>
  <c r="AC244" i="15"/>
  <c r="AC169" i="15"/>
  <c r="AC170" i="15"/>
  <c r="AC172" i="15" s="1"/>
  <c r="BV233" i="15"/>
  <c r="BV235" i="15"/>
  <c r="BS245" i="15"/>
  <c r="BS246" i="15"/>
  <c r="BS248" i="15" s="1"/>
  <c r="BW231" i="15"/>
  <c r="BX229" i="15"/>
  <c r="AI47" i="15"/>
  <c r="AH48" i="15"/>
  <c r="AG325" i="15"/>
  <c r="AF326" i="15"/>
  <c r="AA245" i="15"/>
  <c r="AB245" i="15" s="1"/>
  <c r="AI54" i="15"/>
  <c r="AJ51" i="15"/>
  <c r="AJ54" i="15" s="1"/>
  <c r="AI149" i="15"/>
  <c r="AJ148" i="15"/>
  <c r="AJ149" i="15" s="1"/>
  <c r="AZ65" i="15"/>
  <c r="AZ63" i="15"/>
  <c r="BD231" i="15"/>
  <c r="BE229" i="15"/>
  <c r="BE231" i="15" s="1"/>
  <c r="AE332" i="15"/>
  <c r="AE334" i="15" s="1"/>
  <c r="AF330" i="15"/>
  <c r="BC48" i="15"/>
  <c r="BD47" i="15"/>
  <c r="AF157" i="15"/>
  <c r="AF159" i="15"/>
  <c r="AE166" i="15"/>
  <c r="AE164" i="15"/>
  <c r="BB54" i="15"/>
  <c r="BC51" i="15"/>
  <c r="AC68" i="15"/>
  <c r="BB239" i="15"/>
  <c r="BB242" i="15" s="1"/>
  <c r="BB240" i="15"/>
  <c r="AX69" i="15"/>
  <c r="AX71" i="15" s="1"/>
  <c r="AX68" i="15"/>
  <c r="AD239" i="15"/>
  <c r="AD242" i="15"/>
  <c r="AD240" i="15"/>
  <c r="AG65" i="15"/>
  <c r="AG63" i="15"/>
  <c r="BU239" i="15"/>
  <c r="BU242" i="15" s="1"/>
  <c r="BU240" i="15"/>
  <c r="BW58" i="15"/>
  <c r="BW56" i="15"/>
  <c r="AW246" i="15"/>
  <c r="AW248" i="15" s="1"/>
  <c r="AF231" i="15"/>
  <c r="AG229" i="15"/>
  <c r="AB346" i="15"/>
  <c r="AB347" i="15"/>
  <c r="AB349" i="15" s="1"/>
  <c r="BA244" i="15"/>
  <c r="AY67" i="15"/>
  <c r="BY48" i="15"/>
  <c r="BZ47" i="15"/>
  <c r="AD168" i="15"/>
  <c r="BU67" i="15"/>
  <c r="BE224" i="15"/>
  <c r="BE225" i="15" s="1"/>
  <c r="BD225" i="15"/>
  <c r="AD341" i="15"/>
  <c r="AD343" i="15" s="1"/>
  <c r="AH56" i="15"/>
  <c r="AH58" i="15"/>
  <c r="BC235" i="15"/>
  <c r="BC233" i="15"/>
  <c r="AG225" i="15"/>
  <c r="AH224" i="15"/>
  <c r="AF67" i="15"/>
  <c r="AH152" i="15"/>
  <c r="AG155" i="15"/>
  <c r="BA56" i="15"/>
  <c r="BA58" i="15"/>
  <c r="BY51" i="15"/>
  <c r="BX54" i="15"/>
  <c r="BV65" i="15"/>
  <c r="BV63" i="15"/>
  <c r="BT69" i="15"/>
  <c r="BT71" i="15" s="1"/>
  <c r="BT68" i="15"/>
  <c r="AE233" i="15"/>
  <c r="AE235" i="15"/>
  <c r="AE332" i="14"/>
  <c r="AE334" i="14" s="1"/>
  <c r="AE341" i="14" s="1"/>
  <c r="AE343" i="14" s="1"/>
  <c r="AE345" i="14" s="1"/>
  <c r="AF330" i="14"/>
  <c r="AC346" i="14"/>
  <c r="AC347" i="14"/>
  <c r="AC349" i="14" s="1"/>
  <c r="AY244" i="14"/>
  <c r="AC244" i="14"/>
  <c r="AY67" i="14"/>
  <c r="BD225" i="14"/>
  <c r="BE224" i="14"/>
  <c r="BE225" i="14" s="1"/>
  <c r="BU244" i="14"/>
  <c r="BC229" i="14"/>
  <c r="BB231" i="14"/>
  <c r="BS245" i="14"/>
  <c r="BT246" i="14" s="1"/>
  <c r="BT248" i="14" s="1"/>
  <c r="BC48" i="14"/>
  <c r="BD47" i="14"/>
  <c r="AG51" i="14"/>
  <c r="AF54" i="14"/>
  <c r="BC51" i="14"/>
  <c r="BB54" i="14"/>
  <c r="AC67" i="14"/>
  <c r="AH149" i="14"/>
  <c r="AI148" i="14"/>
  <c r="BA235" i="14"/>
  <c r="BA233" i="14"/>
  <c r="BA58" i="14"/>
  <c r="BA56" i="14"/>
  <c r="AA245" i="14"/>
  <c r="AB245" i="14" s="1"/>
  <c r="BV65" i="14"/>
  <c r="BV63" i="14"/>
  <c r="BT245" i="12"/>
  <c r="BU245" i="12" s="1"/>
  <c r="AH48" i="14"/>
  <c r="AI47" i="14"/>
  <c r="AD239" i="14"/>
  <c r="AD242" i="14" s="1"/>
  <c r="AD240" i="14"/>
  <c r="AD166" i="14"/>
  <c r="AD164" i="14"/>
  <c r="AG152" i="14"/>
  <c r="AF155" i="14"/>
  <c r="AB69" i="14"/>
  <c r="AB71" i="14" s="1"/>
  <c r="AB68" i="14"/>
  <c r="BX231" i="14"/>
  <c r="BY229" i="14"/>
  <c r="AZ240" i="14"/>
  <c r="AZ239" i="14"/>
  <c r="AZ242" i="14" s="1"/>
  <c r="AZ65" i="14"/>
  <c r="AZ63" i="14"/>
  <c r="AX245" i="14"/>
  <c r="AX246" i="14"/>
  <c r="AX248" i="14" s="1"/>
  <c r="BW58" i="14"/>
  <c r="BW56" i="14"/>
  <c r="BV240" i="14"/>
  <c r="BV239" i="14"/>
  <c r="BV242" i="14" s="1"/>
  <c r="AX69" i="14"/>
  <c r="AX71" i="14" s="1"/>
  <c r="AX68" i="14"/>
  <c r="BT68" i="14"/>
  <c r="BT69" i="14"/>
  <c r="BT71" i="14" s="1"/>
  <c r="AB169" i="14"/>
  <c r="AB170" i="14"/>
  <c r="AB172" i="14" s="1"/>
  <c r="AF231" i="14"/>
  <c r="AG229" i="14"/>
  <c r="BY51" i="14"/>
  <c r="BX54" i="14"/>
  <c r="AE159" i="14"/>
  <c r="AE157" i="14"/>
  <c r="AC168" i="14"/>
  <c r="AD65" i="14"/>
  <c r="AD63" i="14"/>
  <c r="BW235" i="14"/>
  <c r="BW233" i="14"/>
  <c r="BZ47" i="14"/>
  <c r="BY48" i="14"/>
  <c r="AE233" i="14"/>
  <c r="AE235" i="14"/>
  <c r="BU67" i="14"/>
  <c r="AH325" i="14"/>
  <c r="AG326" i="14"/>
  <c r="AE58" i="14"/>
  <c r="AE56" i="14"/>
  <c r="AZ239" i="12"/>
  <c r="AZ242" i="12" s="1"/>
  <c r="AI239" i="12"/>
  <c r="AI242" i="12" s="1"/>
  <c r="BW235" i="12"/>
  <c r="BW233" i="12"/>
  <c r="BV239" i="12"/>
  <c r="BV242" i="12" s="1"/>
  <c r="BV244" i="12" s="1"/>
  <c r="BV240" i="12"/>
  <c r="BY229" i="12"/>
  <c r="BX231" i="12"/>
  <c r="BT246" i="12"/>
  <c r="BT248" i="12" s="1"/>
  <c r="AH239" i="12"/>
  <c r="AH242" i="12" s="1"/>
  <c r="AW246" i="12"/>
  <c r="AW248" i="12" s="1"/>
  <c r="AB246" i="12"/>
  <c r="AB248" i="12" s="1"/>
  <c r="AI240" i="12"/>
  <c r="AA346" i="12"/>
  <c r="AA347" i="12"/>
  <c r="AA349" i="12" s="1"/>
  <c r="AH240" i="12"/>
  <c r="AY244" i="12"/>
  <c r="AD334" i="12"/>
  <c r="AD336" i="12"/>
  <c r="BA233" i="12"/>
  <c r="BA235" i="12"/>
  <c r="AB345" i="12"/>
  <c r="AZ240" i="12"/>
  <c r="AG244" i="12"/>
  <c r="AF329" i="12"/>
  <c r="AE332" i="12"/>
  <c r="CA228" i="12"/>
  <c r="AC245" i="12"/>
  <c r="AX246" i="12"/>
  <c r="AX248" i="12" s="1"/>
  <c r="AX245" i="12"/>
  <c r="AF225" i="12"/>
  <c r="AG224" i="12"/>
  <c r="BC228" i="12"/>
  <c r="BB231" i="12"/>
  <c r="AC341" i="12"/>
  <c r="AC343" i="12" s="1"/>
  <c r="AB246" i="15" l="1"/>
  <c r="AB248" i="15" s="1"/>
  <c r="AD345" i="15"/>
  <c r="BB244" i="15"/>
  <c r="BU244" i="15"/>
  <c r="AE168" i="15"/>
  <c r="BW235" i="15"/>
  <c r="BW233" i="15"/>
  <c r="AG157" i="15"/>
  <c r="AG159" i="15"/>
  <c r="BC239" i="15"/>
  <c r="BC242" i="15" s="1"/>
  <c r="BC240" i="15"/>
  <c r="AF233" i="15"/>
  <c r="AF235" i="15"/>
  <c r="AF166" i="15"/>
  <c r="AF164" i="15"/>
  <c r="BD235" i="15"/>
  <c r="BD233" i="15"/>
  <c r="BE47" i="15"/>
  <c r="BD48" i="15"/>
  <c r="BV239" i="15"/>
  <c r="BV242" i="15"/>
  <c r="BV240" i="15"/>
  <c r="AD169" i="15"/>
  <c r="AD170" i="15"/>
  <c r="AD172" i="15" s="1"/>
  <c r="AD244" i="15"/>
  <c r="BB58" i="15"/>
  <c r="BB56" i="15"/>
  <c r="AF332" i="15"/>
  <c r="AF334" i="15" s="1"/>
  <c r="AG330" i="15"/>
  <c r="AJ47" i="15"/>
  <c r="AJ48" i="15" s="1"/>
  <c r="AI48" i="15"/>
  <c r="AG231" i="15"/>
  <c r="AH229" i="15"/>
  <c r="AJ58" i="15"/>
  <c r="AJ56" i="15"/>
  <c r="AC245" i="15"/>
  <c r="AC246" i="15"/>
  <c r="AC248" i="15" s="1"/>
  <c r="AY69" i="15"/>
  <c r="AY71" i="15" s="1"/>
  <c r="AY68" i="15"/>
  <c r="AI58" i="15"/>
  <c r="AI56" i="15"/>
  <c r="AI152" i="15"/>
  <c r="AH155" i="15"/>
  <c r="BE233" i="15"/>
  <c r="BE235" i="15"/>
  <c r="AC346" i="15"/>
  <c r="AC347" i="15"/>
  <c r="AC349" i="15" s="1"/>
  <c r="BV67" i="15"/>
  <c r="BU68" i="15"/>
  <c r="BU69" i="15"/>
  <c r="BU71" i="15" s="1"/>
  <c r="AG67" i="15"/>
  <c r="BX56" i="15"/>
  <c r="BX58" i="15"/>
  <c r="AH65" i="15"/>
  <c r="AH63" i="15"/>
  <c r="AD69" i="15"/>
  <c r="AD71" i="15" s="1"/>
  <c r="AD68" i="15"/>
  <c r="AG326" i="15"/>
  <c r="AH325" i="15"/>
  <c r="BT246" i="15"/>
  <c r="BT248" i="15" s="1"/>
  <c r="BT245" i="15"/>
  <c r="BY54" i="15"/>
  <c r="BZ51" i="15"/>
  <c r="BW65" i="15"/>
  <c r="BW63" i="15"/>
  <c r="BC54" i="15"/>
  <c r="BD51" i="15"/>
  <c r="AZ67" i="15"/>
  <c r="BT245" i="14"/>
  <c r="BU245" i="14" s="1"/>
  <c r="AE239" i="15"/>
  <c r="AE242" i="15" s="1"/>
  <c r="AE240" i="15"/>
  <c r="BA65" i="15"/>
  <c r="BA63" i="15"/>
  <c r="AH225" i="15"/>
  <c r="AI224" i="15"/>
  <c r="AI225" i="15" s="1"/>
  <c r="BZ48" i="15"/>
  <c r="CA47" i="15"/>
  <c r="AE341" i="15"/>
  <c r="AE343" i="15" s="1"/>
  <c r="BY229" i="15"/>
  <c r="BX231" i="15"/>
  <c r="AY245" i="15"/>
  <c r="AY246" i="15"/>
  <c r="AY248" i="15" s="1"/>
  <c r="AD347" i="14"/>
  <c r="AD349" i="14" s="1"/>
  <c r="AD346" i="14"/>
  <c r="AF332" i="14"/>
  <c r="AF334" i="14" s="1"/>
  <c r="AG330" i="14"/>
  <c r="BV244" i="14"/>
  <c r="AD244" i="14"/>
  <c r="BW65" i="14"/>
  <c r="BW63" i="14"/>
  <c r="AZ244" i="14"/>
  <c r="AH152" i="14"/>
  <c r="AG155" i="14"/>
  <c r="BU246" i="12"/>
  <c r="BU248" i="12" s="1"/>
  <c r="AD67" i="14"/>
  <c r="BY231" i="14"/>
  <c r="BZ229" i="14"/>
  <c r="BA239" i="14"/>
  <c r="BA242" i="14"/>
  <c r="BA240" i="14"/>
  <c r="BB233" i="14"/>
  <c r="BB235" i="14"/>
  <c r="AY68" i="14"/>
  <c r="AY69" i="14"/>
  <c r="AY71" i="14" s="1"/>
  <c r="AE65" i="14"/>
  <c r="AE63" i="14"/>
  <c r="AE239" i="14"/>
  <c r="AE242" i="14" s="1"/>
  <c r="AE240" i="14"/>
  <c r="BX235" i="14"/>
  <c r="BX233" i="14"/>
  <c r="AD168" i="14"/>
  <c r="BB56" i="14"/>
  <c r="BB58" i="14"/>
  <c r="BC231" i="14"/>
  <c r="BD229" i="14"/>
  <c r="BX56" i="14"/>
  <c r="BX58" i="14"/>
  <c r="BV67" i="14"/>
  <c r="AI149" i="14"/>
  <c r="AJ148" i="14"/>
  <c r="AJ149" i="14" s="1"/>
  <c r="BD51" i="14"/>
  <c r="BC54" i="14"/>
  <c r="CA47" i="14"/>
  <c r="BZ48" i="14"/>
  <c r="BZ51" i="14"/>
  <c r="BY54" i="14"/>
  <c r="AF58" i="14"/>
  <c r="AF56" i="14"/>
  <c r="AC245" i="14"/>
  <c r="AC246" i="14"/>
  <c r="AC248" i="14" s="1"/>
  <c r="BW239" i="14"/>
  <c r="BW242" i="14" s="1"/>
  <c r="BW240" i="14"/>
  <c r="AB246" i="14"/>
  <c r="AB248" i="14" s="1"/>
  <c r="AG54" i="14"/>
  <c r="AH51" i="14"/>
  <c r="AF233" i="14"/>
  <c r="AF235" i="14"/>
  <c r="AC69" i="14"/>
  <c r="AC71" i="14" s="1"/>
  <c r="AC68" i="14"/>
  <c r="AC169" i="14"/>
  <c r="AC170" i="14"/>
  <c r="AC172" i="14" s="1"/>
  <c r="AG231" i="14"/>
  <c r="AH229" i="14"/>
  <c r="AZ67" i="14"/>
  <c r="AI325" i="14"/>
  <c r="AI326" i="14" s="1"/>
  <c r="AH326" i="14"/>
  <c r="AE166" i="14"/>
  <c r="AE164" i="14"/>
  <c r="AI48" i="14"/>
  <c r="AJ47" i="14"/>
  <c r="AJ48" i="14" s="1"/>
  <c r="BD48" i="14"/>
  <c r="BE47" i="14"/>
  <c r="AY245" i="14"/>
  <c r="AY246" i="14"/>
  <c r="AY248" i="14" s="1"/>
  <c r="BU68" i="14"/>
  <c r="BU69" i="14"/>
  <c r="BU71" i="14" s="1"/>
  <c r="AF157" i="14"/>
  <c r="AF159" i="14"/>
  <c r="BA65" i="14"/>
  <c r="BA63" i="14"/>
  <c r="BV246" i="12"/>
  <c r="BV248" i="12" s="1"/>
  <c r="BV245" i="12"/>
  <c r="BA239" i="12"/>
  <c r="BA242" i="12" s="1"/>
  <c r="BW239" i="12"/>
  <c r="BW242" i="12" s="1"/>
  <c r="BW244" i="12" s="1"/>
  <c r="BW240" i="12"/>
  <c r="BX233" i="12"/>
  <c r="BX235" i="12"/>
  <c r="BZ229" i="12"/>
  <c r="BY231" i="12"/>
  <c r="AD245" i="12"/>
  <c r="AD246" i="12"/>
  <c r="AD248" i="12" s="1"/>
  <c r="AC345" i="12"/>
  <c r="BB233" i="12"/>
  <c r="BB235" i="12"/>
  <c r="AY246" i="12"/>
  <c r="AY248" i="12" s="1"/>
  <c r="AY245" i="12"/>
  <c r="AE334" i="12"/>
  <c r="AE336" i="12"/>
  <c r="AH244" i="12"/>
  <c r="AG225" i="12"/>
  <c r="AH224" i="12"/>
  <c r="BA240" i="12"/>
  <c r="AD341" i="12"/>
  <c r="AD343" i="12" s="1"/>
  <c r="AG329" i="12"/>
  <c r="AF332" i="12"/>
  <c r="AZ244" i="12"/>
  <c r="BD228" i="12"/>
  <c r="BC231" i="12"/>
  <c r="AB346" i="12"/>
  <c r="AB347" i="12"/>
  <c r="AB349" i="12" s="1"/>
  <c r="AI244" i="12"/>
  <c r="BU246" i="14" l="1"/>
  <c r="BU248" i="14" s="1"/>
  <c r="AE244" i="15"/>
  <c r="AE345" i="15"/>
  <c r="BW67" i="15"/>
  <c r="BE239" i="15"/>
  <c r="BE242" i="15" s="1"/>
  <c r="BE240" i="15"/>
  <c r="AH330" i="15"/>
  <c r="AG332" i="15"/>
  <c r="AG334" i="15" s="1"/>
  <c r="AH157" i="15"/>
  <c r="AH159" i="15"/>
  <c r="BY56" i="15"/>
  <c r="BY58" i="15"/>
  <c r="AJ152" i="15"/>
  <c r="AJ155" i="15" s="1"/>
  <c r="AI155" i="15"/>
  <c r="BB65" i="15"/>
  <c r="BB63" i="15"/>
  <c r="BW239" i="15"/>
  <c r="BW242" i="15" s="1"/>
  <c r="BW240" i="15"/>
  <c r="BX65" i="15"/>
  <c r="BX63" i="15"/>
  <c r="AD246" i="15"/>
  <c r="AD248" i="15" s="1"/>
  <c r="AD245" i="15"/>
  <c r="AE169" i="15"/>
  <c r="AE170" i="15"/>
  <c r="AE172" i="15" s="1"/>
  <c r="BD54" i="15"/>
  <c r="BE51" i="15"/>
  <c r="AI325" i="15"/>
  <c r="AI326" i="15" s="1"/>
  <c r="AH326" i="15"/>
  <c r="BZ229" i="15"/>
  <c r="BY231" i="15"/>
  <c r="BA67" i="15"/>
  <c r="BF47" i="15"/>
  <c r="BF48" i="15" s="1"/>
  <c r="BE48" i="15"/>
  <c r="BC244" i="15"/>
  <c r="CA48" i="15"/>
  <c r="CB47" i="15"/>
  <c r="CB48" i="15" s="1"/>
  <c r="BZ54" i="15"/>
  <c r="CA51" i="15"/>
  <c r="AF341" i="15"/>
  <c r="AF343" i="15" s="1"/>
  <c r="AG166" i="15"/>
  <c r="AG164" i="15"/>
  <c r="AH67" i="15"/>
  <c r="AJ65" i="15"/>
  <c r="AJ63" i="15"/>
  <c r="AF168" i="15"/>
  <c r="AZ68" i="15"/>
  <c r="AZ69" i="15"/>
  <c r="AZ71" i="15" s="1"/>
  <c r="BV69" i="15"/>
  <c r="BV71" i="15" s="1"/>
  <c r="BV68" i="15"/>
  <c r="AI65" i="15"/>
  <c r="AI63" i="15"/>
  <c r="BV244" i="15"/>
  <c r="AZ245" i="15"/>
  <c r="AZ246" i="15"/>
  <c r="AZ248" i="15" s="1"/>
  <c r="AI229" i="15"/>
  <c r="AI231" i="15" s="1"/>
  <c r="AH231" i="15"/>
  <c r="AF239" i="15"/>
  <c r="AF242" i="15" s="1"/>
  <c r="AF240" i="15"/>
  <c r="BX235" i="15"/>
  <c r="BX233" i="15"/>
  <c r="AG235" i="15"/>
  <c r="AG233" i="15"/>
  <c r="AD347" i="15"/>
  <c r="AD349" i="15" s="1"/>
  <c r="AD346" i="15"/>
  <c r="BC58" i="15"/>
  <c r="BC56" i="15"/>
  <c r="BW246" i="12"/>
  <c r="BW248" i="12" s="1"/>
  <c r="AE69" i="15"/>
  <c r="AE71" i="15" s="1"/>
  <c r="AE68" i="15"/>
  <c r="BD239" i="15"/>
  <c r="BD242" i="15" s="1"/>
  <c r="BD240" i="15"/>
  <c r="BU245" i="15"/>
  <c r="BU246" i="15"/>
  <c r="BU248" i="15" s="1"/>
  <c r="AH330" i="14"/>
  <c r="AG332" i="14"/>
  <c r="AG334" i="14" s="1"/>
  <c r="AF341" i="14"/>
  <c r="AF343" i="14"/>
  <c r="AF345" i="14" s="1"/>
  <c r="AE346" i="14"/>
  <c r="AE347" i="14"/>
  <c r="AE349" i="14" s="1"/>
  <c r="AE244" i="14"/>
  <c r="AF166" i="14"/>
  <c r="AF164" i="14"/>
  <c r="AZ68" i="14"/>
  <c r="AZ69" i="14"/>
  <c r="AZ71" i="14" s="1"/>
  <c r="BW244" i="14"/>
  <c r="BV68" i="14"/>
  <c r="BV69" i="14"/>
  <c r="BV71" i="14" s="1"/>
  <c r="AD169" i="14"/>
  <c r="AD170" i="14"/>
  <c r="AD172" i="14" s="1"/>
  <c r="AD245" i="14"/>
  <c r="AD246" i="14"/>
  <c r="AD248" i="14" s="1"/>
  <c r="AF239" i="14"/>
  <c r="AF242" i="14" s="1"/>
  <c r="AF240" i="14"/>
  <c r="CA48" i="14"/>
  <c r="CB47" i="14"/>
  <c r="CB48" i="14" s="1"/>
  <c r="AE67" i="14"/>
  <c r="BA244" i="14"/>
  <c r="AI229" i="14"/>
  <c r="AI231" i="14" s="1"/>
  <c r="AH231" i="14"/>
  <c r="AI51" i="14"/>
  <c r="AH54" i="14"/>
  <c r="BX239" i="14"/>
  <c r="BX242" i="14" s="1"/>
  <c r="BX240" i="14"/>
  <c r="AG157" i="14"/>
  <c r="AG159" i="14"/>
  <c r="AE168" i="14"/>
  <c r="AG235" i="14"/>
  <c r="AG233" i="14"/>
  <c r="AG56" i="14"/>
  <c r="AG58" i="14"/>
  <c r="BX65" i="14"/>
  <c r="BX63" i="14"/>
  <c r="BZ231" i="14"/>
  <c r="CA229" i="14"/>
  <c r="CA231" i="14" s="1"/>
  <c r="AI152" i="14"/>
  <c r="AH155" i="14"/>
  <c r="AF65" i="14"/>
  <c r="AF63" i="14"/>
  <c r="BC58" i="14"/>
  <c r="BC56" i="14"/>
  <c r="BD231" i="14"/>
  <c r="BE229" i="14"/>
  <c r="BE231" i="14" s="1"/>
  <c r="BY235" i="14"/>
  <c r="BY233" i="14"/>
  <c r="AZ246" i="14"/>
  <c r="AZ248" i="14" s="1"/>
  <c r="AZ245" i="14"/>
  <c r="BD54" i="14"/>
  <c r="BE51" i="14"/>
  <c r="BC233" i="14"/>
  <c r="BC235" i="14"/>
  <c r="BB239" i="14"/>
  <c r="BB242" i="14"/>
  <c r="BB240" i="14"/>
  <c r="AD68" i="14"/>
  <c r="AD69" i="14"/>
  <c r="AD71" i="14" s="1"/>
  <c r="BV245" i="14"/>
  <c r="BV246" i="14"/>
  <c r="BV248" i="14" s="1"/>
  <c r="BA67" i="14"/>
  <c r="BE48" i="14"/>
  <c r="BF47" i="14"/>
  <c r="BF48" i="14" s="1"/>
  <c r="BY56" i="14"/>
  <c r="BY58" i="14"/>
  <c r="BZ54" i="14"/>
  <c r="CA51" i="14"/>
  <c r="BB65" i="14"/>
  <c r="BB63" i="14"/>
  <c r="BW67" i="14"/>
  <c r="BW245" i="12"/>
  <c r="BB239" i="12"/>
  <c r="BB242" i="12" s="1"/>
  <c r="BY235" i="12"/>
  <c r="BY233" i="12"/>
  <c r="BX239" i="12"/>
  <c r="BX242" i="12" s="1"/>
  <c r="BX244" i="12" s="1"/>
  <c r="BX240" i="12"/>
  <c r="CA229" i="12"/>
  <c r="CA231" i="12" s="1"/>
  <c r="BZ231" i="12"/>
  <c r="AZ246" i="12"/>
  <c r="AZ248" i="12" s="1"/>
  <c r="AZ245" i="12"/>
  <c r="AF334" i="12"/>
  <c r="AF336" i="12"/>
  <c r="AH329" i="12"/>
  <c r="AG332" i="12"/>
  <c r="AE341" i="12"/>
  <c r="AE343" i="12" s="1"/>
  <c r="AD345" i="12"/>
  <c r="BB240" i="12"/>
  <c r="BA244" i="12"/>
  <c r="AE246" i="12"/>
  <c r="AE248" i="12" s="1"/>
  <c r="AE245" i="12"/>
  <c r="AC346" i="12"/>
  <c r="AC347" i="12"/>
  <c r="AC349" i="12" s="1"/>
  <c r="BC233" i="12"/>
  <c r="BC235" i="12"/>
  <c r="BE228" i="12"/>
  <c r="BE231" i="12" s="1"/>
  <c r="BD231" i="12"/>
  <c r="AH225" i="12"/>
  <c r="AI224" i="12"/>
  <c r="AI225" i="12" s="1"/>
  <c r="BX246" i="12" l="1"/>
  <c r="BX248" i="12" s="1"/>
  <c r="BW244" i="15"/>
  <c r="BD244" i="15"/>
  <c r="BE244" i="15"/>
  <c r="AF345" i="15"/>
  <c r="BC65" i="15"/>
  <c r="BC63" i="15"/>
  <c r="AH166" i="15"/>
  <c r="AH164" i="15"/>
  <c r="AG168" i="15"/>
  <c r="CA229" i="15"/>
  <c r="CA231" i="15" s="1"/>
  <c r="BZ231" i="15"/>
  <c r="BV246" i="15"/>
  <c r="BV248" i="15" s="1"/>
  <c r="BV245" i="15"/>
  <c r="AH235" i="15"/>
  <c r="AH233" i="15"/>
  <c r="CB51" i="15"/>
  <c r="CB54" i="15" s="1"/>
  <c r="CA54" i="15"/>
  <c r="AI235" i="15"/>
  <c r="AI233" i="15"/>
  <c r="AJ67" i="15"/>
  <c r="BX67" i="15"/>
  <c r="BA69" i="15"/>
  <c r="BA71" i="15" s="1"/>
  <c r="BA68" i="15"/>
  <c r="BE54" i="15"/>
  <c r="BF51" i="15"/>
  <c r="BF54" i="15" s="1"/>
  <c r="BY65" i="15"/>
  <c r="BY63" i="15"/>
  <c r="BW69" i="15"/>
  <c r="BW71" i="15" s="1"/>
  <c r="BW68" i="15"/>
  <c r="AE246" i="15"/>
  <c r="AE248" i="15" s="1"/>
  <c r="AE245" i="15"/>
  <c r="BY235" i="15"/>
  <c r="BY233" i="15"/>
  <c r="AE347" i="15"/>
  <c r="AE349" i="15" s="1"/>
  <c r="AE346" i="15"/>
  <c r="AG341" i="15"/>
  <c r="AG343" i="15" s="1"/>
  <c r="AF244" i="15"/>
  <c r="AF170" i="15"/>
  <c r="AF172" i="15" s="1"/>
  <c r="AF169" i="15"/>
  <c r="BB67" i="15"/>
  <c r="AI330" i="15"/>
  <c r="AI332" i="15" s="1"/>
  <c r="AI334" i="15" s="1"/>
  <c r="AH332" i="15"/>
  <c r="AH334" i="15" s="1"/>
  <c r="AI159" i="15"/>
  <c r="AI157" i="15"/>
  <c r="AG239" i="15"/>
  <c r="AG242" i="15" s="1"/>
  <c r="AG240" i="15"/>
  <c r="AJ159" i="15"/>
  <c r="AJ157" i="15"/>
  <c r="AF68" i="15"/>
  <c r="AF69" i="15"/>
  <c r="AF71" i="15" s="1"/>
  <c r="AI67" i="15"/>
  <c r="BZ58" i="15"/>
  <c r="BZ56" i="15"/>
  <c r="BX239" i="15"/>
  <c r="BX242" i="15"/>
  <c r="BX240" i="15"/>
  <c r="BA246" i="15"/>
  <c r="BA248" i="15" s="1"/>
  <c r="BA245" i="15"/>
  <c r="BD56" i="15"/>
  <c r="BD58" i="15"/>
  <c r="AF347" i="14"/>
  <c r="AF349" i="14" s="1"/>
  <c r="AF346" i="14"/>
  <c r="AG341" i="14"/>
  <c r="AG343" i="14"/>
  <c r="AG345" i="14" s="1"/>
  <c r="AI330" i="14"/>
  <c r="AI332" i="14" s="1"/>
  <c r="AI334" i="14" s="1"/>
  <c r="AI341" i="14" s="1"/>
  <c r="AI343" i="14" s="1"/>
  <c r="AI345" i="14" s="1"/>
  <c r="AH332" i="14"/>
  <c r="AH334" i="14" s="1"/>
  <c r="AH341" i="14" s="1"/>
  <c r="AH343" i="14" s="1"/>
  <c r="AH345" i="14" s="1"/>
  <c r="BD56" i="14"/>
  <c r="BD58" i="14"/>
  <c r="BX67" i="14"/>
  <c r="AG166" i="14"/>
  <c r="AG164" i="14"/>
  <c r="BA245" i="14"/>
  <c r="BA246" i="14"/>
  <c r="BA248" i="14" s="1"/>
  <c r="AF244" i="14"/>
  <c r="BB67" i="14"/>
  <c r="AE246" i="14"/>
  <c r="AE248" i="14" s="1"/>
  <c r="AE245" i="14"/>
  <c r="CB51" i="14"/>
  <c r="CB54" i="14" s="1"/>
  <c r="CA54" i="14"/>
  <c r="AF67" i="14"/>
  <c r="AG65" i="14"/>
  <c r="AG63" i="14"/>
  <c r="BX244" i="14"/>
  <c r="AE68" i="14"/>
  <c r="AE69" i="14"/>
  <c r="AE71" i="14" s="1"/>
  <c r="BZ56" i="14"/>
  <c r="BZ58" i="14"/>
  <c r="BB244" i="14"/>
  <c r="BY239" i="14"/>
  <c r="BY242" i="14" s="1"/>
  <c r="BY240" i="14"/>
  <c r="AH159" i="14"/>
  <c r="AH157" i="14"/>
  <c r="AG239" i="14"/>
  <c r="AG242" i="14" s="1"/>
  <c r="AG240" i="14"/>
  <c r="BA68" i="14"/>
  <c r="BA69" i="14"/>
  <c r="BA71" i="14" s="1"/>
  <c r="AJ152" i="14"/>
  <c r="AJ155" i="14" s="1"/>
  <c r="AI155" i="14"/>
  <c r="AH56" i="14"/>
  <c r="AH58" i="14"/>
  <c r="AF168" i="14"/>
  <c r="BE233" i="14"/>
  <c r="BE235" i="14"/>
  <c r="CA233" i="14"/>
  <c r="CA235" i="14"/>
  <c r="AE169" i="14"/>
  <c r="AE170" i="14"/>
  <c r="AE172" i="14" s="1"/>
  <c r="AJ51" i="14"/>
  <c r="AJ54" i="14" s="1"/>
  <c r="AI54" i="14"/>
  <c r="BW68" i="14"/>
  <c r="BW69" i="14"/>
  <c r="BW71" i="14" s="1"/>
  <c r="BY65" i="14"/>
  <c r="BY63" i="14"/>
  <c r="BC239" i="14"/>
  <c r="BC242" i="14" s="1"/>
  <c r="BC240" i="14"/>
  <c r="BD235" i="14"/>
  <c r="BD233" i="14"/>
  <c r="BZ235" i="14"/>
  <c r="BZ233" i="14"/>
  <c r="AH235" i="14"/>
  <c r="AH233" i="14"/>
  <c r="BE54" i="14"/>
  <c r="BF51" i="14"/>
  <c r="BF54" i="14" s="1"/>
  <c r="BC65" i="14"/>
  <c r="BC63" i="14"/>
  <c r="AI235" i="14"/>
  <c r="AI233" i="14"/>
  <c r="BW245" i="14"/>
  <c r="BW246" i="14"/>
  <c r="BW248" i="14" s="1"/>
  <c r="BX245" i="12"/>
  <c r="BC239" i="12"/>
  <c r="BC242" i="12" s="1"/>
  <c r="CA235" i="12"/>
  <c r="CA233" i="12"/>
  <c r="BY239" i="12"/>
  <c r="BY242" i="12" s="1"/>
  <c r="BY244" i="12" s="1"/>
  <c r="BY240" i="12"/>
  <c r="BZ233" i="12"/>
  <c r="BZ235" i="12"/>
  <c r="AG334" i="12"/>
  <c r="AG336" i="12"/>
  <c r="BA246" i="12"/>
  <c r="BA248" i="12" s="1"/>
  <c r="BA245" i="12"/>
  <c r="AF341" i="12"/>
  <c r="AF343" i="12" s="1"/>
  <c r="BB244" i="12"/>
  <c r="BC240" i="12"/>
  <c r="AE345" i="12"/>
  <c r="AF246" i="12"/>
  <c r="AF248" i="12" s="1"/>
  <c r="AF245" i="12"/>
  <c r="AI329" i="12"/>
  <c r="AI332" i="12" s="1"/>
  <c r="AH332" i="12"/>
  <c r="BD235" i="12"/>
  <c r="BD233" i="12"/>
  <c r="AD346" i="12"/>
  <c r="AD347" i="12"/>
  <c r="AD349" i="12" s="1"/>
  <c r="BE233" i="12"/>
  <c r="BE235" i="12"/>
  <c r="AG244" i="15" l="1"/>
  <c r="AG345" i="15"/>
  <c r="BD65" i="15"/>
  <c r="BD63" i="15"/>
  <c r="AI166" i="15"/>
  <c r="AI164" i="15"/>
  <c r="BY239" i="15"/>
  <c r="BY242" i="15" s="1"/>
  <c r="BY240" i="15"/>
  <c r="BX244" i="15"/>
  <c r="AJ166" i="15"/>
  <c r="AJ164" i="15"/>
  <c r="BB68" i="15"/>
  <c r="BB69" i="15"/>
  <c r="BB71" i="15" s="1"/>
  <c r="AF346" i="15"/>
  <c r="AF347" i="15"/>
  <c r="AF349" i="15" s="1"/>
  <c r="BZ65" i="15"/>
  <c r="BZ63" i="15"/>
  <c r="CA58" i="15"/>
  <c r="CA56" i="15"/>
  <c r="AG170" i="15"/>
  <c r="AG172" i="15" s="1"/>
  <c r="AG169" i="15"/>
  <c r="BW246" i="15"/>
  <c r="BW248" i="15" s="1"/>
  <c r="BW245" i="15"/>
  <c r="BX68" i="15"/>
  <c r="BX69" i="15"/>
  <c r="BX71" i="15" s="1"/>
  <c r="AH239" i="15"/>
  <c r="AH242" i="15" s="1"/>
  <c r="AH240" i="15"/>
  <c r="BB246" i="15"/>
  <c r="BB248" i="15" s="1"/>
  <c r="BB245" i="15"/>
  <c r="BY67" i="15"/>
  <c r="AH168" i="15"/>
  <c r="BF58" i="15"/>
  <c r="BF56" i="15"/>
  <c r="AG68" i="15"/>
  <c r="AG69" i="15"/>
  <c r="AG71" i="15" s="1"/>
  <c r="AH341" i="15"/>
  <c r="AH343" i="15" s="1"/>
  <c r="AF246" i="15"/>
  <c r="AF248" i="15" s="1"/>
  <c r="AF245" i="15"/>
  <c r="BE58" i="15"/>
  <c r="BE56" i="15"/>
  <c r="BC67" i="15"/>
  <c r="AI341" i="15"/>
  <c r="AI343" i="15" s="1"/>
  <c r="AI239" i="15"/>
  <c r="AI242" i="15" s="1"/>
  <c r="AI240" i="15"/>
  <c r="BZ233" i="15"/>
  <c r="BZ235" i="15"/>
  <c r="CA233" i="15"/>
  <c r="CA235" i="15"/>
  <c r="CB58" i="15"/>
  <c r="CB56" i="15"/>
  <c r="AG346" i="14"/>
  <c r="AH347" i="14" s="1"/>
  <c r="AH349" i="14" s="1"/>
  <c r="AG347" i="14"/>
  <c r="AG349" i="14" s="1"/>
  <c r="BY244" i="14"/>
  <c r="AG244" i="14"/>
  <c r="BD239" i="14"/>
  <c r="BD242" i="14" s="1"/>
  <c r="BD240" i="14"/>
  <c r="CA239" i="14"/>
  <c r="CA242" i="14" s="1"/>
  <c r="CA240" i="14"/>
  <c r="AJ159" i="14"/>
  <c r="AJ157" i="14"/>
  <c r="AF68" i="14"/>
  <c r="AF69" i="14"/>
  <c r="AF71" i="14" s="1"/>
  <c r="AF246" i="14"/>
  <c r="AF248" i="14" s="1"/>
  <c r="AF245" i="14"/>
  <c r="BC67" i="14"/>
  <c r="AH166" i="14"/>
  <c r="AH164" i="14"/>
  <c r="BZ65" i="14"/>
  <c r="BZ63" i="14"/>
  <c r="BD65" i="14"/>
  <c r="BD63" i="14"/>
  <c r="BF56" i="14"/>
  <c r="BF58" i="14"/>
  <c r="BE239" i="14"/>
  <c r="BE242" i="14" s="1"/>
  <c r="BE240" i="14"/>
  <c r="CA58" i="14"/>
  <c r="CA56" i="14"/>
  <c r="BE56" i="14"/>
  <c r="BE58" i="14"/>
  <c r="BC244" i="14"/>
  <c r="AI58" i="14"/>
  <c r="AI56" i="14"/>
  <c r="AF170" i="14"/>
  <c r="AF172" i="14" s="1"/>
  <c r="AF169" i="14"/>
  <c r="CB58" i="14"/>
  <c r="CB56" i="14"/>
  <c r="AH239" i="14"/>
  <c r="AH242" i="14" s="1"/>
  <c r="AH240" i="14"/>
  <c r="AJ56" i="14"/>
  <c r="AJ58" i="14"/>
  <c r="BX245" i="14"/>
  <c r="BX246" i="14"/>
  <c r="BX248" i="14" s="1"/>
  <c r="AG168" i="14"/>
  <c r="AI239" i="14"/>
  <c r="AI242" i="14" s="1"/>
  <c r="AI240" i="14"/>
  <c r="BZ239" i="14"/>
  <c r="BZ242" i="14" s="1"/>
  <c r="BZ240" i="14"/>
  <c r="BY67" i="14"/>
  <c r="AH65" i="14"/>
  <c r="AH63" i="14"/>
  <c r="BB68" i="14"/>
  <c r="BB69" i="14"/>
  <c r="BB71" i="14" s="1"/>
  <c r="BX69" i="14"/>
  <c r="BX71" i="14" s="1"/>
  <c r="BX68" i="14"/>
  <c r="BY245" i="12"/>
  <c r="AI159" i="14"/>
  <c r="AI157" i="14"/>
  <c r="BB245" i="14"/>
  <c r="BB246" i="14"/>
  <c r="BB248" i="14" s="1"/>
  <c r="AG67" i="14"/>
  <c r="BD239" i="12"/>
  <c r="BD242" i="12" s="1"/>
  <c r="BY246" i="12"/>
  <c r="BY248" i="12" s="1"/>
  <c r="BE239" i="12"/>
  <c r="BE242" i="12" s="1"/>
  <c r="BZ239" i="12"/>
  <c r="BZ242" i="12" s="1"/>
  <c r="BZ244" i="12" s="1"/>
  <c r="BZ240" i="12"/>
  <c r="CA239" i="12"/>
  <c r="CA242" i="12" s="1"/>
  <c r="CA244" i="12" s="1"/>
  <c r="CA240" i="12"/>
  <c r="BC244" i="12"/>
  <c r="BB245" i="12"/>
  <c r="BB246" i="12"/>
  <c r="BB248" i="12" s="1"/>
  <c r="AH336" i="12"/>
  <c r="AH334" i="12"/>
  <c r="AI336" i="12"/>
  <c r="AI334" i="12"/>
  <c r="AG341" i="12"/>
  <c r="AG343" i="12" s="1"/>
  <c r="BE240" i="12"/>
  <c r="AF345" i="12"/>
  <c r="BD240" i="12"/>
  <c r="AG246" i="12"/>
  <c r="AG248" i="12" s="1"/>
  <c r="AG245" i="12"/>
  <c r="AE346" i="12"/>
  <c r="AE347" i="12"/>
  <c r="AE349" i="12" s="1"/>
  <c r="BY244" i="15" l="1"/>
  <c r="AI244" i="15"/>
  <c r="AH345" i="15"/>
  <c r="AI345" i="15"/>
  <c r="AH169" i="15"/>
  <c r="AH170" i="15"/>
  <c r="AH172" i="15" s="1"/>
  <c r="BD67" i="15"/>
  <c r="CA239" i="15"/>
  <c r="CA242" i="15" s="1"/>
  <c r="CA240" i="15"/>
  <c r="AH244" i="15"/>
  <c r="CA63" i="15"/>
  <c r="CA65" i="15"/>
  <c r="BY69" i="15"/>
  <c r="BY71" i="15" s="1"/>
  <c r="BY68" i="15"/>
  <c r="AJ168" i="15"/>
  <c r="BC68" i="15"/>
  <c r="BC69" i="15"/>
  <c r="BC71" i="15" s="1"/>
  <c r="BX246" i="15"/>
  <c r="BX248" i="15" s="1"/>
  <c r="BX245" i="15"/>
  <c r="AG346" i="15"/>
  <c r="AG347" i="15"/>
  <c r="AG349" i="15" s="1"/>
  <c r="AH69" i="15"/>
  <c r="AH71" i="15" s="1"/>
  <c r="AH68" i="15"/>
  <c r="BC245" i="15"/>
  <c r="BC246" i="15"/>
  <c r="BC248" i="15" s="1"/>
  <c r="BZ67" i="15"/>
  <c r="AI168" i="15"/>
  <c r="CB63" i="15"/>
  <c r="CB65" i="15"/>
  <c r="BZ239" i="15"/>
  <c r="BZ242" i="15" s="1"/>
  <c r="BZ240" i="15"/>
  <c r="BE65" i="15"/>
  <c r="BE63" i="15"/>
  <c r="BF63" i="15"/>
  <c r="BF65" i="15"/>
  <c r="AG245" i="15"/>
  <c r="AG246" i="15"/>
  <c r="AG248" i="15" s="1"/>
  <c r="AH346" i="14"/>
  <c r="BE244" i="14"/>
  <c r="AI244" i="14"/>
  <c r="CA244" i="14"/>
  <c r="AH67" i="14"/>
  <c r="AH244" i="14"/>
  <c r="AH168" i="14"/>
  <c r="BY69" i="14"/>
  <c r="BY71" i="14" s="1"/>
  <c r="BY68" i="14"/>
  <c r="AG169" i="14"/>
  <c r="AG170" i="14"/>
  <c r="AG172" i="14" s="1"/>
  <c r="BC245" i="14"/>
  <c r="BC246" i="14"/>
  <c r="BC248" i="14" s="1"/>
  <c r="BC69" i="14"/>
  <c r="BC71" i="14" s="1"/>
  <c r="BC68" i="14"/>
  <c r="AG245" i="14"/>
  <c r="AG246" i="14"/>
  <c r="AG248" i="14" s="1"/>
  <c r="CB65" i="14"/>
  <c r="CB63" i="14"/>
  <c r="BF65" i="14"/>
  <c r="BF63" i="14"/>
  <c r="AG69" i="14"/>
  <c r="AG71" i="14" s="1"/>
  <c r="AG68" i="14"/>
  <c r="BE65" i="14"/>
  <c r="BE63" i="14"/>
  <c r="BZ244" i="14"/>
  <c r="CA65" i="14"/>
  <c r="CA63" i="14"/>
  <c r="BD67" i="14"/>
  <c r="BD244" i="14"/>
  <c r="AJ65" i="14"/>
  <c r="AJ63" i="14"/>
  <c r="AI65" i="14"/>
  <c r="AI63" i="14"/>
  <c r="BZ67" i="14"/>
  <c r="AI166" i="14"/>
  <c r="AI164" i="14"/>
  <c r="AJ166" i="14"/>
  <c r="AJ164" i="14"/>
  <c r="BY245" i="14"/>
  <c r="BY246" i="14"/>
  <c r="BY248" i="14" s="1"/>
  <c r="BZ245" i="12"/>
  <c r="CA245" i="12" s="1"/>
  <c r="BZ246" i="12"/>
  <c r="BZ248" i="12" s="1"/>
  <c r="AG345" i="12"/>
  <c r="AI341" i="12"/>
  <c r="AI343" i="12" s="1"/>
  <c r="AH245" i="12"/>
  <c r="AH246" i="12"/>
  <c r="AH248" i="12" s="1"/>
  <c r="AH341" i="12"/>
  <c r="AH343" i="12" s="1"/>
  <c r="AF346" i="12"/>
  <c r="AF347" i="12"/>
  <c r="AF349" i="12" s="1"/>
  <c r="BC245" i="12"/>
  <c r="BC246" i="12"/>
  <c r="BC248" i="12" s="1"/>
  <c r="BD244" i="12"/>
  <c r="BE244" i="12"/>
  <c r="CA244" i="15" l="1"/>
  <c r="BZ244" i="15"/>
  <c r="CB67" i="15"/>
  <c r="AI69" i="15"/>
  <c r="AI71" i="15" s="1"/>
  <c r="AI68" i="15"/>
  <c r="BF67" i="15"/>
  <c r="CA246" i="12"/>
  <c r="CA248" i="12" s="1"/>
  <c r="BR250" i="12" s="1"/>
  <c r="BX197" i="12" s="1"/>
  <c r="AI169" i="15"/>
  <c r="AJ170" i="15" s="1"/>
  <c r="AJ172" i="15" s="1"/>
  <c r="AI170" i="15"/>
  <c r="AI172" i="15" s="1"/>
  <c r="BE67" i="15"/>
  <c r="BZ69" i="15"/>
  <c r="BZ71" i="15" s="1"/>
  <c r="BZ68" i="15"/>
  <c r="CA67" i="15"/>
  <c r="AH246" i="15"/>
  <c r="AH248" i="15" s="1"/>
  <c r="AH245" i="15"/>
  <c r="AI246" i="15" s="1"/>
  <c r="AI248" i="15" s="1"/>
  <c r="AH346" i="15"/>
  <c r="AI346" i="15" s="1"/>
  <c r="AH347" i="15"/>
  <c r="AH349" i="15" s="1"/>
  <c r="BD245" i="15"/>
  <c r="BD246" i="15"/>
  <c r="BD248" i="15" s="1"/>
  <c r="BD69" i="15"/>
  <c r="BD71" i="15" s="1"/>
  <c r="BD68" i="15"/>
  <c r="BY246" i="15"/>
  <c r="BY248" i="15" s="1"/>
  <c r="BY245" i="15"/>
  <c r="AI346" i="14"/>
  <c r="AI347" i="14"/>
  <c r="AI349" i="14" s="1"/>
  <c r="Z351" i="14" s="1"/>
  <c r="W268" i="14" s="1"/>
  <c r="BD246" i="14"/>
  <c r="BD248" i="14" s="1"/>
  <c r="BD245" i="14"/>
  <c r="BE245" i="14" s="1"/>
  <c r="AI168" i="14"/>
  <c r="BE67" i="14"/>
  <c r="BZ69" i="14"/>
  <c r="BZ71" i="14" s="1"/>
  <c r="BZ68" i="14"/>
  <c r="BD69" i="14"/>
  <c r="BD71" i="14" s="1"/>
  <c r="BD68" i="14"/>
  <c r="AH169" i="14"/>
  <c r="AH170" i="14"/>
  <c r="AH172" i="14" s="1"/>
  <c r="AH245" i="14"/>
  <c r="AI246" i="14" s="1"/>
  <c r="AI248" i="14" s="1"/>
  <c r="AH246" i="14"/>
  <c r="AH248" i="14" s="1"/>
  <c r="AI67" i="14"/>
  <c r="CA67" i="14"/>
  <c r="BF67" i="14"/>
  <c r="AH69" i="14"/>
  <c r="AH71" i="14" s="1"/>
  <c r="AH68" i="14"/>
  <c r="AJ168" i="14"/>
  <c r="AJ67" i="14"/>
  <c r="BZ245" i="14"/>
  <c r="CA245" i="14" s="1"/>
  <c r="BZ246" i="14"/>
  <c r="BZ248" i="14" s="1"/>
  <c r="CB67" i="14"/>
  <c r="AI246" i="12"/>
  <c r="AI248" i="12" s="1"/>
  <c r="Z250" i="12" s="1"/>
  <c r="AH194" i="12" s="1"/>
  <c r="AI245" i="12"/>
  <c r="AH345" i="12"/>
  <c r="AI345" i="12"/>
  <c r="AG346" i="12"/>
  <c r="AG347" i="12"/>
  <c r="AG349" i="12" s="1"/>
  <c r="BD245" i="12"/>
  <c r="BE246" i="12" s="1"/>
  <c r="BE248" i="12" s="1"/>
  <c r="BD246" i="12"/>
  <c r="BD248" i="12" s="1"/>
  <c r="AJ169" i="15" l="1"/>
  <c r="AI347" i="15"/>
  <c r="AI349" i="15" s="1"/>
  <c r="Z351" i="15" s="1"/>
  <c r="W268" i="15" s="1"/>
  <c r="AA174" i="15"/>
  <c r="AO121" i="15" s="1"/>
  <c r="AI245" i="14"/>
  <c r="Z250" i="15"/>
  <c r="AH194" i="15" s="1"/>
  <c r="BE69" i="15"/>
  <c r="BE71" i="15" s="1"/>
  <c r="BE68" i="15"/>
  <c r="BF69" i="15" s="1"/>
  <c r="BF71" i="15" s="1"/>
  <c r="AI245" i="15"/>
  <c r="BZ246" i="15"/>
  <c r="BZ248" i="15" s="1"/>
  <c r="BZ245" i="15"/>
  <c r="CA245" i="15" s="1"/>
  <c r="CA69" i="15"/>
  <c r="CA71" i="15" s="1"/>
  <c r="CA68" i="15"/>
  <c r="CB69" i="15" s="1"/>
  <c r="CB71" i="15" s="1"/>
  <c r="AJ69" i="15"/>
  <c r="AJ71" i="15" s="1"/>
  <c r="AA73" i="15" s="1"/>
  <c r="AL30" i="15" s="1"/>
  <c r="AJ68" i="15"/>
  <c r="BE246" i="14"/>
  <c r="BE248" i="14" s="1"/>
  <c r="AV250" i="14" s="1"/>
  <c r="BC196" i="14" s="1"/>
  <c r="BE245" i="15"/>
  <c r="BE246" i="15"/>
  <c r="BE248" i="15" s="1"/>
  <c r="AV250" i="15" s="1"/>
  <c r="BC196" i="15" s="1"/>
  <c r="Z250" i="14"/>
  <c r="AH194" i="14" s="1"/>
  <c r="AI69" i="14"/>
  <c r="AI71" i="14" s="1"/>
  <c r="AI68" i="14"/>
  <c r="AJ69" i="14" s="1"/>
  <c r="AJ71" i="14" s="1"/>
  <c r="BE69" i="14"/>
  <c r="BE71" i="14" s="1"/>
  <c r="BE68" i="14"/>
  <c r="BF69" i="14" s="1"/>
  <c r="BF71" i="14" s="1"/>
  <c r="AI169" i="14"/>
  <c r="AJ170" i="14" s="1"/>
  <c r="AJ172" i="14" s="1"/>
  <c r="AI170" i="14"/>
  <c r="AI172" i="14" s="1"/>
  <c r="CA69" i="14"/>
  <c r="CA71" i="14" s="1"/>
  <c r="CA68" i="14"/>
  <c r="CB69" i="14" s="1"/>
  <c r="CB71" i="14" s="1"/>
  <c r="CA246" i="14"/>
  <c r="CA248" i="14" s="1"/>
  <c r="BR250" i="14" s="1"/>
  <c r="BX197" i="14" s="1"/>
  <c r="AV250" i="12"/>
  <c r="BC196" i="12" s="1"/>
  <c r="BE245" i="12"/>
  <c r="AH347" i="12"/>
  <c r="AH349" i="12" s="1"/>
  <c r="AH346" i="12"/>
  <c r="AI347" i="12" s="1"/>
  <c r="AI349" i="12" s="1"/>
  <c r="CB68" i="15" l="1"/>
  <c r="BS73" i="15"/>
  <c r="CD32" i="15" s="1"/>
  <c r="CA246" i="15"/>
  <c r="CA248" i="15" s="1"/>
  <c r="BR250" i="15" s="1"/>
  <c r="BX197" i="15" s="1"/>
  <c r="BF68" i="15"/>
  <c r="AJ68" i="14"/>
  <c r="AW73" i="15"/>
  <c r="BH32" i="15" s="1"/>
  <c r="AJ169" i="14"/>
  <c r="AA73" i="14"/>
  <c r="AL30" i="14" s="1"/>
  <c r="AA174" i="14"/>
  <c r="AO121" i="14" s="1"/>
  <c r="CB68" i="14"/>
  <c r="AW73" i="14"/>
  <c r="BH32" i="14" s="1"/>
  <c r="BF68" i="14"/>
  <c r="BS73" i="14"/>
  <c r="CD32" i="14" s="1"/>
  <c r="AI346" i="12"/>
  <c r="Z351" i="12"/>
  <c r="W268" i="12" s="1"/>
  <c r="P95" i="12" l="1"/>
  <c r="P92" i="12"/>
  <c r="P89" i="12"/>
  <c r="P85" i="12"/>
  <c r="P82" i="12"/>
  <c r="P79" i="12"/>
  <c r="P75" i="12"/>
  <c r="P72" i="12"/>
  <c r="P69" i="12"/>
  <c r="P64" i="12"/>
  <c r="P61" i="12"/>
  <c r="P58" i="12"/>
  <c r="P54" i="12"/>
  <c r="P51" i="12"/>
  <c r="P48" i="12"/>
  <c r="P38" i="12"/>
  <c r="P44" i="12"/>
  <c r="P41" i="12"/>
  <c r="P33" i="12"/>
  <c r="P30" i="12"/>
  <c r="P27" i="12"/>
  <c r="P23" i="12"/>
  <c r="P20" i="12"/>
  <c r="P17" i="12"/>
  <c r="P13" i="12"/>
  <c r="P10" i="12"/>
  <c r="P7" i="12"/>
  <c r="AB120" i="12"/>
  <c r="AB119" i="12"/>
  <c r="BT19" i="12"/>
  <c r="BT18" i="12"/>
  <c r="AX19" i="12"/>
  <c r="AX18" i="12"/>
  <c r="AB19" i="12"/>
  <c r="AB18" i="12"/>
  <c r="N129" i="12"/>
  <c r="N126" i="12"/>
  <c r="N123" i="12"/>
  <c r="N119" i="12"/>
  <c r="N116" i="12"/>
  <c r="N113" i="12"/>
  <c r="N109" i="12"/>
  <c r="N106" i="12"/>
  <c r="N103" i="12"/>
  <c r="AD107" i="12"/>
  <c r="T146" i="12" s="1"/>
  <c r="AD132" i="12"/>
  <c r="AA152" i="12" s="1"/>
  <c r="AB152" i="12" s="1"/>
  <c r="AD133" i="12"/>
  <c r="AD134" i="12"/>
  <c r="AD136" i="12"/>
  <c r="AD137" i="12"/>
  <c r="AD138" i="12"/>
  <c r="AB148" i="12"/>
  <c r="AB149" i="12" s="1"/>
  <c r="AA149" i="12"/>
  <c r="AA153" i="12"/>
  <c r="AB153" i="12" s="1"/>
  <c r="AC153" i="12" s="1"/>
  <c r="AD153" i="12" s="1"/>
  <c r="AE153" i="12" s="1"/>
  <c r="AF153" i="12" s="1"/>
  <c r="AG153" i="12" s="1"/>
  <c r="AH153" i="12" s="1"/>
  <c r="AA154" i="12"/>
  <c r="AB154" i="12" s="1"/>
  <c r="AA161" i="12"/>
  <c r="AA163" i="12"/>
  <c r="AB163" i="12"/>
  <c r="AC163" i="12"/>
  <c r="AD163" i="12"/>
  <c r="AE163" i="12"/>
  <c r="AF163" i="12"/>
  <c r="AG163" i="12"/>
  <c r="AH163" i="12"/>
  <c r="AI163" i="12"/>
  <c r="AJ163" i="12"/>
  <c r="AB155" i="12" l="1"/>
  <c r="AB157" i="12" s="1"/>
  <c r="AB164" i="12" s="1"/>
  <c r="AC152" i="12"/>
  <c r="AD152" i="12" s="1"/>
  <c r="AE152" i="12" s="1"/>
  <c r="AA155" i="12"/>
  <c r="AC148" i="12"/>
  <c r="AI154" i="12"/>
  <c r="AI153" i="12"/>
  <c r="AF154" i="12"/>
  <c r="AE154" i="12"/>
  <c r="AJ154" i="12"/>
  <c r="AG154" i="12"/>
  <c r="AD154" i="12"/>
  <c r="AD155" i="12" s="1"/>
  <c r="AC154" i="12"/>
  <c r="AH154" i="12"/>
  <c r="AB159" i="12" l="1"/>
  <c r="AB166" i="12" s="1"/>
  <c r="AB168" i="12" s="1"/>
  <c r="AA157" i="12"/>
  <c r="AA159" i="12"/>
  <c r="AC155" i="12"/>
  <c r="AC157" i="12" s="1"/>
  <c r="AD157" i="12"/>
  <c r="AD159" i="12"/>
  <c r="AF152" i="12"/>
  <c r="AE155" i="12"/>
  <c r="AJ153" i="12"/>
  <c r="AC149" i="12"/>
  <c r="AD148" i="12"/>
  <c r="AC159" i="12" l="1"/>
  <c r="AC166" i="12" s="1"/>
  <c r="AC168" i="12" s="1"/>
  <c r="AA164" i="12"/>
  <c r="AA166" i="12"/>
  <c r="AA168" i="12" s="1"/>
  <c r="AA169" i="12" s="1"/>
  <c r="AB170" i="12" s="1"/>
  <c r="AB172" i="12" s="1"/>
  <c r="AE157" i="12"/>
  <c r="AE164" i="12" s="1"/>
  <c r="AE159" i="12"/>
  <c r="AG152" i="12"/>
  <c r="AF155" i="12"/>
  <c r="AD164" i="12"/>
  <c r="AD166" i="12"/>
  <c r="AD168" i="12" s="1"/>
  <c r="AC164" i="12"/>
  <c r="AA170" i="12"/>
  <c r="AA172" i="12" s="1"/>
  <c r="AD149" i="12"/>
  <c r="AE148" i="12"/>
  <c r="AE166" i="12" l="1"/>
  <c r="AE168" i="12" s="1"/>
  <c r="AB169" i="12"/>
  <c r="AC169" i="12" s="1"/>
  <c r="AD169" i="12" s="1"/>
  <c r="AF157" i="12"/>
  <c r="AF164" i="12" s="1"/>
  <c r="AF159" i="12"/>
  <c r="AH152" i="12"/>
  <c r="AG155" i="12"/>
  <c r="AF148" i="12"/>
  <c r="AE149" i="12"/>
  <c r="AC170" i="12" l="1"/>
  <c r="AC172" i="12" s="1"/>
  <c r="AD170" i="12"/>
  <c r="AD172" i="12" s="1"/>
  <c r="AI152" i="12"/>
  <c r="AH155" i="12"/>
  <c r="AF166" i="12"/>
  <c r="AF168" i="12" s="1"/>
  <c r="AG157" i="12"/>
  <c r="AG159" i="12"/>
  <c r="AG148" i="12"/>
  <c r="AF149" i="12"/>
  <c r="AE170" i="12"/>
  <c r="AE172" i="12" s="1"/>
  <c r="AE169" i="12"/>
  <c r="AG164" i="12" l="1"/>
  <c r="AG166" i="12"/>
  <c r="AG168" i="12" s="1"/>
  <c r="AH157" i="12"/>
  <c r="AH159" i="12"/>
  <c r="AJ152" i="12"/>
  <c r="AJ155" i="12" s="1"/>
  <c r="AI155" i="12"/>
  <c r="AF169" i="12"/>
  <c r="AF170" i="12"/>
  <c r="AF172" i="12" s="1"/>
  <c r="AG149" i="12"/>
  <c r="AH148" i="12"/>
  <c r="AJ157" i="12" l="1"/>
  <c r="AJ159" i="12"/>
  <c r="AH164" i="12"/>
  <c r="AH166" i="12"/>
  <c r="AH168" i="12" s="1"/>
  <c r="AI157" i="12"/>
  <c r="AI159" i="12"/>
  <c r="AI148" i="12"/>
  <c r="AH149" i="12"/>
  <c r="AG170" i="12"/>
  <c r="AG172" i="12" s="1"/>
  <c r="AG169" i="12"/>
  <c r="AI166" i="12" l="1"/>
  <c r="AI168" i="12" s="1"/>
  <c r="AI164" i="12"/>
  <c r="AJ166" i="12"/>
  <c r="AJ168" i="12" s="1"/>
  <c r="AJ164" i="12"/>
  <c r="AJ148" i="12"/>
  <c r="AJ149" i="12" s="1"/>
  <c r="AI149" i="12"/>
  <c r="AH170" i="12"/>
  <c r="AH172" i="12" s="1"/>
  <c r="AH169" i="12"/>
  <c r="AI169" i="12" l="1"/>
  <c r="AI170" i="12"/>
  <c r="AI172" i="12" s="1"/>
  <c r="AJ170" i="12" l="1"/>
  <c r="AJ172" i="12" s="1"/>
  <c r="AA174" i="12" s="1"/>
  <c r="AJ169" i="12"/>
  <c r="AO121" i="12" l="1"/>
  <c r="E2" i="12"/>
  <c r="O191" i="12" s="1"/>
  <c r="M249" i="12"/>
  <c r="M243" i="12"/>
  <c r="M239" i="12"/>
  <c r="M236" i="12"/>
  <c r="M233" i="12"/>
  <c r="O225" i="12"/>
  <c r="O202" i="12"/>
  <c r="O199" i="12"/>
  <c r="O194" i="12"/>
  <c r="O157" i="12"/>
  <c r="O153" i="12"/>
  <c r="O140" i="12"/>
  <c r="O137" i="12"/>
  <c r="M129" i="12"/>
  <c r="M123" i="12"/>
  <c r="M119" i="12"/>
  <c r="O95" i="12"/>
  <c r="O54" i="12"/>
  <c r="O51" i="12"/>
  <c r="O48" i="12"/>
  <c r="O44" i="12"/>
  <c r="O23" i="12"/>
  <c r="O20" i="12"/>
  <c r="O17" i="12"/>
  <c r="O13" i="12"/>
  <c r="O7" i="12"/>
  <c r="AJ62" i="12"/>
  <c r="AI62" i="12"/>
  <c r="AH62" i="12"/>
  <c r="AG62" i="12"/>
  <c r="AF62" i="12"/>
  <c r="AE62" i="12"/>
  <c r="AD62" i="12"/>
  <c r="AC62" i="12"/>
  <c r="AB62" i="12"/>
  <c r="AA62" i="12"/>
  <c r="AA60" i="12"/>
  <c r="AA53" i="12"/>
  <c r="AJ53" i="12" s="1"/>
  <c r="AA51" i="12"/>
  <c r="AA48" i="12"/>
  <c r="AB47" i="12"/>
  <c r="AC47" i="12" s="1"/>
  <c r="AD37" i="12"/>
  <c r="AD36" i="12"/>
  <c r="AD35" i="12"/>
  <c r="AD33" i="12"/>
  <c r="AD32" i="12"/>
  <c r="AD31" i="12"/>
  <c r="AD6" i="12"/>
  <c r="T45" i="12" s="1"/>
  <c r="CB62" i="12"/>
  <c r="CA62" i="12"/>
  <c r="BZ62" i="12"/>
  <c r="BY62" i="12"/>
  <c r="BX62" i="12"/>
  <c r="BW62" i="12"/>
  <c r="BV62" i="12"/>
  <c r="BU62" i="12"/>
  <c r="BT62" i="12"/>
  <c r="BS62" i="12"/>
  <c r="BS60" i="12"/>
  <c r="BS53" i="12"/>
  <c r="BW53" i="12" s="1"/>
  <c r="BS51" i="12"/>
  <c r="BS48" i="12"/>
  <c r="BT47" i="12"/>
  <c r="BU47" i="12" s="1"/>
  <c r="BV37" i="12"/>
  <c r="BV36" i="12"/>
  <c r="BV35" i="12"/>
  <c r="BV33" i="12"/>
  <c r="BV32" i="12"/>
  <c r="BV31" i="12"/>
  <c r="BV6" i="12"/>
  <c r="BL45" i="12" s="1"/>
  <c r="BF62" i="12"/>
  <c r="BE62" i="12"/>
  <c r="BD62" i="12"/>
  <c r="BC62" i="12"/>
  <c r="BB62" i="12"/>
  <c r="BA62" i="12"/>
  <c r="AZ62" i="12"/>
  <c r="AY62" i="12"/>
  <c r="AX62" i="12"/>
  <c r="AW62" i="12"/>
  <c r="AW60" i="12"/>
  <c r="AW53" i="12"/>
  <c r="AX53" i="12" s="1"/>
  <c r="AW48" i="12"/>
  <c r="AX47" i="12"/>
  <c r="AX48" i="12" s="1"/>
  <c r="AZ37" i="12"/>
  <c r="AZ36" i="12"/>
  <c r="AZ35" i="12"/>
  <c r="AZ33" i="12"/>
  <c r="AZ32" i="12"/>
  <c r="AZ31" i="12"/>
  <c r="AW51" i="12" s="1"/>
  <c r="AZ6" i="12"/>
  <c r="AP45" i="12" s="1"/>
  <c r="M126" i="12" l="1"/>
  <c r="I237" i="12"/>
  <c r="K52" i="12"/>
  <c r="I127" i="12"/>
  <c r="K21" i="12"/>
  <c r="O163" i="12"/>
  <c r="O85" i="12"/>
  <c r="O184" i="12"/>
  <c r="O58" i="12"/>
  <c r="O64" i="12"/>
  <c r="O168" i="12"/>
  <c r="O82" i="12"/>
  <c r="O89" i="12"/>
  <c r="O188" i="12"/>
  <c r="K192" i="12" s="1"/>
  <c r="O160" i="12"/>
  <c r="K161" i="12" s="1"/>
  <c r="O79" i="12"/>
  <c r="O171" i="12"/>
  <c r="M259" i="12"/>
  <c r="O92" i="12"/>
  <c r="O205" i="12"/>
  <c r="K203" i="12" s="1"/>
  <c r="M246" i="12"/>
  <c r="I247" i="12" s="1"/>
  <c r="O27" i="12"/>
  <c r="O61" i="12"/>
  <c r="M103" i="12"/>
  <c r="O174" i="12"/>
  <c r="O209" i="12"/>
  <c r="O30" i="12"/>
  <c r="M106" i="12"/>
  <c r="O143" i="12"/>
  <c r="K141" i="12" s="1"/>
  <c r="O178" i="12"/>
  <c r="O212" i="12"/>
  <c r="O147" i="12"/>
  <c r="O33" i="12"/>
  <c r="O69" i="12"/>
  <c r="M109" i="12"/>
  <c r="O181" i="12"/>
  <c r="M253" i="12"/>
  <c r="O72" i="12"/>
  <c r="M256" i="12"/>
  <c r="O41" i="12"/>
  <c r="O150" i="12"/>
  <c r="O219" i="12"/>
  <c r="O38" i="12"/>
  <c r="M113" i="12"/>
  <c r="O215" i="12"/>
  <c r="O10" i="12"/>
  <c r="K11" i="12" s="1"/>
  <c r="O75" i="12"/>
  <c r="M116" i="12"/>
  <c r="O222" i="12"/>
  <c r="AX51" i="12"/>
  <c r="AY51" i="12" s="1"/>
  <c r="AZ51" i="12" s="1"/>
  <c r="BA51" i="12" s="1"/>
  <c r="BB51" i="12" s="1"/>
  <c r="BC51" i="12" s="1"/>
  <c r="BD51" i="12" s="1"/>
  <c r="BE51" i="12" s="1"/>
  <c r="BF51" i="12" s="1"/>
  <c r="AB48" i="12"/>
  <c r="AB51" i="12"/>
  <c r="AC51" i="12" s="1"/>
  <c r="AD51" i="12" s="1"/>
  <c r="AE51" i="12" s="1"/>
  <c r="AF51" i="12" s="1"/>
  <c r="AG51" i="12" s="1"/>
  <c r="AH51" i="12" s="1"/>
  <c r="AI51" i="12" s="1"/>
  <c r="AJ51" i="12" s="1"/>
  <c r="AW52" i="12"/>
  <c r="AW54" i="12" s="1"/>
  <c r="BS52" i="12"/>
  <c r="BS54" i="12" s="1"/>
  <c r="AA52" i="12"/>
  <c r="AB52" i="12" s="1"/>
  <c r="AA54" i="12"/>
  <c r="AD47" i="12"/>
  <c r="AC48" i="12"/>
  <c r="AF53" i="12"/>
  <c r="AG53" i="12"/>
  <c r="AD53" i="12"/>
  <c r="AC53" i="12"/>
  <c r="AH53" i="12"/>
  <c r="AI53" i="12"/>
  <c r="AB53" i="12"/>
  <c r="AE53" i="12"/>
  <c r="BV47" i="12"/>
  <c r="BW47" i="12" s="1"/>
  <c r="BU48" i="12"/>
  <c r="BT48" i="12"/>
  <c r="BT51" i="12"/>
  <c r="BU51" i="12" s="1"/>
  <c r="BV51" i="12" s="1"/>
  <c r="BW51" i="12" s="1"/>
  <c r="BX51" i="12" s="1"/>
  <c r="BY51" i="12" s="1"/>
  <c r="BZ51" i="12" s="1"/>
  <c r="CA51" i="12" s="1"/>
  <c r="CB51" i="12" s="1"/>
  <c r="BT53" i="12"/>
  <c r="BY53" i="12"/>
  <c r="BX53" i="12"/>
  <c r="BZ53" i="12"/>
  <c r="CA53" i="12"/>
  <c r="CB53" i="12"/>
  <c r="BV53" i="12"/>
  <c r="BU53" i="12"/>
  <c r="AY47" i="12"/>
  <c r="AY53" i="12"/>
  <c r="BD53" i="12"/>
  <c r="AZ53" i="12"/>
  <c r="BB53" i="12"/>
  <c r="BC53" i="12"/>
  <c r="BE53" i="12"/>
  <c r="BF53" i="12"/>
  <c r="BA53" i="12"/>
  <c r="K42" i="12" l="1"/>
  <c r="K83" i="12"/>
  <c r="AA56" i="12"/>
  <c r="AA63" i="12" s="1"/>
  <c r="AA58" i="12"/>
  <c r="AW56" i="12"/>
  <c r="AW63" i="12" s="1"/>
  <c r="AW58" i="12"/>
  <c r="BS56" i="12"/>
  <c r="BS63" i="12" s="1"/>
  <c r="BS58" i="12"/>
  <c r="I117" i="12"/>
  <c r="K172" i="12"/>
  <c r="K93" i="12"/>
  <c r="K223" i="12"/>
  <c r="K62" i="12"/>
  <c r="K213" i="12"/>
  <c r="I107" i="12"/>
  <c r="K151" i="12"/>
  <c r="I151" i="12" s="1"/>
  <c r="K31" i="12"/>
  <c r="I21" i="12" s="1"/>
  <c r="I257" i="12"/>
  <c r="G246" i="12" s="1"/>
  <c r="G247" i="12" s="1"/>
  <c r="C10" i="12" s="1"/>
  <c r="K73" i="12"/>
  <c r="K182" i="12"/>
  <c r="AX52" i="12"/>
  <c r="AY52" i="12" s="1"/>
  <c r="BT52" i="12"/>
  <c r="BU52" i="12" s="1"/>
  <c r="BV48" i="12"/>
  <c r="AB54" i="12"/>
  <c r="AC52" i="12"/>
  <c r="AE47" i="12"/>
  <c r="AD48" i="12"/>
  <c r="BX47" i="12"/>
  <c r="BW48" i="12"/>
  <c r="AY48" i="12"/>
  <c r="AZ47" i="12"/>
  <c r="G116" i="12" l="1"/>
  <c r="I52" i="12"/>
  <c r="I213" i="12"/>
  <c r="I182" i="12"/>
  <c r="I83" i="12"/>
  <c r="AA65" i="12"/>
  <c r="AA67" i="12" s="1"/>
  <c r="BS65" i="12"/>
  <c r="BS67" i="12" s="1"/>
  <c r="AW65" i="12"/>
  <c r="AW67" i="12" s="1"/>
  <c r="G117" i="12"/>
  <c r="C8" i="12" s="1"/>
  <c r="AB56" i="12"/>
  <c r="AB63" i="12" s="1"/>
  <c r="AB58" i="12"/>
  <c r="BT54" i="12"/>
  <c r="AX54" i="12"/>
  <c r="AF47" i="12"/>
  <c r="AE48" i="12"/>
  <c r="AC54" i="12"/>
  <c r="AD52" i="12"/>
  <c r="BU54" i="12"/>
  <c r="BV52" i="12"/>
  <c r="BY47" i="12"/>
  <c r="BX48" i="12"/>
  <c r="BA47" i="12"/>
  <c r="AZ48" i="12"/>
  <c r="AY54" i="12"/>
  <c r="AZ52" i="12"/>
  <c r="G51" i="12" l="1"/>
  <c r="G52" i="12" s="1"/>
  <c r="C7" i="12" s="1"/>
  <c r="G181" i="12"/>
  <c r="G182" i="12" s="1"/>
  <c r="C9" i="12" s="1"/>
  <c r="AB65" i="12"/>
  <c r="AC56" i="12"/>
  <c r="AC63" i="12" s="1"/>
  <c r="AC58" i="12"/>
  <c r="AY56" i="12"/>
  <c r="AY63" i="12" s="1"/>
  <c r="AY58" i="12"/>
  <c r="AX56" i="12"/>
  <c r="AX63" i="12" s="1"/>
  <c r="AX58" i="12"/>
  <c r="BU56" i="12"/>
  <c r="BU63" i="12" s="1"/>
  <c r="BU58" i="12"/>
  <c r="BT56" i="12"/>
  <c r="BT63" i="12" s="1"/>
  <c r="BT58" i="12"/>
  <c r="AB67" i="12"/>
  <c r="AD54" i="12"/>
  <c r="AE52" i="12"/>
  <c r="AG47" i="12"/>
  <c r="AF48" i="12"/>
  <c r="AA69" i="12"/>
  <c r="AA71" i="12" s="1"/>
  <c r="AA68" i="12"/>
  <c r="BW52" i="12"/>
  <c r="BV54" i="12"/>
  <c r="BZ47" i="12"/>
  <c r="BY48" i="12"/>
  <c r="BS69" i="12"/>
  <c r="BS71" i="12" s="1"/>
  <c r="BS68" i="12"/>
  <c r="BA48" i="12"/>
  <c r="BB47" i="12"/>
  <c r="AZ54" i="12"/>
  <c r="BA52" i="12"/>
  <c r="AW69" i="12"/>
  <c r="AW71" i="12" s="1"/>
  <c r="AW68" i="12"/>
  <c r="A16" i="12" l="1"/>
  <c r="C146" i="12"/>
  <c r="B16" i="12" s="1"/>
  <c r="BU65" i="12"/>
  <c r="BU67" i="12" s="1"/>
  <c r="AY65" i="12"/>
  <c r="AY67" i="12" s="1"/>
  <c r="AD56" i="12"/>
  <c r="AD63" i="12" s="1"/>
  <c r="AD58" i="12"/>
  <c r="AD65" i="12" s="1"/>
  <c r="AC65" i="12"/>
  <c r="AC67" i="12" s="1"/>
  <c r="AZ56" i="12"/>
  <c r="AZ63" i="12" s="1"/>
  <c r="AZ58" i="12"/>
  <c r="AX65" i="12"/>
  <c r="AX67" i="12" s="1"/>
  <c r="AX69" i="12" s="1"/>
  <c r="AX71" i="12" s="1"/>
  <c r="BV56" i="12"/>
  <c r="BV63" i="12" s="1"/>
  <c r="BV58" i="12"/>
  <c r="BT65" i="12"/>
  <c r="BT67" i="12" s="1"/>
  <c r="BT68" i="12" s="1"/>
  <c r="AH47" i="12"/>
  <c r="AG48" i="12"/>
  <c r="AE54" i="12"/>
  <c r="AF52" i="12"/>
  <c r="AB69" i="12"/>
  <c r="AB71" i="12" s="1"/>
  <c r="AB68" i="12"/>
  <c r="BW54" i="12"/>
  <c r="BX52" i="12"/>
  <c r="BZ48" i="12"/>
  <c r="CA47" i="12"/>
  <c r="BC47" i="12"/>
  <c r="BB48" i="12"/>
  <c r="BA54" i="12"/>
  <c r="BB52" i="12"/>
  <c r="B145" i="12" l="1"/>
  <c r="AZ65" i="12"/>
  <c r="AZ67" i="12" s="1"/>
  <c r="BV65" i="12"/>
  <c r="BV67" i="12" s="1"/>
  <c r="BT69" i="12"/>
  <c r="BT71" i="12" s="1"/>
  <c r="AX68" i="12"/>
  <c r="AY68" i="12" s="1"/>
  <c r="AE56" i="12"/>
  <c r="AE63" i="12" s="1"/>
  <c r="AE58" i="12"/>
  <c r="BA56" i="12"/>
  <c r="BA63" i="12" s="1"/>
  <c r="BA58" i="12"/>
  <c r="BW56" i="12"/>
  <c r="BW63" i="12" s="1"/>
  <c r="BW58" i="12"/>
  <c r="AD67" i="12"/>
  <c r="AC69" i="12"/>
  <c r="AC71" i="12" s="1"/>
  <c r="AC68" i="12"/>
  <c r="AI47" i="12"/>
  <c r="AH48" i="12"/>
  <c r="AF54" i="12"/>
  <c r="AG52" i="12"/>
  <c r="BX54" i="12"/>
  <c r="BY52" i="12"/>
  <c r="CA48" i="12"/>
  <c r="CB47" i="12"/>
  <c r="CB48" i="12" s="1"/>
  <c r="BU69" i="12"/>
  <c r="BU71" i="12" s="1"/>
  <c r="BU68" i="12"/>
  <c r="BD47" i="12"/>
  <c r="BC48" i="12"/>
  <c r="BB54" i="12"/>
  <c r="BC52" i="12"/>
  <c r="AE65" i="12" l="1"/>
  <c r="AE67" i="12" s="1"/>
  <c r="BA65" i="12"/>
  <c r="AY69" i="12"/>
  <c r="AY71" i="12" s="1"/>
  <c r="BW65" i="12"/>
  <c r="BW67" i="12" s="1"/>
  <c r="AF56" i="12"/>
  <c r="AF63" i="12" s="1"/>
  <c r="AF58" i="12"/>
  <c r="AF65" i="12" s="1"/>
  <c r="BB56" i="12"/>
  <c r="BB63" i="12" s="1"/>
  <c r="BB58" i="12"/>
  <c r="BX56" i="12"/>
  <c r="BX63" i="12" s="1"/>
  <c r="BX58" i="12"/>
  <c r="AH52" i="12"/>
  <c r="AG54" i="12"/>
  <c r="AI48" i="12"/>
  <c r="AJ47" i="12"/>
  <c r="AJ48" i="12" s="1"/>
  <c r="AD68" i="12"/>
  <c r="AD69" i="12"/>
  <c r="AD71" i="12" s="1"/>
  <c r="BV69" i="12"/>
  <c r="BV71" i="12" s="1"/>
  <c r="BV68" i="12"/>
  <c r="BZ52" i="12"/>
  <c r="BY54" i="12"/>
  <c r="BD48" i="12"/>
  <c r="BE47" i="12"/>
  <c r="BA67" i="12"/>
  <c r="AZ69" i="12"/>
  <c r="AZ71" i="12" s="1"/>
  <c r="AZ68" i="12"/>
  <c r="BD52" i="12"/>
  <c r="BC54" i="12"/>
  <c r="BB65" i="12" l="1"/>
  <c r="BB67" i="12" s="1"/>
  <c r="BX65" i="12"/>
  <c r="BX67" i="12" s="1"/>
  <c r="AG56" i="12"/>
  <c r="AG63" i="12" s="1"/>
  <c r="AG58" i="12"/>
  <c r="BC56" i="12"/>
  <c r="BC63" i="12" s="1"/>
  <c r="BC58" i="12"/>
  <c r="BC65" i="12" s="1"/>
  <c r="BY56" i="12"/>
  <c r="BY63" i="12" s="1"/>
  <c r="BY58" i="12"/>
  <c r="AI52" i="12"/>
  <c r="AH54" i="12"/>
  <c r="AE69" i="12"/>
  <c r="AE71" i="12" s="1"/>
  <c r="AE68" i="12"/>
  <c r="AF67" i="12"/>
  <c r="BZ54" i="12"/>
  <c r="CA52" i="12"/>
  <c r="BW69" i="12"/>
  <c r="BW71" i="12" s="1"/>
  <c r="BW68" i="12"/>
  <c r="BF47" i="12"/>
  <c r="BF48" i="12" s="1"/>
  <c r="BE48" i="12"/>
  <c r="BE52" i="12"/>
  <c r="BD54" i="12"/>
  <c r="BA69" i="12"/>
  <c r="BA71" i="12" s="1"/>
  <c r="BA68" i="12"/>
  <c r="AG65" i="12" l="1"/>
  <c r="BY65" i="12"/>
  <c r="BY67" i="12" s="1"/>
  <c r="AH56" i="12"/>
  <c r="AH58" i="12"/>
  <c r="BD56" i="12"/>
  <c r="BD58" i="12"/>
  <c r="BD65" i="12" s="1"/>
  <c r="BZ56" i="12"/>
  <c r="BZ63" i="12" s="1"/>
  <c r="BZ58" i="12"/>
  <c r="AG67" i="12"/>
  <c r="AF68" i="12"/>
  <c r="AF69" i="12"/>
  <c r="AF71" i="12" s="1"/>
  <c r="AH63" i="12"/>
  <c r="AH65" i="12"/>
  <c r="AJ52" i="12"/>
  <c r="AJ54" i="12" s="1"/>
  <c r="AI54" i="12"/>
  <c r="CB52" i="12"/>
  <c r="CB54" i="12" s="1"/>
  <c r="CA54" i="12"/>
  <c r="BX69" i="12"/>
  <c r="BX71" i="12" s="1"/>
  <c r="BX68" i="12"/>
  <c r="BF52" i="12"/>
  <c r="BF54" i="12" s="1"/>
  <c r="BE54" i="12"/>
  <c r="BB69" i="12"/>
  <c r="BB71" i="12" s="1"/>
  <c r="BB68" i="12"/>
  <c r="BD63" i="12"/>
  <c r="BC67" i="12"/>
  <c r="BZ65" i="12" l="1"/>
  <c r="BZ67" i="12" s="1"/>
  <c r="AI56" i="12"/>
  <c r="AI58" i="12"/>
  <c r="AJ56" i="12"/>
  <c r="AJ58" i="12"/>
  <c r="BE56" i="12"/>
  <c r="BE63" i="12" s="1"/>
  <c r="BE58" i="12"/>
  <c r="BF56" i="12"/>
  <c r="BF63" i="12" s="1"/>
  <c r="BF58" i="12"/>
  <c r="CB56" i="12"/>
  <c r="CB63" i="12" s="1"/>
  <c r="CB58" i="12"/>
  <c r="CA56" i="12"/>
  <c r="CA63" i="12" s="1"/>
  <c r="CA58" i="12"/>
  <c r="AI63" i="12"/>
  <c r="AI65" i="12"/>
  <c r="AJ63" i="12"/>
  <c r="AH67" i="12"/>
  <c r="AG69" i="12"/>
  <c r="AG71" i="12" s="1"/>
  <c r="AG68" i="12"/>
  <c r="BY68" i="12"/>
  <c r="BY69" i="12"/>
  <c r="BY71" i="12" s="1"/>
  <c r="BC68" i="12"/>
  <c r="BC69" i="12"/>
  <c r="BC71" i="12" s="1"/>
  <c r="BD67" i="12"/>
  <c r="BE65" i="12" l="1"/>
  <c r="BE67" i="12" s="1"/>
  <c r="BF65" i="12"/>
  <c r="BF67" i="12" s="1"/>
  <c r="AJ65" i="12"/>
  <c r="CA65" i="12"/>
  <c r="CB65" i="12"/>
  <c r="CB67" i="12" s="1"/>
  <c r="AH69" i="12"/>
  <c r="AH71" i="12" s="1"/>
  <c r="AH68" i="12"/>
  <c r="AJ67" i="12"/>
  <c r="AI67" i="12"/>
  <c r="BZ68" i="12"/>
  <c r="BZ69" i="12"/>
  <c r="BZ71" i="12" s="1"/>
  <c r="CA67" i="12"/>
  <c r="BD68" i="12"/>
  <c r="BD69" i="12"/>
  <c r="BD71" i="12" s="1"/>
  <c r="AI68" i="12" l="1"/>
  <c r="AJ68" i="12" s="1"/>
  <c r="AI69" i="12"/>
  <c r="AI71" i="12" s="1"/>
  <c r="CA68" i="12"/>
  <c r="CB69" i="12" s="1"/>
  <c r="CB71" i="12" s="1"/>
  <c r="CA69" i="12"/>
  <c r="CA71" i="12" s="1"/>
  <c r="CB68" i="12"/>
  <c r="BE68" i="12"/>
  <c r="BF68" i="12" s="1"/>
  <c r="BE69" i="12"/>
  <c r="BE71" i="12" s="1"/>
  <c r="AJ69" i="12" l="1"/>
  <c r="AJ71" i="12" s="1"/>
  <c r="AA73" i="12" s="1"/>
  <c r="AL30" i="12" s="1"/>
  <c r="BS73" i="12"/>
  <c r="CD32" i="12" s="1"/>
  <c r="BF69" i="12"/>
  <c r="BF71" i="12" s="1"/>
  <c r="AW73" i="12" s="1"/>
  <c r="BH32" i="12" s="1"/>
  <c r="E2" i="6" l="1"/>
  <c r="O11" i="4" l="1"/>
  <c r="P11" i="4"/>
  <c r="G182" i="7" l="1"/>
  <c r="G52" i="7"/>
  <c r="G117" i="7"/>
  <c r="K93" i="7"/>
  <c r="K83" i="7"/>
  <c r="K73" i="7"/>
  <c r="K62" i="7"/>
  <c r="K52" i="7"/>
  <c r="K42" i="7"/>
  <c r="K31" i="7"/>
  <c r="K21" i="7"/>
  <c r="K11" i="7"/>
  <c r="K32" i="1"/>
  <c r="K33" i="1"/>
  <c r="K35" i="1"/>
  <c r="K36" i="1"/>
  <c r="K37" i="1"/>
  <c r="K31" i="1"/>
  <c r="I117" i="7" l="1"/>
  <c r="I247" i="7" l="1"/>
  <c r="K192" i="7"/>
  <c r="K182" i="7"/>
  <c r="K213" i="7"/>
  <c r="K223" i="7"/>
  <c r="I107" i="7"/>
  <c r="I237" i="7"/>
  <c r="K141" i="7"/>
  <c r="K161" i="7"/>
  <c r="I127" i="7"/>
  <c r="I52" i="7"/>
  <c r="K172" i="7"/>
  <c r="K203" i="7"/>
  <c r="I213" i="7" s="1"/>
  <c r="I257" i="7"/>
  <c r="I21" i="7"/>
  <c r="K151" i="7"/>
  <c r="H60" i="1"/>
  <c r="AG10" i="4"/>
  <c r="AH10" i="4" s="1"/>
  <c r="AG9" i="4"/>
  <c r="AH9" i="4" s="1"/>
  <c r="AG8" i="4"/>
  <c r="AH8" i="4" s="1"/>
  <c r="AG7" i="4"/>
  <c r="AH7" i="4" s="1"/>
  <c r="X11" i="4"/>
  <c r="Y11" i="4" s="1"/>
  <c r="X10" i="4"/>
  <c r="Y10" i="4" s="1"/>
  <c r="X9" i="4"/>
  <c r="Y9" i="4" s="1"/>
  <c r="X8" i="4"/>
  <c r="Y8" i="4" s="1"/>
  <c r="X7" i="4"/>
  <c r="Y7" i="4" s="1"/>
  <c r="O10" i="4"/>
  <c r="P10" i="4" s="1"/>
  <c r="O9" i="4"/>
  <c r="P9" i="4" s="1"/>
  <c r="O8" i="4"/>
  <c r="P8" i="4" s="1"/>
  <c r="O7" i="4"/>
  <c r="P7" i="4" s="1"/>
  <c r="F10" i="4"/>
  <c r="G10" i="4" s="1"/>
  <c r="F9" i="4"/>
  <c r="G9" i="4" s="1"/>
  <c r="F8" i="4"/>
  <c r="G8" i="4" s="1"/>
  <c r="F7" i="4"/>
  <c r="G7" i="4" s="1"/>
  <c r="H53" i="1"/>
  <c r="N53" i="1" s="1"/>
  <c r="H52" i="1"/>
  <c r="H51" i="1"/>
  <c r="K6" i="1"/>
  <c r="A45" i="1" s="1"/>
  <c r="I47" i="1"/>
  <c r="J47" i="1" s="1"/>
  <c r="H48" i="1"/>
  <c r="G247" i="7" l="1"/>
  <c r="A16" i="7" s="1"/>
  <c r="AH11" i="4"/>
  <c r="AI7" i="4" s="1"/>
  <c r="P12" i="4"/>
  <c r="C10" i="7"/>
  <c r="C8" i="7"/>
  <c r="I151" i="7"/>
  <c r="I182" i="7"/>
  <c r="C9" i="7" s="1"/>
  <c r="I83" i="7"/>
  <c r="C7" i="7"/>
  <c r="M236" i="6"/>
  <c r="O205" i="6"/>
  <c r="O178" i="6"/>
  <c r="O150" i="6"/>
  <c r="M119" i="6"/>
  <c r="M259" i="6"/>
  <c r="M233" i="6"/>
  <c r="I237" i="6" s="1"/>
  <c r="O202" i="6"/>
  <c r="O174" i="6"/>
  <c r="O147" i="6"/>
  <c r="M116" i="6"/>
  <c r="M256" i="6"/>
  <c r="O225" i="6"/>
  <c r="O199" i="6"/>
  <c r="O171" i="6"/>
  <c r="O143" i="6"/>
  <c r="M113" i="6"/>
  <c r="M253" i="6"/>
  <c r="O222" i="6"/>
  <c r="O194" i="6"/>
  <c r="O168" i="6"/>
  <c r="O140" i="6"/>
  <c r="M109" i="6"/>
  <c r="M249" i="6"/>
  <c r="O219" i="6"/>
  <c r="O191" i="6"/>
  <c r="O163" i="6"/>
  <c r="O137" i="6"/>
  <c r="M106" i="6"/>
  <c r="M246" i="6"/>
  <c r="O215" i="6"/>
  <c r="O188" i="6"/>
  <c r="O160" i="6"/>
  <c r="M129" i="6"/>
  <c r="M103" i="6"/>
  <c r="M243" i="6"/>
  <c r="O212" i="6"/>
  <c r="O184" i="6"/>
  <c r="O157" i="6"/>
  <c r="K161" i="6" s="1"/>
  <c r="M126" i="6"/>
  <c r="M239" i="6"/>
  <c r="O209" i="6"/>
  <c r="O181" i="6"/>
  <c r="O153" i="6"/>
  <c r="M123" i="6"/>
  <c r="O95" i="6"/>
  <c r="O69" i="6"/>
  <c r="O41" i="6"/>
  <c r="O13" i="6"/>
  <c r="O92" i="6"/>
  <c r="O64" i="6"/>
  <c r="O38" i="6"/>
  <c r="O10" i="6"/>
  <c r="O89" i="6"/>
  <c r="K93" i="6" s="1"/>
  <c r="O61" i="6"/>
  <c r="O33" i="6"/>
  <c r="O7" i="6"/>
  <c r="O85" i="6"/>
  <c r="O58" i="6"/>
  <c r="O30" i="6"/>
  <c r="O82" i="6"/>
  <c r="O54" i="6"/>
  <c r="O27" i="6"/>
  <c r="O79" i="6"/>
  <c r="K83" i="6" s="1"/>
  <c r="O51" i="6"/>
  <c r="O23" i="6"/>
  <c r="O75" i="6"/>
  <c r="O48" i="6"/>
  <c r="O20" i="6"/>
  <c r="O72" i="6"/>
  <c r="O44" i="6"/>
  <c r="O17" i="6"/>
  <c r="Y12" i="4"/>
  <c r="G11" i="4"/>
  <c r="H7" i="4" s="1"/>
  <c r="I51" i="1"/>
  <c r="J51" i="1" s="1"/>
  <c r="K51" i="1" s="1"/>
  <c r="L51" i="1" s="1"/>
  <c r="M51" i="1" s="1"/>
  <c r="N51" i="1" s="1"/>
  <c r="O51" i="1" s="1"/>
  <c r="P51" i="1" s="1"/>
  <c r="Q51" i="1" s="1"/>
  <c r="I52" i="1"/>
  <c r="J52" i="1" s="1"/>
  <c r="K52" i="1" s="1"/>
  <c r="L52" i="1" s="1"/>
  <c r="M52" i="1" s="1"/>
  <c r="N52" i="1" s="1"/>
  <c r="O52" i="1" s="1"/>
  <c r="P52" i="1" s="1"/>
  <c r="Q52" i="1" s="1"/>
  <c r="M53" i="1"/>
  <c r="L53" i="1"/>
  <c r="Q53" i="1"/>
  <c r="K53" i="1"/>
  <c r="J53" i="1"/>
  <c r="I53" i="1"/>
  <c r="P53" i="1"/>
  <c r="O53" i="1"/>
  <c r="H54" i="1"/>
  <c r="I48" i="1"/>
  <c r="J48" i="1"/>
  <c r="K47" i="1"/>
  <c r="H58" i="1" l="1"/>
  <c r="H56" i="1"/>
  <c r="K73" i="6"/>
  <c r="K192" i="6"/>
  <c r="K21" i="6"/>
  <c r="AI10" i="4"/>
  <c r="AI9" i="4"/>
  <c r="AI8" i="4"/>
  <c r="Q7" i="4"/>
  <c r="Q11" i="4"/>
  <c r="Q10" i="4"/>
  <c r="Q9" i="4"/>
  <c r="Q8" i="4"/>
  <c r="C146" i="7"/>
  <c r="K31" i="6"/>
  <c r="I83" i="6"/>
  <c r="K203" i="6"/>
  <c r="I127" i="6"/>
  <c r="K172" i="6"/>
  <c r="K52" i="6"/>
  <c r="K42" i="6"/>
  <c r="I247" i="6"/>
  <c r="K141" i="6"/>
  <c r="K62" i="6"/>
  <c r="I107" i="6"/>
  <c r="K182" i="6"/>
  <c r="K213" i="6"/>
  <c r="I257" i="6"/>
  <c r="K151" i="6"/>
  <c r="K11" i="6"/>
  <c r="K223" i="6"/>
  <c r="I117" i="6"/>
  <c r="Z8" i="4"/>
  <c r="Z7" i="4"/>
  <c r="Z11" i="4"/>
  <c r="Z9" i="4"/>
  <c r="Z10" i="4"/>
  <c r="H8" i="4"/>
  <c r="H10" i="4"/>
  <c r="H9" i="4"/>
  <c r="I54" i="1"/>
  <c r="J54" i="1"/>
  <c r="K54" i="1"/>
  <c r="Q54" i="1"/>
  <c r="Q58" i="1" s="1"/>
  <c r="L54" i="1"/>
  <c r="L58" i="1" s="1"/>
  <c r="M54" i="1"/>
  <c r="M58" i="1" s="1"/>
  <c r="O54" i="1"/>
  <c r="O58" i="1" s="1"/>
  <c r="N54" i="1"/>
  <c r="N58" i="1" s="1"/>
  <c r="P54" i="1"/>
  <c r="P58" i="1" s="1"/>
  <c r="L47" i="1"/>
  <c r="K48" i="1"/>
  <c r="I21" i="6" l="1"/>
  <c r="I52" i="6"/>
  <c r="G51" i="6" s="1"/>
  <c r="G52" i="6" s="1"/>
  <c r="C7" i="6" s="1"/>
  <c r="I182" i="6"/>
  <c r="G246" i="6"/>
  <c r="G247" i="6" s="1"/>
  <c r="B145" i="7"/>
  <c r="B16" i="7"/>
  <c r="K56" i="1"/>
  <c r="K58" i="1"/>
  <c r="H62" i="1"/>
  <c r="H63" i="1"/>
  <c r="J56" i="1"/>
  <c r="J58" i="1"/>
  <c r="I56" i="1"/>
  <c r="I58" i="1"/>
  <c r="G116" i="6"/>
  <c r="G117" i="6" s="1"/>
  <c r="C8" i="6" s="1"/>
  <c r="I213" i="6"/>
  <c r="I151" i="6"/>
  <c r="Q56" i="1"/>
  <c r="L56" i="1"/>
  <c r="O56" i="1"/>
  <c r="P56" i="1"/>
  <c r="M56" i="1"/>
  <c r="N56" i="1"/>
  <c r="L48" i="1"/>
  <c r="M47" i="1"/>
  <c r="G181" i="6" l="1"/>
  <c r="G182" i="6" s="1"/>
  <c r="C9" i="6" s="1"/>
  <c r="C10" i="6"/>
  <c r="P62" i="1"/>
  <c r="P63" i="1"/>
  <c r="O62" i="1"/>
  <c r="O63" i="1"/>
  <c r="O65" i="1" s="1"/>
  <c r="O67" i="1" s="1"/>
  <c r="I62" i="1"/>
  <c r="I63" i="1"/>
  <c r="I65" i="1" s="1"/>
  <c r="I67" i="1" s="1"/>
  <c r="L62" i="1"/>
  <c r="L63" i="1"/>
  <c r="Q62" i="1"/>
  <c r="Q63" i="1"/>
  <c r="J63" i="1"/>
  <c r="J62" i="1"/>
  <c r="J65" i="1" s="1"/>
  <c r="J67" i="1" s="1"/>
  <c r="N62" i="1"/>
  <c r="N63" i="1"/>
  <c r="M62" i="1"/>
  <c r="M63" i="1"/>
  <c r="K63" i="1"/>
  <c r="K62" i="1"/>
  <c r="K65" i="1"/>
  <c r="K67" i="1" s="1"/>
  <c r="P65" i="1"/>
  <c r="P67" i="1" s="1"/>
  <c r="H65" i="1"/>
  <c r="N47" i="1"/>
  <c r="M48" i="1"/>
  <c r="Q65" i="1" l="1"/>
  <c r="Q67" i="1" s="1"/>
  <c r="C146" i="6"/>
  <c r="B16" i="6" s="1"/>
  <c r="AB3" i="6" s="1"/>
  <c r="A16" i="6"/>
  <c r="B145" i="6"/>
  <c r="H67" i="1"/>
  <c r="H69" i="1" s="1"/>
  <c r="H71" i="1" s="1"/>
  <c r="M65" i="1"/>
  <c r="M67" i="1" s="1"/>
  <c r="L65" i="1"/>
  <c r="L67" i="1" s="1"/>
  <c r="N65" i="1"/>
  <c r="N67" i="1" s="1"/>
  <c r="N48" i="1"/>
  <c r="O47" i="1"/>
  <c r="H68" i="1" l="1"/>
  <c r="I68" i="1" s="1"/>
  <c r="J68" i="1" s="1"/>
  <c r="K68" i="1" s="1"/>
  <c r="AA3" i="6"/>
  <c r="P47" i="1"/>
  <c r="O48" i="1"/>
  <c r="J69" i="1" l="1"/>
  <c r="J71" i="1" s="1"/>
  <c r="K69" i="1"/>
  <c r="K71" i="1" s="1"/>
  <c r="I69" i="1"/>
  <c r="I71" i="1" s="1"/>
  <c r="L68" i="1"/>
  <c r="L69" i="1"/>
  <c r="L71" i="1" s="1"/>
  <c r="P48" i="1"/>
  <c r="Q47" i="1"/>
  <c r="Q48" i="1" s="1"/>
  <c r="M68" i="1" l="1"/>
  <c r="M69" i="1"/>
  <c r="M71" i="1" s="1"/>
  <c r="N68" i="1" l="1"/>
  <c r="N69" i="1"/>
  <c r="N71" i="1" s="1"/>
  <c r="O68" i="1" l="1"/>
  <c r="O69" i="1"/>
  <c r="O71" i="1" s="1"/>
  <c r="P68" i="1" l="1"/>
  <c r="P69" i="1"/>
  <c r="P71" i="1" s="1"/>
  <c r="Q68" i="1" l="1"/>
  <c r="Q69" i="1"/>
  <c r="Q71" i="1" s="1"/>
  <c r="H73" i="1" s="1"/>
</calcChain>
</file>

<file path=xl/sharedStrings.xml><?xml version="1.0" encoding="utf-8"?>
<sst xmlns="http://schemas.openxmlformats.org/spreadsheetml/2006/main" count="4100" uniqueCount="93">
  <si>
    <t>Daylight Alchemy Corporation's Value Model</t>
  </si>
  <si>
    <t>Section 1 - Strategy Selection</t>
  </si>
  <si>
    <t>Strategy</t>
  </si>
  <si>
    <t>strategy</t>
  </si>
  <si>
    <t>Strategy Name</t>
  </si>
  <si>
    <t>strategy_name</t>
  </si>
  <si>
    <t>Strategy Descriptions</t>
  </si>
  <si>
    <t>No Partnership / No Expansion</t>
  </si>
  <si>
    <t>No Partnership / Expansion</t>
  </si>
  <si>
    <t>Joint Venture</t>
  </si>
  <si>
    <t>Royalty</t>
  </si>
  <si>
    <t>Section 2 - Constants</t>
  </si>
  <si>
    <t>Description</t>
  </si>
  <si>
    <t>Units</t>
  </si>
  <si>
    <t>Value</t>
  </si>
  <si>
    <t>Name</t>
  </si>
  <si>
    <t/>
  </si>
  <si>
    <t>Real discount rate</t>
  </si>
  <si>
    <t>%</t>
  </si>
  <si>
    <t>discount_rate</t>
  </si>
  <si>
    <t>Tax Rate</t>
  </si>
  <si>
    <t>tax_rate</t>
  </si>
  <si>
    <t>JV share</t>
  </si>
  <si>
    <t>JV_share</t>
  </si>
  <si>
    <t>RP share</t>
  </si>
  <si>
    <t>RP_share</t>
  </si>
  <si>
    <t>Section 3 - Uncertainties</t>
  </si>
  <si>
    <t>Index</t>
  </si>
  <si>
    <t>In Use</t>
  </si>
  <si>
    <t>Low</t>
  </si>
  <si>
    <t>Base</t>
  </si>
  <si>
    <t>High</t>
  </si>
  <si>
    <t>Demand uncertainties</t>
  </si>
  <si>
    <t>DA Corp. markets</t>
  </si>
  <si>
    <t>million units/year</t>
  </si>
  <si>
    <t>dem_DAC</t>
  </si>
  <si>
    <t>EnzyTech Multiple</t>
  </si>
  <si>
    <t>Enz_M</t>
  </si>
  <si>
    <t>Demand Growth Rate</t>
  </si>
  <si>
    <t>% / year</t>
  </si>
  <si>
    <t>DGR</t>
  </si>
  <si>
    <t>Costs uncertainties</t>
  </si>
  <si>
    <t>Unit Revenue</t>
  </si>
  <si>
    <t>$ / unit</t>
  </si>
  <si>
    <t>UR</t>
  </si>
  <si>
    <t>Production cost</t>
  </si>
  <si>
    <t>PC</t>
  </si>
  <si>
    <t>Plant Construction Cost</t>
  </si>
  <si>
    <t>$ million</t>
  </si>
  <si>
    <t>PCC</t>
  </si>
  <si>
    <t>Section 4 - Calculations</t>
  </si>
  <si>
    <t>Year</t>
  </si>
  <si>
    <t>Period</t>
  </si>
  <si>
    <t>Sales</t>
  </si>
  <si>
    <t>Demand | DA Corp. Markets</t>
  </si>
  <si>
    <t>MM units</t>
  </si>
  <si>
    <t>Demand | EnzyTech Markets</t>
  </si>
  <si>
    <t>Capacity</t>
  </si>
  <si>
    <t>Revenue</t>
  </si>
  <si>
    <t>MM $</t>
  </si>
  <si>
    <t>Production Cost</t>
  </si>
  <si>
    <t>Plant Cost</t>
  </si>
  <si>
    <t>JV Payment</t>
  </si>
  <si>
    <t>Royalty Payment</t>
  </si>
  <si>
    <t>Earnings Before Tax</t>
  </si>
  <si>
    <t>Taxes</t>
  </si>
  <si>
    <t>Tax Credit Available for Next Year</t>
  </si>
  <si>
    <t>Tax Payment</t>
  </si>
  <si>
    <t>Cash Flow</t>
  </si>
  <si>
    <t>MM$</t>
  </si>
  <si>
    <t>Present Equivalent</t>
  </si>
  <si>
    <t>MM 2026 $</t>
  </si>
  <si>
    <t>NPV</t>
  </si>
  <si>
    <t>Max Swing</t>
  </si>
  <si>
    <t>Uncertainty</t>
  </si>
  <si>
    <t>D</t>
  </si>
  <si>
    <t>D^2</t>
  </si>
  <si>
    <t>D^2/Sum</t>
  </si>
  <si>
    <t>sum</t>
  </si>
  <si>
    <t>Sort in Ascending Order:</t>
  </si>
  <si>
    <t>Risk Tolerance</t>
  </si>
  <si>
    <t>Gamma</t>
  </si>
  <si>
    <t>Max CE</t>
  </si>
  <si>
    <t>Alternative</t>
  </si>
  <si>
    <t>EU</t>
  </si>
  <si>
    <t>X</t>
  </si>
  <si>
    <t>Results</t>
  </si>
  <si>
    <t>CE</t>
  </si>
  <si>
    <t>x</t>
  </si>
  <si>
    <t>CE( in millions)</t>
  </si>
  <si>
    <t>Discount Rate</t>
  </si>
  <si>
    <t>Discount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</si>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</sst>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0.0"/>
    <numFmt numFmtId="168" formatCode="#,##0.0"/>
    <numFmt numFmtId="169" formatCode="0.0%"/>
    <numFmt numFmtId="170" formatCode="0.000"/>
  </numFmts>
  <fonts count="31" x14ac:knownFonts="1">
    <font>
      <sz val="10"/>
      <name val="Arial"/>
    </font>
    <font>
      <sz val="10"/>
      <name val="Arial"/>
      <family val="2"/>
    </font>
    <font>
      <b/>
      <sz val="12"/>
      <name val="Helv"/>
    </font>
    <font>
      <b/>
      <i/>
      <sz val="10"/>
      <name val="Helv"/>
    </font>
    <font>
      <sz val="10"/>
      <color indexed="8"/>
      <name val="Helv"/>
    </font>
    <font>
      <sz val="10"/>
      <name val="Helv"/>
    </font>
    <font>
      <sz val="9"/>
      <name val="Helv"/>
    </font>
    <font>
      <sz val="10"/>
      <color indexed="10"/>
      <name val="Helv"/>
    </font>
    <font>
      <i/>
      <sz val="10"/>
      <name val="Helv"/>
    </font>
    <font>
      <b/>
      <sz val="10"/>
      <name val="Helv"/>
    </font>
    <font>
      <u/>
      <sz val="10"/>
      <name val="Helv"/>
    </font>
    <font>
      <b/>
      <i/>
      <sz val="10"/>
      <color indexed="10"/>
      <name val="Helv"/>
    </font>
    <font>
      <sz val="9"/>
      <color indexed="10"/>
      <name val="Helv"/>
    </font>
    <font>
      <b/>
      <sz val="14"/>
      <name val="Helv"/>
    </font>
    <font>
      <i/>
      <sz val="10"/>
      <color indexed="10"/>
      <name val="Helv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2"/>
      <name val="Helv"/>
    </font>
    <font>
      <sz val="11"/>
      <name val="Helv"/>
    </font>
    <font>
      <b/>
      <i/>
      <sz val="12"/>
      <name val="Helv"/>
    </font>
    <font>
      <sz val="11"/>
      <color indexed="8"/>
      <name val="Helv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Helv"/>
    </font>
    <font>
      <sz val="9"/>
      <color indexed="8"/>
      <name val="Helv"/>
    </font>
    <font>
      <sz val="11"/>
      <color rgb="FFFF0000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Helv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1" xfId="0" applyBorder="1"/>
    <xf numFmtId="0" fontId="3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9" fillId="0" borderId="0" xfId="0" applyFont="1"/>
    <xf numFmtId="0" fontId="0" fillId="0" borderId="3" xfId="0" applyBorder="1"/>
    <xf numFmtId="0" fontId="0" fillId="0" borderId="4" xfId="0" applyBorder="1"/>
    <xf numFmtId="0" fontId="5" fillId="0" borderId="8" xfId="0" applyFont="1" applyBorder="1"/>
    <xf numFmtId="0" fontId="5" fillId="0" borderId="0" xfId="0" applyFont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8" xfId="0" applyFont="1" applyBorder="1"/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9" xfId="0" applyFont="1" applyBorder="1"/>
    <xf numFmtId="9" fontId="5" fillId="0" borderId="0" xfId="0" applyNumberFormat="1" applyFont="1" applyAlignment="1">
      <alignment horizontal="center"/>
    </xf>
    <xf numFmtId="9" fontId="5" fillId="0" borderId="10" xfId="0" applyNumberFormat="1" applyFont="1" applyBorder="1" applyAlignment="1">
      <alignment horizontal="center"/>
    </xf>
    <xf numFmtId="9" fontId="5" fillId="0" borderId="11" xfId="0" applyNumberFormat="1" applyFont="1" applyBorder="1" applyAlignment="1">
      <alignment horizontal="center"/>
    </xf>
    <xf numFmtId="0" fontId="9" fillId="0" borderId="5" xfId="0" applyFont="1" applyBorder="1"/>
    <xf numFmtId="2" fontId="5" fillId="0" borderId="6" xfId="0" applyNumberFormat="1" applyFont="1" applyBorder="1" applyAlignment="1">
      <alignment horizontal="center"/>
    </xf>
    <xf numFmtId="164" fontId="0" fillId="0" borderId="0" xfId="0" applyNumberFormat="1"/>
    <xf numFmtId="0" fontId="8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164" fontId="6" fillId="0" borderId="0" xfId="0" applyNumberFormat="1" applyFont="1"/>
    <xf numFmtId="166" fontId="0" fillId="0" borderId="0" xfId="1" applyFont="1" applyBorder="1"/>
    <xf numFmtId="0" fontId="0" fillId="0" borderId="0" xfId="0" applyAlignment="1">
      <alignment horizontal="left"/>
    </xf>
    <xf numFmtId="0" fontId="13" fillId="0" borderId="0" xfId="0" applyFont="1"/>
    <xf numFmtId="9" fontId="5" fillId="0" borderId="0" xfId="2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1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8" xfId="0" applyFont="1" applyBorder="1"/>
    <xf numFmtId="0" fontId="4" fillId="2" borderId="0" xfId="0" applyFont="1" applyFill="1" applyAlignment="1">
      <alignment horizontal="center"/>
    </xf>
    <xf numFmtId="0" fontId="16" fillId="0" borderId="0" xfId="0" applyFont="1"/>
    <xf numFmtId="0" fontId="14" fillId="0" borderId="0" xfId="0" applyFont="1"/>
    <xf numFmtId="169" fontId="5" fillId="0" borderId="0" xfId="2" applyNumberFormat="1" applyFont="1" applyBorder="1" applyAlignment="1">
      <alignment horizontal="center"/>
    </xf>
    <xf numFmtId="0" fontId="18" fillId="0" borderId="0" xfId="0" applyFont="1"/>
    <xf numFmtId="0" fontId="2" fillId="0" borderId="0" xfId="0" applyFont="1"/>
    <xf numFmtId="0" fontId="19" fillId="0" borderId="0" xfId="0" applyFont="1"/>
    <xf numFmtId="0" fontId="15" fillId="0" borderId="0" xfId="0" applyFont="1"/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9" fillId="0" borderId="2" xfId="0" applyFont="1" applyBorder="1"/>
    <xf numFmtId="2" fontId="6" fillId="0" borderId="6" xfId="0" applyNumberFormat="1" applyFont="1" applyBorder="1"/>
    <xf numFmtId="167" fontId="5" fillId="0" borderId="2" xfId="0" applyNumberFormat="1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167" fontId="5" fillId="0" borderId="4" xfId="0" applyNumberFormat="1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17" fillId="3" borderId="0" xfId="0" applyFont="1" applyFill="1"/>
    <xf numFmtId="0" fontId="22" fillId="0" borderId="0" xfId="0" applyFont="1" applyAlignment="1">
      <alignment horizontal="center"/>
    </xf>
    <xf numFmtId="0" fontId="17" fillId="0" borderId="0" xfId="0" applyFont="1"/>
    <xf numFmtId="0" fontId="22" fillId="0" borderId="0" xfId="0" applyFont="1"/>
    <xf numFmtId="4" fontId="23" fillId="0" borderId="0" xfId="0" applyNumberFormat="1" applyFont="1"/>
    <xf numFmtId="167" fontId="23" fillId="0" borderId="0" xfId="0" applyNumberFormat="1" applyFont="1"/>
    <xf numFmtId="2" fontId="23" fillId="0" borderId="0" xfId="0" applyNumberFormat="1" applyFont="1"/>
    <xf numFmtId="2" fontId="17" fillId="0" borderId="0" xfId="0" applyNumberFormat="1" applyFont="1"/>
    <xf numFmtId="164" fontId="24" fillId="0" borderId="0" xfId="0" applyNumberFormat="1" applyFont="1"/>
    <xf numFmtId="164" fontId="17" fillId="0" borderId="0" xfId="0" applyNumberFormat="1" applyFont="1"/>
    <xf numFmtId="3" fontId="17" fillId="0" borderId="0" xfId="0" applyNumberFormat="1" applyFont="1"/>
    <xf numFmtId="0" fontId="25" fillId="0" borderId="0" xfId="0" applyFont="1"/>
    <xf numFmtId="0" fontId="25" fillId="0" borderId="0" xfId="0" applyFont="1" applyAlignment="1">
      <alignment horizontal="center"/>
    </xf>
    <xf numFmtId="164" fontId="26" fillId="0" borderId="0" xfId="0" applyNumberFormat="1" applyFont="1"/>
    <xf numFmtId="0" fontId="6" fillId="0" borderId="0" xfId="0" applyFont="1" applyAlignment="1">
      <alignment horizontal="center"/>
    </xf>
    <xf numFmtId="9" fontId="5" fillId="0" borderId="13" xfId="2" applyFont="1" applyBorder="1" applyAlignment="1">
      <alignment horizontal="center"/>
    </xf>
    <xf numFmtId="9" fontId="5" fillId="0" borderId="14" xfId="2" applyFont="1" applyBorder="1" applyAlignment="1">
      <alignment horizontal="center"/>
    </xf>
    <xf numFmtId="9" fontId="5" fillId="0" borderId="15" xfId="2" applyFont="1" applyBorder="1" applyAlignment="1">
      <alignment horizontal="center"/>
    </xf>
    <xf numFmtId="167" fontId="5" fillId="0" borderId="1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167" fontId="5" fillId="0" borderId="13" xfId="2" applyNumberFormat="1" applyFont="1" applyBorder="1" applyAlignment="1">
      <alignment horizontal="center"/>
    </xf>
    <xf numFmtId="167" fontId="5" fillId="0" borderId="14" xfId="2" applyNumberFormat="1" applyFont="1" applyBorder="1" applyAlignment="1">
      <alignment horizontal="center"/>
    </xf>
    <xf numFmtId="167" fontId="5" fillId="0" borderId="15" xfId="2" applyNumberFormat="1" applyFont="1" applyBorder="1" applyAlignment="1">
      <alignment horizontal="center"/>
    </xf>
    <xf numFmtId="9" fontId="5" fillId="0" borderId="16" xfId="0" applyNumberFormat="1" applyFont="1" applyBorder="1" applyAlignment="1">
      <alignment horizontal="center"/>
    </xf>
    <xf numFmtId="4" fontId="17" fillId="0" borderId="0" xfId="0" applyNumberFormat="1" applyFont="1"/>
    <xf numFmtId="166" fontId="28" fillId="4" borderId="0" xfId="1" applyFont="1" applyFill="1"/>
    <xf numFmtId="165" fontId="17" fillId="0" borderId="0" xfId="0" applyNumberFormat="1" applyFont="1"/>
    <xf numFmtId="0" fontId="1" fillId="0" borderId="0" xfId="0" applyFont="1"/>
    <xf numFmtId="0" fontId="0" fillId="5" borderId="0" xfId="0" applyFill="1"/>
    <xf numFmtId="0" fontId="5" fillId="5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9" fillId="5" borderId="0" xfId="0" applyFont="1" applyFill="1" applyAlignment="1">
      <alignment horizontal="center"/>
    </xf>
    <xf numFmtId="0" fontId="5" fillId="5" borderId="12" xfId="0" applyFont="1" applyFill="1" applyBorder="1"/>
    <xf numFmtId="0" fontId="5" fillId="5" borderId="12" xfId="0" applyFont="1" applyFill="1" applyBorder="1" applyAlignment="1">
      <alignment horizontal="center"/>
    </xf>
    <xf numFmtId="12" fontId="5" fillId="5" borderId="12" xfId="0" applyNumberFormat="1" applyFont="1" applyFill="1" applyBorder="1" applyAlignment="1">
      <alignment horizontal="center"/>
    </xf>
    <xf numFmtId="170" fontId="5" fillId="5" borderId="12" xfId="0" applyNumberFormat="1" applyFont="1" applyFill="1" applyBorder="1" applyAlignment="1">
      <alignment horizontal="center"/>
    </xf>
    <xf numFmtId="12" fontId="5" fillId="5" borderId="0" xfId="0" applyNumberFormat="1" applyFont="1" applyFill="1" applyAlignment="1">
      <alignment horizontal="center"/>
    </xf>
    <xf numFmtId="170" fontId="5" fillId="5" borderId="0" xfId="0" applyNumberFormat="1" applyFont="1" applyFill="1" applyAlignment="1">
      <alignment horizontal="center"/>
    </xf>
    <xf numFmtId="166" fontId="5" fillId="5" borderId="12" xfId="1" applyFont="1" applyFill="1" applyBorder="1" applyAlignment="1">
      <alignment horizontal="center"/>
    </xf>
    <xf numFmtId="166" fontId="5" fillId="5" borderId="0" xfId="1" applyFont="1" applyFill="1" applyBorder="1" applyAlignment="1">
      <alignment horizontal="center"/>
    </xf>
    <xf numFmtId="166" fontId="5" fillId="5" borderId="12" xfId="0" applyNumberFormat="1" applyFont="1" applyFill="1" applyBorder="1" applyAlignment="1">
      <alignment horizontal="center"/>
    </xf>
    <xf numFmtId="0" fontId="4" fillId="5" borderId="12" xfId="0" applyFont="1" applyFill="1" applyBorder="1"/>
    <xf numFmtId="0" fontId="4" fillId="5" borderId="0" xfId="0" applyFont="1" applyFill="1"/>
    <xf numFmtId="0" fontId="27" fillId="5" borderId="0" xfId="0" applyFont="1" applyFill="1"/>
    <xf numFmtId="166" fontId="5" fillId="5" borderId="12" xfId="1" applyFont="1" applyFill="1" applyBorder="1"/>
    <xf numFmtId="2" fontId="5" fillId="5" borderId="12" xfId="1" applyNumberFormat="1" applyFont="1" applyFill="1" applyBorder="1"/>
    <xf numFmtId="2" fontId="5" fillId="5" borderId="12" xfId="0" applyNumberFormat="1" applyFont="1" applyFill="1" applyBorder="1"/>
    <xf numFmtId="0" fontId="5" fillId="5" borderId="8" xfId="0" applyFont="1" applyFill="1" applyBorder="1"/>
    <xf numFmtId="10" fontId="5" fillId="5" borderId="12" xfId="2" applyNumberFormat="1" applyFont="1" applyFill="1" applyBorder="1"/>
    <xf numFmtId="10" fontId="5" fillId="5" borderId="12" xfId="2" applyNumberFormat="1" applyFont="1" applyFill="1" applyBorder="1" applyAlignment="1">
      <alignment horizontal="center"/>
    </xf>
    <xf numFmtId="0" fontId="5" fillId="5" borderId="2" xfId="0" applyFont="1" applyFill="1" applyBorder="1"/>
    <xf numFmtId="0" fontId="5" fillId="5" borderId="9" xfId="0" applyFont="1" applyFill="1" applyBorder="1"/>
    <xf numFmtId="0" fontId="5" fillId="5" borderId="3" xfId="0" applyFont="1" applyFill="1" applyBorder="1"/>
    <xf numFmtId="0" fontId="5" fillId="5" borderId="5" xfId="0" applyFont="1" applyFill="1" applyBorder="1"/>
    <xf numFmtId="0" fontId="9" fillId="5" borderId="0" xfId="0" applyFont="1" applyFill="1" applyAlignment="1">
      <alignment horizontal="center"/>
    </xf>
    <xf numFmtId="0" fontId="5" fillId="5" borderId="4" xfId="0" applyFont="1" applyFill="1" applyBorder="1"/>
    <xf numFmtId="166" fontId="5" fillId="5" borderId="0" xfId="1" applyFont="1" applyFill="1"/>
    <xf numFmtId="0" fontId="9" fillId="5" borderId="0" xfId="0" applyFont="1" applyFill="1"/>
    <xf numFmtId="2" fontId="5" fillId="5" borderId="0" xfId="0" applyNumberFormat="1" applyFont="1" applyFill="1"/>
    <xf numFmtId="0" fontId="5" fillId="6" borderId="3" xfId="0" applyFont="1" applyFill="1" applyBorder="1"/>
    <xf numFmtId="166" fontId="5" fillId="6" borderId="3" xfId="0" applyNumberFormat="1" applyFont="1" applyFill="1" applyBorder="1"/>
    <xf numFmtId="166" fontId="5" fillId="5" borderId="12" xfId="0" applyNumberFormat="1" applyFont="1" applyFill="1" applyBorder="1"/>
    <xf numFmtId="0" fontId="4" fillId="5" borderId="0" xfId="0" applyFont="1" applyFill="1" applyAlignment="1">
      <alignment horizontal="center"/>
    </xf>
    <xf numFmtId="166" fontId="5" fillId="5" borderId="8" xfId="0" applyNumberFormat="1" applyFont="1" applyFill="1" applyBorder="1"/>
    <xf numFmtId="0" fontId="9" fillId="6" borderId="12" xfId="0" applyFont="1" applyFill="1" applyBorder="1"/>
    <xf numFmtId="166" fontId="5" fillId="5" borderId="0" xfId="0" applyNumberFormat="1" applyFont="1" applyFill="1"/>
    <xf numFmtId="168" fontId="23" fillId="0" borderId="0" xfId="0" applyNumberFormat="1" applyFont="1"/>
    <xf numFmtId="166" fontId="5" fillId="5" borderId="0" xfId="0" applyNumberFormat="1" applyFont="1" applyFill="1" applyAlignment="1">
      <alignment horizontal="center"/>
    </xf>
    <xf numFmtId="10" fontId="5" fillId="5" borderId="0" xfId="2" applyNumberFormat="1" applyFont="1" applyFill="1" applyBorder="1" applyAlignment="1">
      <alignment horizontal="center"/>
    </xf>
    <xf numFmtId="0" fontId="5" fillId="4" borderId="8" xfId="0" applyFont="1" applyFill="1" applyBorder="1"/>
    <xf numFmtId="0" fontId="4" fillId="4" borderId="8" xfId="0" applyFont="1" applyFill="1" applyBorder="1"/>
    <xf numFmtId="166" fontId="17" fillId="0" borderId="0" xfId="0" applyNumberFormat="1" applyFont="1"/>
    <xf numFmtId="166" fontId="0" fillId="0" borderId="0" xfId="0" applyNumberFormat="1"/>
    <xf numFmtId="9" fontId="0" fillId="0" borderId="0" xfId="2" applyFont="1"/>
    <xf numFmtId="9" fontId="5" fillId="5" borderId="0" xfId="0" applyNumberFormat="1" applyFont="1" applyFill="1"/>
    <xf numFmtId="166" fontId="5" fillId="0" borderId="0" xfId="0" applyNumberFormat="1" applyFont="1"/>
    <xf numFmtId="167" fontId="5" fillId="4" borderId="8" xfId="0" applyNumberFormat="1" applyFont="1" applyFill="1" applyBorder="1"/>
    <xf numFmtId="9" fontId="5" fillId="5" borderId="0" xfId="2" applyFont="1" applyFill="1"/>
    <xf numFmtId="9" fontId="5" fillId="5" borderId="12" xfId="2" applyFont="1" applyFill="1" applyBorder="1"/>
    <xf numFmtId="0" fontId="5" fillId="6" borderId="12" xfId="0" applyFont="1" applyFill="1" applyBorder="1"/>
    <xf numFmtId="0" fontId="0" fillId="5" borderId="12" xfId="0" applyFill="1" applyBorder="1"/>
    <xf numFmtId="0" fontId="30" fillId="5" borderId="12" xfId="0" applyFont="1" applyFill="1" applyBorder="1"/>
    <xf numFmtId="169" fontId="0" fillId="5" borderId="12" xfId="2" applyNumberFormat="1" applyFont="1" applyFill="1" applyBorder="1"/>
    <xf numFmtId="169" fontId="0" fillId="5" borderId="0" xfId="2" applyNumberFormat="1" applyFont="1" applyFill="1" applyBorder="1"/>
    <xf numFmtId="0" fontId="5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Joint Venture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Diagrams'!$U$25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'Tornado Diagrams'!$T$26:$T$30</c:f>
              <c:strCache>
                <c:ptCount val="5"/>
                <c:pt idx="0">
                  <c:v>EnzyTech Multiple</c:v>
                </c:pt>
                <c:pt idx="1">
                  <c:v>Production cost</c:v>
                </c:pt>
                <c:pt idx="2">
                  <c:v>Demand Growth Rate</c:v>
                </c:pt>
                <c:pt idx="3">
                  <c:v>DA Corp. markets</c:v>
                </c:pt>
                <c:pt idx="4">
                  <c:v>Unit Revenue</c:v>
                </c:pt>
              </c:strCache>
            </c:strRef>
          </c:cat>
          <c:val>
            <c:numRef>
              <c:f>'Tornado Diagrams'!$U$26:$U$30</c:f>
              <c:numCache>
                <c:formatCode>_("$"* #,##0.00_);_("$"* \(#,##0.00\);_("$"* "-"??_);_(@_)</c:formatCode>
                <c:ptCount val="5"/>
                <c:pt idx="0">
                  <c:v>9.6654074564581656</c:v>
                </c:pt>
                <c:pt idx="1">
                  <c:v>14.275063320307446</c:v>
                </c:pt>
                <c:pt idx="2">
                  <c:v>7.444601969673549</c:v>
                </c:pt>
                <c:pt idx="3">
                  <c:v>4.7583544401024813</c:v>
                </c:pt>
                <c:pt idx="4">
                  <c:v>2.3791772200512398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F-45F1-9198-BDAA1A0D4BDC}"/>
            </c:ext>
          </c:extLst>
        </c:ser>
        <c:ser>
          <c:idx val="1"/>
          <c:order val="1"/>
          <c:tx>
            <c:strRef>
              <c:f>'Tornado Diagrams'!$V$25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'Tornado Diagrams'!$T$26:$T$30</c:f>
              <c:strCache>
                <c:ptCount val="5"/>
                <c:pt idx="0">
                  <c:v>EnzyTech Multiple</c:v>
                </c:pt>
                <c:pt idx="1">
                  <c:v>Production cost</c:v>
                </c:pt>
                <c:pt idx="2">
                  <c:v>Demand Growth Rate</c:v>
                </c:pt>
                <c:pt idx="3">
                  <c:v>DA Corp. markets</c:v>
                </c:pt>
                <c:pt idx="4">
                  <c:v>Unit Revenue</c:v>
                </c:pt>
              </c:strCache>
            </c:strRef>
          </c:cat>
          <c:val>
            <c:numRef>
              <c:f>'Tornado Diagrams'!$V$26:$V$30</c:f>
              <c:numCache>
                <c:formatCode>_("$"* #,##0.00_);_("$"* \(#,##0.00\);_("$"* "-"??_);_(@_)</c:formatCode>
                <c:ptCount val="5"/>
                <c:pt idx="0">
                  <c:v>13.38287186278823</c:v>
                </c:pt>
                <c:pt idx="1">
                  <c:v>9.5167088802049591</c:v>
                </c:pt>
                <c:pt idx="2">
                  <c:v>12.900544586754121</c:v>
                </c:pt>
                <c:pt idx="3">
                  <c:v>19.09554964510756</c:v>
                </c:pt>
                <c:pt idx="4">
                  <c:v>19.033417760409925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F-45F1-9198-BDAA1A0D4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504309551"/>
        <c:axId val="1504316751"/>
      </c:barChart>
      <c:catAx>
        <c:axId val="1504309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6751"/>
        <c:crossesAt val="11.9"/>
        <c:auto val="1"/>
        <c:lblAlgn val="ctr"/>
        <c:lblOffset val="100"/>
        <c:noMultiLvlLbl val="0"/>
      </c:catAx>
      <c:valAx>
        <c:axId val="150431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0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No Partnership / Expansion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Diagrams'!$L$25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'Tornado Diagrams'!$K$26:$K$30</c:f>
              <c:strCache>
                <c:ptCount val="5"/>
                <c:pt idx="0">
                  <c:v>Plant Construction Cost</c:v>
                </c:pt>
                <c:pt idx="1">
                  <c:v>Production cost</c:v>
                </c:pt>
                <c:pt idx="2">
                  <c:v>Demand Growth Rate</c:v>
                </c:pt>
                <c:pt idx="3">
                  <c:v>Unit Revenue</c:v>
                </c:pt>
                <c:pt idx="4">
                  <c:v>DA Corp. markets</c:v>
                </c:pt>
              </c:strCache>
            </c:strRef>
          </c:cat>
          <c:val>
            <c:numRef>
              <c:f>'Tornado Diagrams'!$L$26:$L$30</c:f>
              <c:numCache>
                <c:formatCode>0.00</c:formatCode>
                <c:ptCount val="5"/>
                <c:pt idx="0">
                  <c:v>10.00786061507257</c:v>
                </c:pt>
                <c:pt idx="1">
                  <c:v>12.777610861340651</c:v>
                </c:pt>
                <c:pt idx="2">
                  <c:v>1.8956858265406655</c:v>
                </c:pt>
                <c:pt idx="3">
                  <c:v>-8.5040896672095663</c:v>
                </c:pt>
                <c:pt idx="4">
                  <c:v>-3.0420332032869943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3-44D6-ADD7-F65F0E5D722A}"/>
            </c:ext>
          </c:extLst>
        </c:ser>
        <c:ser>
          <c:idx val="1"/>
          <c:order val="1"/>
          <c:tx>
            <c:strRef>
              <c:f>'Tornado Diagrams'!$M$25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'Tornado Diagrams'!$K$26:$K$30</c:f>
              <c:strCache>
                <c:ptCount val="5"/>
                <c:pt idx="0">
                  <c:v>Plant Construction Cost</c:v>
                </c:pt>
                <c:pt idx="1">
                  <c:v>Production cost</c:v>
                </c:pt>
                <c:pt idx="2">
                  <c:v>Demand Growth Rate</c:v>
                </c:pt>
                <c:pt idx="3">
                  <c:v>Unit Revenue</c:v>
                </c:pt>
                <c:pt idx="4">
                  <c:v>DA Corp. markets</c:v>
                </c:pt>
              </c:strCache>
            </c:strRef>
          </c:cat>
          <c:val>
            <c:numRef>
              <c:f>'Tornado Diagrams'!$M$26:$M$30</c:f>
              <c:numCache>
                <c:formatCode>0.00</c:formatCode>
                <c:ptCount val="5"/>
                <c:pt idx="0">
                  <c:v>7.1446538052209085</c:v>
                </c:pt>
                <c:pt idx="1">
                  <c:v>5.0645552624763042</c:v>
                </c:pt>
                <c:pt idx="2">
                  <c:v>10.577300017468449</c:v>
                </c:pt>
                <c:pt idx="3">
                  <c:v>20.374145977663837</c:v>
                </c:pt>
                <c:pt idx="4">
                  <c:v>30.507873443782131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3-44D6-ADD7-F65F0E5D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882915519"/>
        <c:axId val="1882916959"/>
      </c:barChart>
      <c:catAx>
        <c:axId val="1882915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16959"/>
        <c:crossesAt val="8.9500000000000011"/>
        <c:auto val="1"/>
        <c:lblAlgn val="ctr"/>
        <c:lblOffset val="100"/>
        <c:noMultiLvlLbl val="0"/>
      </c:catAx>
      <c:valAx>
        <c:axId val="188291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1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No Partnership / No Expansion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Diagrams'!$C$25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'Tornado Diagrams'!$B$26:$B$29</c:f>
              <c:strCache>
                <c:ptCount val="4"/>
                <c:pt idx="0">
                  <c:v>Demand Growth Rate</c:v>
                </c:pt>
                <c:pt idx="1">
                  <c:v>Production cost</c:v>
                </c:pt>
                <c:pt idx="2">
                  <c:v>DA Corp. markets</c:v>
                </c:pt>
                <c:pt idx="3">
                  <c:v>Unit Revenue</c:v>
                </c:pt>
              </c:strCache>
            </c:strRef>
          </c:cat>
          <c:val>
            <c:numRef>
              <c:f>'Tornado Diagrams'!$C$26:$C$29</c:f>
              <c:numCache>
                <c:formatCode>0.00</c:formatCode>
                <c:ptCount val="4"/>
                <c:pt idx="0">
                  <c:v>11.632190577614923</c:v>
                </c:pt>
                <c:pt idx="1">
                  <c:v>16.849014392741964</c:v>
                </c:pt>
                <c:pt idx="2">
                  <c:v>7.434928812660127</c:v>
                </c:pt>
                <c:pt idx="3">
                  <c:v>2.8081690654569935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3-442B-B9DA-E03A684C348D}"/>
            </c:ext>
          </c:extLst>
        </c:ser>
        <c:ser>
          <c:idx val="1"/>
          <c:order val="1"/>
          <c:tx>
            <c:strRef>
              <c:f>'Tornado Diagrams'!$D$25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'Tornado Diagrams'!$B$26:$B$29</c:f>
              <c:strCache>
                <c:ptCount val="4"/>
                <c:pt idx="0">
                  <c:v>Demand Growth Rate</c:v>
                </c:pt>
                <c:pt idx="1">
                  <c:v>Production cost</c:v>
                </c:pt>
                <c:pt idx="2">
                  <c:v>DA Corp. markets</c:v>
                </c:pt>
                <c:pt idx="3">
                  <c:v>Unit Revenue</c:v>
                </c:pt>
              </c:strCache>
            </c:strRef>
          </c:cat>
          <c:val>
            <c:numRef>
              <c:f>'Tornado Diagrams'!$D$26:$D$29</c:f>
              <c:numCache>
                <c:formatCode>0.00</c:formatCode>
                <c:ptCount val="4"/>
                <c:pt idx="0">
                  <c:v>14.040845327284968</c:v>
                </c:pt>
                <c:pt idx="1">
                  <c:v>11.232676261827974</c:v>
                </c:pt>
                <c:pt idx="2">
                  <c:v>14.040845327284968</c:v>
                </c:pt>
                <c:pt idx="3">
                  <c:v>22.465352523655948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3-442B-B9DA-E03A684C3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869637055"/>
        <c:axId val="1869637535"/>
      </c:barChart>
      <c:catAx>
        <c:axId val="1869637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637535"/>
        <c:crossesAt val="14.04"/>
        <c:auto val="1"/>
        <c:lblAlgn val="ctr"/>
        <c:lblOffset val="100"/>
        <c:noMultiLvlLbl val="0"/>
      </c:catAx>
      <c:valAx>
        <c:axId val="186963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63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Royalty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'Tornado Diagrams'!$AD$25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'Tornado Diagrams'!$AC$26:$AC$29</c:f>
              <c:strCache>
                <c:ptCount val="4"/>
                <c:pt idx="0">
                  <c:v>Unit Revenue</c:v>
                </c:pt>
                <c:pt idx="1">
                  <c:v>EnzyTech Multiple</c:v>
                </c:pt>
                <c:pt idx="2">
                  <c:v>Demand Growth Rate</c:v>
                </c:pt>
                <c:pt idx="3">
                  <c:v>DA Corp. markets</c:v>
                </c:pt>
              </c:strCache>
            </c:strRef>
          </c:cat>
          <c:val>
            <c:numRef>
              <c:f>'Tornado Diagrams'!$AD$26:$AD$29</c:f>
              <c:numCache>
                <c:formatCode>_("$"* #,##0.00_);_("$"* \(#,##0.00\);_("$"* "-"??_);_(@_)</c:formatCode>
                <c:ptCount val="4"/>
                <c:pt idx="0">
                  <c:v>4.6393955790999239</c:v>
                </c:pt>
                <c:pt idx="1">
                  <c:v>4.1561252062770162</c:v>
                </c:pt>
                <c:pt idx="2">
                  <c:v>3.2011788469596318</c:v>
                </c:pt>
                <c:pt idx="3">
                  <c:v>2.0460924092440669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B-4F41-98D4-2F29BE9042A2}"/>
            </c:ext>
          </c:extLst>
        </c:ser>
        <c:ser>
          <c:idx val="1"/>
          <c:order val="1"/>
          <c:tx>
            <c:strRef>
              <c:f>'Tornado Diagrams'!$AE$25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'Tornado Diagrams'!$AC$26:$AC$29</c:f>
              <c:strCache>
                <c:ptCount val="4"/>
                <c:pt idx="0">
                  <c:v>Unit Revenue</c:v>
                </c:pt>
                <c:pt idx="1">
                  <c:v>EnzyTech Multiple</c:v>
                </c:pt>
                <c:pt idx="2">
                  <c:v>Demand Growth Rate</c:v>
                </c:pt>
                <c:pt idx="3">
                  <c:v>DA Corp. markets</c:v>
                </c:pt>
              </c:strCache>
            </c:strRef>
          </c:cat>
          <c:val>
            <c:numRef>
              <c:f>'Tornado Diagrams'!$AE$26:$AE$29</c:f>
              <c:numCache>
                <c:formatCode>_("$"* #,##0.00_);_("$"* \(#,##0.00\);_("$"* "-"??_);_(@_)</c:formatCode>
                <c:ptCount val="4"/>
                <c:pt idx="0">
                  <c:v>5.4721076061178637</c:v>
                </c:pt>
                <c:pt idx="1">
                  <c:v>5.7546349009989424</c:v>
                </c:pt>
                <c:pt idx="2">
                  <c:v>5.5597421456524234</c:v>
                </c:pt>
                <c:pt idx="3">
                  <c:v>11.253508250842374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5B-4F41-98D4-2F29BE904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746407120"/>
        <c:axId val="746392240"/>
      </c:barChart>
      <c:catAx>
        <c:axId val="746407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392240"/>
        <c:crossesAt val="5.1199999999999992"/>
        <c:auto val="1"/>
        <c:lblAlgn val="ctr"/>
        <c:lblOffset val="100"/>
        <c:noMultiLvlLbl val="0"/>
      </c:catAx>
      <c:valAx>
        <c:axId val="74639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40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 vs Risk Aversion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Analysis'!$D$2</c:f>
              <c:strCache>
                <c:ptCount val="1"/>
                <c:pt idx="0">
                  <c:v>Max 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Analysis'!$C$3:$C$23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'Sensitivity Analysis'!$D$3:$D$23</c:f>
              <c:numCache>
                <c:formatCode>_("$"* #,##0.00_);_("$"* \(#,##0.00\);_("$"* "-"??_);_(@_)</c:formatCode>
                <c:ptCount val="21"/>
                <c:pt idx="0">
                  <c:v>51.690104809838502</c:v>
                </c:pt>
                <c:pt idx="1">
                  <c:v>51.382039397140538</c:v>
                </c:pt>
                <c:pt idx="2">
                  <c:v>50.996957641093175</c:v>
                </c:pt>
                <c:pt idx="3">
                  <c:v>50.501852649466485</c:v>
                </c:pt>
                <c:pt idx="4">
                  <c:v>49.841714241664057</c:v>
                </c:pt>
                <c:pt idx="5">
                  <c:v>48.917541385198781</c:v>
                </c:pt>
                <c:pt idx="6">
                  <c:v>47.531572634311921</c:v>
                </c:pt>
                <c:pt idx="7">
                  <c:v>45.226029897410562</c:v>
                </c:pt>
                <c:pt idx="8">
                  <c:v>40.695378855492038</c:v>
                </c:pt>
                <c:pt idx="9">
                  <c:v>29.441232509512169</c:v>
                </c:pt>
                <c:pt idx="10">
                  <c:v>11.769897888697319</c:v>
                </c:pt>
                <c:pt idx="11">
                  <c:v>9.3750770027966812</c:v>
                </c:pt>
                <c:pt idx="12">
                  <c:v>7.468075656268014</c:v>
                </c:pt>
                <c:pt idx="13">
                  <c:v>6.0919268354531617</c:v>
                </c:pt>
                <c:pt idx="14">
                  <c:v>5.1127017960362959</c:v>
                </c:pt>
                <c:pt idx="15">
                  <c:v>4.3975745768153072</c:v>
                </c:pt>
                <c:pt idx="16">
                  <c:v>3.9983854783467208</c:v>
                </c:pt>
                <c:pt idx="17">
                  <c:v>3.7035487348723994</c:v>
                </c:pt>
                <c:pt idx="18">
                  <c:v>3.4626165612886459</c:v>
                </c:pt>
                <c:pt idx="19">
                  <c:v>3.2608462442309394</c:v>
                </c:pt>
                <c:pt idx="20">
                  <c:v>3.0886142162136752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1A-4F53-967B-A69BE5DE4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749647"/>
        <c:axId val="1828754927"/>
      </c:scatterChart>
      <c:valAx>
        <c:axId val="182874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54927"/>
        <c:crosses val="autoZero"/>
        <c:crossBetween val="midCat"/>
      </c:valAx>
      <c:valAx>
        <c:axId val="18287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74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 vs Tax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Analysis'!$T$2</c:f>
              <c:strCache>
                <c:ptCount val="1"/>
                <c:pt idx="0">
                  <c:v>Max 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Analysis'!$S$3:$S$13</c:f>
              <c:numCache>
                <c:formatCode>0%</c:formatCode>
                <c:ptCount val="11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</c:numCache>
            </c:numRef>
          </c:xVal>
          <c:yVal>
            <c:numRef>
              <c:f>'Sensitivity Analysis'!$T$3:$T$13</c:f>
              <c:numCache>
                <c:formatCode>_("$"* #,##0.00_);_("$"* \(#,##0.00\);_("$"* "-"??_);_(@_)</c:formatCode>
                <c:ptCount val="11"/>
                <c:pt idx="0">
                  <c:v>16.092393909117728</c:v>
                </c:pt>
                <c:pt idx="1">
                  <c:v>15.33961882624823</c:v>
                </c:pt>
                <c:pt idx="2">
                  <c:v>14.576728972535221</c:v>
                </c:pt>
                <c:pt idx="3">
                  <c:v>13.803651088833968</c:v>
                </c:pt>
                <c:pt idx="4">
                  <c:v>13.020314494358155</c:v>
                </c:pt>
                <c:pt idx="5">
                  <c:v>12.226651176120383</c:v>
                </c:pt>
                <c:pt idx="6">
                  <c:v>11.422595875599235</c:v>
                </c:pt>
                <c:pt idx="7">
                  <c:v>10.608086172385836</c:v>
                </c:pt>
                <c:pt idx="8">
                  <c:v>9.7830625645687768</c:v>
                </c:pt>
                <c:pt idx="9">
                  <c:v>8.9474685456232912</c:v>
                </c:pt>
                <c:pt idx="10">
                  <c:v>8.101250677579106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6F-4680-9360-59C83AF26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67631"/>
        <c:axId val="477868111"/>
      </c:scatterChart>
      <c:valAx>
        <c:axId val="47786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68111"/>
        <c:crosses val="autoZero"/>
        <c:crossBetween val="midCat"/>
      </c:valAx>
      <c:valAx>
        <c:axId val="4778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6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 vs Discount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Analysis'!$D$30</c:f>
              <c:strCache>
                <c:ptCount val="1"/>
                <c:pt idx="0">
                  <c:v>Max 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Analysis'!$C$31:$C$40</c:f>
              <c:numCache>
                <c:formatCode>0%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'Sensitivity Analysis'!$D$31:$D$40</c:f>
              <c:numCache>
                <c:formatCode>_("$"* #,##0.00_);_("$"* \(#,##0.00\);_("$"* "-"??_);_(@_)</c:formatCode>
                <c:ptCount val="10"/>
                <c:pt idx="0">
                  <c:v>12.158459389627014</c:v>
                </c:pt>
                <c:pt idx="1">
                  <c:v>10.233101563138435</c:v>
                </c:pt>
                <c:pt idx="2">
                  <c:v>8.7930289062309743</c:v>
                </c:pt>
                <c:pt idx="3">
                  <c:v>7.6966610704928264</c:v>
                </c:pt>
                <c:pt idx="4">
                  <c:v>6.8471087672670876</c:v>
                </c:pt>
                <c:pt idx="5">
                  <c:v>6.177551193804133</c:v>
                </c:pt>
                <c:pt idx="6">
                  <c:v>5.6413582545009255</c:v>
                </c:pt>
                <c:pt idx="7">
                  <c:v>5.2055416244293209</c:v>
                </c:pt>
                <c:pt idx="8">
                  <c:v>4.8464252016287013</c:v>
                </c:pt>
                <c:pt idx="9">
                  <c:v>4.5467683892955773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E3-49A2-A4B7-A77E1B699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105423"/>
        <c:axId val="1212106383"/>
      </c:scatterChart>
      <c:valAx>
        <c:axId val="121210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06383"/>
        <c:crosses val="autoZero"/>
        <c:crossBetween val="midCat"/>
      </c:valAx>
      <c:valAx>
        <c:axId val="121210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0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 vs RP share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'Sensitivity Analysis'!$T$37</c:f>
              <c:strCache>
                <c:ptCount val="1"/>
                <c:pt idx="0">
                  <c:v>Max 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Analysis'!$S$38:$S$51</c:f>
              <c:numCache>
                <c:formatCode>0%</c:formatCode>
                <c:ptCount val="14"/>
                <c:pt idx="0">
                  <c:v>0.85</c:v>
                </c:pt>
                <c:pt idx="1">
                  <c:v>0.86</c:v>
                </c:pt>
                <c:pt idx="2">
                  <c:v>0.87</c:v>
                </c:pt>
                <c:pt idx="3">
                  <c:v>0.88</c:v>
                </c:pt>
                <c:pt idx="4">
                  <c:v>0.89</c:v>
                </c:pt>
                <c:pt idx="5">
                  <c:v>0.9</c:v>
                </c:pt>
                <c:pt idx="6">
                  <c:v>0.91</c:v>
                </c:pt>
                <c:pt idx="7">
                  <c:v>0.92</c:v>
                </c:pt>
                <c:pt idx="8">
                  <c:v>0.93</c:v>
                </c:pt>
                <c:pt idx="9">
                  <c:v>0.94</c:v>
                </c:pt>
                <c:pt idx="10">
                  <c:v>0.95</c:v>
                </c:pt>
                <c:pt idx="11">
                  <c:v>0.96</c:v>
                </c:pt>
                <c:pt idx="12">
                  <c:v>0.97</c:v>
                </c:pt>
                <c:pt idx="13">
                  <c:v>0.98</c:v>
                </c:pt>
              </c:numCache>
            </c:numRef>
          </c:xVal>
          <c:yVal>
            <c:numRef>
              <c:f>'Sensitivity Analysis'!$T$38:$T$51</c:f>
              <c:numCache>
                <c:formatCode>_("$"* #,##0.00_);_("$"* \(#,##0.00\);_("$"* "-"??_);_(@_)</c:formatCode>
                <c:ptCount val="14"/>
                <c:pt idx="0">
                  <c:v>32.877567022006247</c:v>
                </c:pt>
                <c:pt idx="1">
                  <c:v>31.068471171329776</c:v>
                </c:pt>
                <c:pt idx="2">
                  <c:v>29.218000920216607</c:v>
                </c:pt>
                <c:pt idx="3">
                  <c:v>27.32367472002289</c:v>
                </c:pt>
                <c:pt idx="4">
                  <c:v>25.382820018603589</c:v>
                </c:pt>
                <c:pt idx="5">
                  <c:v>23.392565334944138</c:v>
                </c:pt>
                <c:pt idx="6">
                  <c:v>21.349834628485446</c:v>
                </c:pt>
                <c:pt idx="7">
                  <c:v>19.251344722806497</c:v>
                </c:pt>
                <c:pt idx="8">
                  <c:v>17.093606632046292</c:v>
                </c:pt>
                <c:pt idx="9">
                  <c:v>14.872931707668165</c:v>
                </c:pt>
                <c:pt idx="10">
                  <c:v>12.585443560490425</c:v>
                </c:pt>
                <c:pt idx="11">
                  <c:v>10.935148456403384</c:v>
                </c:pt>
                <c:pt idx="12">
                  <c:v>10.935148456403384</c:v>
                </c:pt>
                <c:pt idx="13">
                  <c:v>10.935148456403384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A2-4D13-B88B-9495A3688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509600"/>
        <c:axId val="581510080"/>
      </c:scatterChart>
      <c:valAx>
        <c:axId val="58150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10080"/>
        <c:crosses val="autoZero"/>
        <c:crossBetween val="midCat"/>
      </c:valAx>
      <c:valAx>
        <c:axId val="5815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0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6</xdr:row>
      <xdr:rowOff>152400</xdr:rowOff>
    </xdr:from>
    <xdr:to>
      <xdr:col>10</xdr:col>
      <xdr:colOff>314325</xdr:colOff>
      <xdr:row>11</xdr:row>
      <xdr:rowOff>152400</xdr:rowOff>
    </xdr:to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4048125" y="1257300"/>
          <a:ext cx="1924050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230980</xdr:colOff>
      <xdr:row>31</xdr:row>
      <xdr:rowOff>14288</xdr:rowOff>
    </xdr:from>
    <xdr:to>
      <xdr:col>23</xdr:col>
      <xdr:colOff>307180</xdr:colOff>
      <xdr:row>48</xdr:row>
      <xdr:rowOff>4763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3A3357-3582-D9FA-CE8F-A1524B8EA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531018</xdr:colOff>
      <xdr:row>30</xdr:row>
      <xdr:rowOff>128587</xdr:rowOff>
    </xdr:from>
    <xdr:to>
      <xdr:col>14</xdr:col>
      <xdr:colOff>516730</xdr:colOff>
      <xdr:row>47</xdr:row>
      <xdr:rowOff>119062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BE736E-C0FF-3B4C-6458-507C4F30E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254794</xdr:colOff>
      <xdr:row>30</xdr:row>
      <xdr:rowOff>157162</xdr:rowOff>
    </xdr:from>
    <xdr:to>
      <xdr:col>6</xdr:col>
      <xdr:colOff>178594</xdr:colOff>
      <xdr:row>47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FAF96A7-B21E-133E-A43A-4EC6DB4F1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588168</xdr:colOff>
      <xdr:row>31</xdr:row>
      <xdr:rowOff>76199</xdr:rowOff>
    </xdr:from>
    <xdr:to>
      <xdr:col>31</xdr:col>
      <xdr:colOff>511968</xdr:colOff>
      <xdr:row>48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55888-8175-57CC-3898-A2C772BD3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556260</xdr:colOff>
      <xdr:row>2</xdr:row>
      <xdr:rowOff>41910</xdr:rowOff>
    </xdr:from>
    <xdr:to>
      <xdr:col>15</xdr:col>
      <xdr:colOff>251460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CA0146-B266-8AA0-F3BB-05CDFBEC4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274320</xdr:colOff>
      <xdr:row>15</xdr:row>
      <xdr:rowOff>140970</xdr:rowOff>
    </xdr:from>
    <xdr:to>
      <xdr:col>23</xdr:col>
      <xdr:colOff>160020</xdr:colOff>
      <xdr:row>32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729D8-D19A-BF09-C1D7-F8E3DBCB4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25</xdr:row>
      <xdr:rowOff>49530</xdr:rowOff>
    </xdr:from>
    <xdr:to>
      <xdr:col>15</xdr:col>
      <xdr:colOff>304800</xdr:colOff>
      <xdr:row>41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EE2B4-3C56-9476-87B8-B04C86437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525780</xdr:colOff>
      <xdr:row>46</xdr:row>
      <xdr:rowOff>19050</xdr:rowOff>
    </xdr:from>
    <xdr:to>
      <xdr:col>16</xdr:col>
      <xdr:colOff>220980</xdr:colOff>
      <xdr:row>62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CABE16-B809-C1DC-410C-976E52C57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714375</xdr:colOff>
      <xdr:row>6</xdr:row>
      <xdr:rowOff>152400</xdr:rowOff>
    </xdr:from>
    <xdr:to>
      <xdr:col>51</xdr:col>
      <xdr:colOff>314325</xdr:colOff>
      <xdr:row>11</xdr:row>
      <xdr:rowOff>152400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53CE7C59-546E-4B25-A630-BA5A80C35C10}"/>
            </a:ext>
          </a:extLst>
        </xdr:cNvPr>
        <xdr:cNvSpPr txBox="1">
          <a:spLocks noChangeArrowheads="1"/>
        </xdr:cNvSpPr>
      </xdr:nvSpPr>
      <xdr:spPr bwMode="auto">
        <a:xfrm>
          <a:off x="4166235" y="1257300"/>
          <a:ext cx="199263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70</xdr:col>
      <xdr:colOff>714375</xdr:colOff>
      <xdr:row>6</xdr:row>
      <xdr:rowOff>152400</xdr:rowOff>
    </xdr:from>
    <xdr:to>
      <xdr:col>73</xdr:col>
      <xdr:colOff>314325</xdr:colOff>
      <xdr:row>11</xdr:row>
      <xdr:rowOff>152400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5B0E468F-94D7-4B5A-89A1-3CF6E4627F88}"/>
            </a:ext>
          </a:extLst>
        </xdr:cNvPr>
        <xdr:cNvSpPr txBox="1">
          <a:spLocks noChangeArrowheads="1"/>
        </xdr:cNvSpPr>
      </xdr:nvSpPr>
      <xdr:spPr bwMode="auto">
        <a:xfrm>
          <a:off x="4166235" y="1257300"/>
          <a:ext cx="199263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26</xdr:col>
      <xdr:colOff>714375</xdr:colOff>
      <xdr:row>6</xdr:row>
      <xdr:rowOff>152400</xdr:rowOff>
    </xdr:from>
    <xdr:to>
      <xdr:col>29</xdr:col>
      <xdr:colOff>314325</xdr:colOff>
      <xdr:row>11</xdr:row>
      <xdr:rowOff>152400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D7EDB6A3-C8D8-47BD-B438-EC42B256ACAF}"/>
            </a:ext>
          </a:extLst>
        </xdr:cNvPr>
        <xdr:cNvSpPr txBox="1">
          <a:spLocks noChangeArrowheads="1"/>
        </xdr:cNvSpPr>
      </xdr:nvSpPr>
      <xdr:spPr bwMode="auto">
        <a:xfrm>
          <a:off x="4166235" y="1257300"/>
          <a:ext cx="199263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26</xdr:col>
      <xdr:colOff>714375</xdr:colOff>
      <xdr:row>107</xdr:row>
      <xdr:rowOff>152400</xdr:rowOff>
    </xdr:from>
    <xdr:to>
      <xdr:col>29</xdr:col>
      <xdr:colOff>314325</xdr:colOff>
      <xdr:row>112</xdr:row>
      <xdr:rowOff>152400</xdr:rowOff>
    </xdr:to>
    <xdr:sp macro="" textlink="">
      <xdr:nvSpPr>
        <xdr:cNvPr id="5" name="Text 1">
          <a:extLst>
            <a:ext uri="{FF2B5EF4-FFF2-40B4-BE49-F238E27FC236}">
              <a16:creationId xmlns:a16="http://schemas.microsoft.com/office/drawing/2014/main" id="{BBA63646-8F47-4940-BC51-220F204D71D5}"/>
            </a:ext>
          </a:extLst>
        </xdr:cNvPr>
        <xdr:cNvSpPr txBox="1">
          <a:spLocks noChangeArrowheads="1"/>
        </xdr:cNvSpPr>
      </xdr:nvSpPr>
      <xdr:spPr bwMode="auto">
        <a:xfrm>
          <a:off x="4166235" y="1165860"/>
          <a:ext cx="199263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47</xdr:col>
      <xdr:colOff>714375</xdr:colOff>
      <xdr:row>183</xdr:row>
      <xdr:rowOff>152400</xdr:rowOff>
    </xdr:from>
    <xdr:to>
      <xdr:col>50</xdr:col>
      <xdr:colOff>314325</xdr:colOff>
      <xdr:row>188</xdr:row>
      <xdr:rowOff>152400</xdr:rowOff>
    </xdr:to>
    <xdr:sp macro="" textlink="">
      <xdr:nvSpPr>
        <xdr:cNvPr id="6" name="Text 1">
          <a:extLst>
            <a:ext uri="{FF2B5EF4-FFF2-40B4-BE49-F238E27FC236}">
              <a16:creationId xmlns:a16="http://schemas.microsoft.com/office/drawing/2014/main" id="{76EBE4FC-6F92-4AB5-81FD-6CBE691DA034}"/>
            </a:ext>
          </a:extLst>
        </xdr:cNvPr>
        <xdr:cNvSpPr txBox="1">
          <a:spLocks noChangeArrowheads="1"/>
        </xdr:cNvSpPr>
      </xdr:nvSpPr>
      <xdr:spPr bwMode="auto">
        <a:xfrm>
          <a:off x="35644455" y="1158240"/>
          <a:ext cx="195453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69</xdr:col>
      <xdr:colOff>714375</xdr:colOff>
      <xdr:row>183</xdr:row>
      <xdr:rowOff>152400</xdr:rowOff>
    </xdr:from>
    <xdr:to>
      <xdr:col>72</xdr:col>
      <xdr:colOff>314325</xdr:colOff>
      <xdr:row>188</xdr:row>
      <xdr:rowOff>152400</xdr:rowOff>
    </xdr:to>
    <xdr:sp macro="" textlink="">
      <xdr:nvSpPr>
        <xdr:cNvPr id="7" name="Text 1">
          <a:extLst>
            <a:ext uri="{FF2B5EF4-FFF2-40B4-BE49-F238E27FC236}">
              <a16:creationId xmlns:a16="http://schemas.microsoft.com/office/drawing/2014/main" id="{D8AFCA9C-56EE-4532-8243-7AF3ED6AF370}"/>
            </a:ext>
          </a:extLst>
        </xdr:cNvPr>
        <xdr:cNvSpPr txBox="1">
          <a:spLocks noChangeArrowheads="1"/>
        </xdr:cNvSpPr>
      </xdr:nvSpPr>
      <xdr:spPr bwMode="auto">
        <a:xfrm>
          <a:off x="52911375" y="1158240"/>
          <a:ext cx="195453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25</xdr:col>
      <xdr:colOff>714375</xdr:colOff>
      <xdr:row>183</xdr:row>
      <xdr:rowOff>152400</xdr:rowOff>
    </xdr:from>
    <xdr:to>
      <xdr:col>28</xdr:col>
      <xdr:colOff>314325</xdr:colOff>
      <xdr:row>188</xdr:row>
      <xdr:rowOff>152400</xdr:rowOff>
    </xdr:to>
    <xdr:sp macro="" textlink="">
      <xdr:nvSpPr>
        <xdr:cNvPr id="8" name="Text 1">
          <a:extLst>
            <a:ext uri="{FF2B5EF4-FFF2-40B4-BE49-F238E27FC236}">
              <a16:creationId xmlns:a16="http://schemas.microsoft.com/office/drawing/2014/main" id="{7D666B97-BBD4-4AFC-A958-E6724DCA71C0}"/>
            </a:ext>
          </a:extLst>
        </xdr:cNvPr>
        <xdr:cNvSpPr txBox="1">
          <a:spLocks noChangeArrowheads="1"/>
        </xdr:cNvSpPr>
      </xdr:nvSpPr>
      <xdr:spPr bwMode="auto">
        <a:xfrm>
          <a:off x="19939635" y="1158240"/>
          <a:ext cx="167259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25</xdr:col>
      <xdr:colOff>714375</xdr:colOff>
      <xdr:row>284</xdr:row>
      <xdr:rowOff>152400</xdr:rowOff>
    </xdr:from>
    <xdr:to>
      <xdr:col>28</xdr:col>
      <xdr:colOff>314325</xdr:colOff>
      <xdr:row>289</xdr:row>
      <xdr:rowOff>152400</xdr:rowOff>
    </xdr:to>
    <xdr:sp macro="" textlink="">
      <xdr:nvSpPr>
        <xdr:cNvPr id="9" name="Text 1">
          <a:extLst>
            <a:ext uri="{FF2B5EF4-FFF2-40B4-BE49-F238E27FC236}">
              <a16:creationId xmlns:a16="http://schemas.microsoft.com/office/drawing/2014/main" id="{8E0D53F9-7FB9-491E-9CE6-EDB20BF143C0}"/>
            </a:ext>
          </a:extLst>
        </xdr:cNvPr>
        <xdr:cNvSpPr txBox="1">
          <a:spLocks noChangeArrowheads="1"/>
        </xdr:cNvSpPr>
      </xdr:nvSpPr>
      <xdr:spPr bwMode="auto">
        <a:xfrm>
          <a:off x="19939635" y="18143220"/>
          <a:ext cx="167259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714375</xdr:colOff>
      <xdr:row>6</xdr:row>
      <xdr:rowOff>152400</xdr:rowOff>
    </xdr:from>
    <xdr:to>
      <xdr:col>51</xdr:col>
      <xdr:colOff>314325</xdr:colOff>
      <xdr:row>11</xdr:row>
      <xdr:rowOff>152400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F7F2A8E-AAFA-448E-AAD7-835F44A993D9}"/>
            </a:ext>
          </a:extLst>
        </xdr:cNvPr>
        <xdr:cNvSpPr txBox="1">
          <a:spLocks noChangeArrowheads="1"/>
        </xdr:cNvSpPr>
      </xdr:nvSpPr>
      <xdr:spPr bwMode="auto">
        <a:xfrm>
          <a:off x="37033200" y="1233488"/>
          <a:ext cx="2043113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70</xdr:col>
      <xdr:colOff>714375</xdr:colOff>
      <xdr:row>6</xdr:row>
      <xdr:rowOff>152400</xdr:rowOff>
    </xdr:from>
    <xdr:to>
      <xdr:col>73</xdr:col>
      <xdr:colOff>314325</xdr:colOff>
      <xdr:row>11</xdr:row>
      <xdr:rowOff>152400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5597D85B-B85B-4BCE-906B-9B896A717C6A}"/>
            </a:ext>
          </a:extLst>
        </xdr:cNvPr>
        <xdr:cNvSpPr txBox="1">
          <a:spLocks noChangeArrowheads="1"/>
        </xdr:cNvSpPr>
      </xdr:nvSpPr>
      <xdr:spPr bwMode="auto">
        <a:xfrm>
          <a:off x="54949725" y="1233488"/>
          <a:ext cx="2043113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26</xdr:col>
      <xdr:colOff>714375</xdr:colOff>
      <xdr:row>6</xdr:row>
      <xdr:rowOff>152400</xdr:rowOff>
    </xdr:from>
    <xdr:to>
      <xdr:col>29</xdr:col>
      <xdr:colOff>314325</xdr:colOff>
      <xdr:row>11</xdr:row>
      <xdr:rowOff>152400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2E0F14D9-88C0-4BBD-A42A-BB536CD1EBC2}"/>
            </a:ext>
          </a:extLst>
        </xdr:cNvPr>
        <xdr:cNvSpPr txBox="1">
          <a:spLocks noChangeArrowheads="1"/>
        </xdr:cNvSpPr>
      </xdr:nvSpPr>
      <xdr:spPr bwMode="auto">
        <a:xfrm>
          <a:off x="20750213" y="1233488"/>
          <a:ext cx="1724025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26</xdr:col>
      <xdr:colOff>714375</xdr:colOff>
      <xdr:row>107</xdr:row>
      <xdr:rowOff>152400</xdr:rowOff>
    </xdr:from>
    <xdr:to>
      <xdr:col>29</xdr:col>
      <xdr:colOff>314325</xdr:colOff>
      <xdr:row>112</xdr:row>
      <xdr:rowOff>152400</xdr:rowOff>
    </xdr:to>
    <xdr:sp macro="" textlink="">
      <xdr:nvSpPr>
        <xdr:cNvPr id="5" name="Text 1">
          <a:extLst>
            <a:ext uri="{FF2B5EF4-FFF2-40B4-BE49-F238E27FC236}">
              <a16:creationId xmlns:a16="http://schemas.microsoft.com/office/drawing/2014/main" id="{8B84ACB7-805B-4C22-9A8D-067DCB9A1A5F}"/>
            </a:ext>
          </a:extLst>
        </xdr:cNvPr>
        <xdr:cNvSpPr txBox="1">
          <a:spLocks noChangeArrowheads="1"/>
        </xdr:cNvSpPr>
      </xdr:nvSpPr>
      <xdr:spPr bwMode="auto">
        <a:xfrm>
          <a:off x="20750213" y="18902363"/>
          <a:ext cx="1724025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47</xdr:col>
      <xdr:colOff>714375</xdr:colOff>
      <xdr:row>183</xdr:row>
      <xdr:rowOff>152400</xdr:rowOff>
    </xdr:from>
    <xdr:to>
      <xdr:col>50</xdr:col>
      <xdr:colOff>314325</xdr:colOff>
      <xdr:row>188</xdr:row>
      <xdr:rowOff>152400</xdr:rowOff>
    </xdr:to>
    <xdr:sp macro="" textlink="">
      <xdr:nvSpPr>
        <xdr:cNvPr id="6" name="Text 1">
          <a:extLst>
            <a:ext uri="{FF2B5EF4-FFF2-40B4-BE49-F238E27FC236}">
              <a16:creationId xmlns:a16="http://schemas.microsoft.com/office/drawing/2014/main" id="{564067CF-A33E-4367-8209-C01D246A41D3}"/>
            </a:ext>
          </a:extLst>
        </xdr:cNvPr>
        <xdr:cNvSpPr txBox="1">
          <a:spLocks noChangeArrowheads="1"/>
        </xdr:cNvSpPr>
      </xdr:nvSpPr>
      <xdr:spPr bwMode="auto">
        <a:xfrm>
          <a:off x="36218813" y="32456438"/>
          <a:ext cx="2043112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69</xdr:col>
      <xdr:colOff>714375</xdr:colOff>
      <xdr:row>183</xdr:row>
      <xdr:rowOff>152400</xdr:rowOff>
    </xdr:from>
    <xdr:to>
      <xdr:col>72</xdr:col>
      <xdr:colOff>314325</xdr:colOff>
      <xdr:row>188</xdr:row>
      <xdr:rowOff>152400</xdr:rowOff>
    </xdr:to>
    <xdr:sp macro="" textlink="">
      <xdr:nvSpPr>
        <xdr:cNvPr id="7" name="Text 1">
          <a:extLst>
            <a:ext uri="{FF2B5EF4-FFF2-40B4-BE49-F238E27FC236}">
              <a16:creationId xmlns:a16="http://schemas.microsoft.com/office/drawing/2014/main" id="{7B90069E-7120-4DB4-8C71-B1A1FBFDE041}"/>
            </a:ext>
          </a:extLst>
        </xdr:cNvPr>
        <xdr:cNvSpPr txBox="1">
          <a:spLocks noChangeArrowheads="1"/>
        </xdr:cNvSpPr>
      </xdr:nvSpPr>
      <xdr:spPr bwMode="auto">
        <a:xfrm>
          <a:off x="54135338" y="32456438"/>
          <a:ext cx="2043112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25</xdr:col>
      <xdr:colOff>714375</xdr:colOff>
      <xdr:row>183</xdr:row>
      <xdr:rowOff>152400</xdr:rowOff>
    </xdr:from>
    <xdr:to>
      <xdr:col>28</xdr:col>
      <xdr:colOff>314325</xdr:colOff>
      <xdr:row>188</xdr:row>
      <xdr:rowOff>152400</xdr:rowOff>
    </xdr:to>
    <xdr:sp macro="" textlink="">
      <xdr:nvSpPr>
        <xdr:cNvPr id="8" name="Text 1">
          <a:extLst>
            <a:ext uri="{FF2B5EF4-FFF2-40B4-BE49-F238E27FC236}">
              <a16:creationId xmlns:a16="http://schemas.microsoft.com/office/drawing/2014/main" id="{61DEAAAA-6141-4742-981B-758348EEBD4F}"/>
            </a:ext>
          </a:extLst>
        </xdr:cNvPr>
        <xdr:cNvSpPr txBox="1">
          <a:spLocks noChangeArrowheads="1"/>
        </xdr:cNvSpPr>
      </xdr:nvSpPr>
      <xdr:spPr bwMode="auto">
        <a:xfrm>
          <a:off x="20045363" y="32456438"/>
          <a:ext cx="1724025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25</xdr:col>
      <xdr:colOff>714375</xdr:colOff>
      <xdr:row>284</xdr:row>
      <xdr:rowOff>152400</xdr:rowOff>
    </xdr:from>
    <xdr:to>
      <xdr:col>28</xdr:col>
      <xdr:colOff>314325</xdr:colOff>
      <xdr:row>289</xdr:row>
      <xdr:rowOff>152400</xdr:rowOff>
    </xdr:to>
    <xdr:sp macro="" textlink="">
      <xdr:nvSpPr>
        <xdr:cNvPr id="9" name="Text 1">
          <a:extLst>
            <a:ext uri="{FF2B5EF4-FFF2-40B4-BE49-F238E27FC236}">
              <a16:creationId xmlns:a16="http://schemas.microsoft.com/office/drawing/2014/main" id="{7FE76B70-9C18-4BFF-A714-97A935A3E694}"/>
            </a:ext>
          </a:extLst>
        </xdr:cNvPr>
        <xdr:cNvSpPr txBox="1">
          <a:spLocks noChangeArrowheads="1"/>
        </xdr:cNvSpPr>
      </xdr:nvSpPr>
      <xdr:spPr bwMode="auto">
        <a:xfrm>
          <a:off x="20045363" y="50272950"/>
          <a:ext cx="1724025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714375</xdr:colOff>
      <xdr:row>6</xdr:row>
      <xdr:rowOff>152400</xdr:rowOff>
    </xdr:from>
    <xdr:to>
      <xdr:col>51</xdr:col>
      <xdr:colOff>314325</xdr:colOff>
      <xdr:row>11</xdr:row>
      <xdr:rowOff>152400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B02C6595-B537-4A92-A4E6-890FA26E6E16}"/>
            </a:ext>
          </a:extLst>
        </xdr:cNvPr>
        <xdr:cNvSpPr txBox="1">
          <a:spLocks noChangeArrowheads="1"/>
        </xdr:cNvSpPr>
      </xdr:nvSpPr>
      <xdr:spPr bwMode="auto">
        <a:xfrm>
          <a:off x="37033200" y="1233488"/>
          <a:ext cx="2043113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70</xdr:col>
      <xdr:colOff>714375</xdr:colOff>
      <xdr:row>6</xdr:row>
      <xdr:rowOff>152400</xdr:rowOff>
    </xdr:from>
    <xdr:to>
      <xdr:col>73</xdr:col>
      <xdr:colOff>314325</xdr:colOff>
      <xdr:row>11</xdr:row>
      <xdr:rowOff>152400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494A3209-2B66-48BD-BB2F-7A36D4ED1BC5}"/>
            </a:ext>
          </a:extLst>
        </xdr:cNvPr>
        <xdr:cNvSpPr txBox="1">
          <a:spLocks noChangeArrowheads="1"/>
        </xdr:cNvSpPr>
      </xdr:nvSpPr>
      <xdr:spPr bwMode="auto">
        <a:xfrm>
          <a:off x="54949725" y="1233488"/>
          <a:ext cx="2043113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26</xdr:col>
      <xdr:colOff>714375</xdr:colOff>
      <xdr:row>6</xdr:row>
      <xdr:rowOff>152400</xdr:rowOff>
    </xdr:from>
    <xdr:to>
      <xdr:col>29</xdr:col>
      <xdr:colOff>314325</xdr:colOff>
      <xdr:row>11</xdr:row>
      <xdr:rowOff>152400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67091019-FAEB-434F-803C-15D0504CB412}"/>
            </a:ext>
          </a:extLst>
        </xdr:cNvPr>
        <xdr:cNvSpPr txBox="1">
          <a:spLocks noChangeArrowheads="1"/>
        </xdr:cNvSpPr>
      </xdr:nvSpPr>
      <xdr:spPr bwMode="auto">
        <a:xfrm>
          <a:off x="20750213" y="1233488"/>
          <a:ext cx="1724025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26</xdr:col>
      <xdr:colOff>714375</xdr:colOff>
      <xdr:row>107</xdr:row>
      <xdr:rowOff>152400</xdr:rowOff>
    </xdr:from>
    <xdr:to>
      <xdr:col>29</xdr:col>
      <xdr:colOff>314325</xdr:colOff>
      <xdr:row>112</xdr:row>
      <xdr:rowOff>152400</xdr:rowOff>
    </xdr:to>
    <xdr:sp macro="" textlink="">
      <xdr:nvSpPr>
        <xdr:cNvPr id="5" name="Text 1">
          <a:extLst>
            <a:ext uri="{FF2B5EF4-FFF2-40B4-BE49-F238E27FC236}">
              <a16:creationId xmlns:a16="http://schemas.microsoft.com/office/drawing/2014/main" id="{DDAE924B-B946-4FED-9E08-CA370FF174D7}"/>
            </a:ext>
          </a:extLst>
        </xdr:cNvPr>
        <xdr:cNvSpPr txBox="1">
          <a:spLocks noChangeArrowheads="1"/>
        </xdr:cNvSpPr>
      </xdr:nvSpPr>
      <xdr:spPr bwMode="auto">
        <a:xfrm>
          <a:off x="20750213" y="18902363"/>
          <a:ext cx="1724025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47</xdr:col>
      <xdr:colOff>714375</xdr:colOff>
      <xdr:row>183</xdr:row>
      <xdr:rowOff>152400</xdr:rowOff>
    </xdr:from>
    <xdr:to>
      <xdr:col>50</xdr:col>
      <xdr:colOff>314325</xdr:colOff>
      <xdr:row>188</xdr:row>
      <xdr:rowOff>152400</xdr:rowOff>
    </xdr:to>
    <xdr:sp macro="" textlink="">
      <xdr:nvSpPr>
        <xdr:cNvPr id="6" name="Text 1">
          <a:extLst>
            <a:ext uri="{FF2B5EF4-FFF2-40B4-BE49-F238E27FC236}">
              <a16:creationId xmlns:a16="http://schemas.microsoft.com/office/drawing/2014/main" id="{6D56A6AE-3635-45B1-8CB8-CDDC06B48BFF}"/>
            </a:ext>
          </a:extLst>
        </xdr:cNvPr>
        <xdr:cNvSpPr txBox="1">
          <a:spLocks noChangeArrowheads="1"/>
        </xdr:cNvSpPr>
      </xdr:nvSpPr>
      <xdr:spPr bwMode="auto">
        <a:xfrm>
          <a:off x="36218813" y="32456438"/>
          <a:ext cx="2043112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69</xdr:col>
      <xdr:colOff>714375</xdr:colOff>
      <xdr:row>183</xdr:row>
      <xdr:rowOff>152400</xdr:rowOff>
    </xdr:from>
    <xdr:to>
      <xdr:col>72</xdr:col>
      <xdr:colOff>314325</xdr:colOff>
      <xdr:row>188</xdr:row>
      <xdr:rowOff>152400</xdr:rowOff>
    </xdr:to>
    <xdr:sp macro="" textlink="">
      <xdr:nvSpPr>
        <xdr:cNvPr id="7" name="Text 1">
          <a:extLst>
            <a:ext uri="{FF2B5EF4-FFF2-40B4-BE49-F238E27FC236}">
              <a16:creationId xmlns:a16="http://schemas.microsoft.com/office/drawing/2014/main" id="{3639F695-0747-4361-BEF4-0475DFBBF05B}"/>
            </a:ext>
          </a:extLst>
        </xdr:cNvPr>
        <xdr:cNvSpPr txBox="1">
          <a:spLocks noChangeArrowheads="1"/>
        </xdr:cNvSpPr>
      </xdr:nvSpPr>
      <xdr:spPr bwMode="auto">
        <a:xfrm>
          <a:off x="54135338" y="32456438"/>
          <a:ext cx="2043112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25</xdr:col>
      <xdr:colOff>714375</xdr:colOff>
      <xdr:row>183</xdr:row>
      <xdr:rowOff>152400</xdr:rowOff>
    </xdr:from>
    <xdr:to>
      <xdr:col>28</xdr:col>
      <xdr:colOff>314325</xdr:colOff>
      <xdr:row>188</xdr:row>
      <xdr:rowOff>152400</xdr:rowOff>
    </xdr:to>
    <xdr:sp macro="" textlink="">
      <xdr:nvSpPr>
        <xdr:cNvPr id="8" name="Text 1">
          <a:extLst>
            <a:ext uri="{FF2B5EF4-FFF2-40B4-BE49-F238E27FC236}">
              <a16:creationId xmlns:a16="http://schemas.microsoft.com/office/drawing/2014/main" id="{5EED2B30-3839-4465-99F3-1B8478AC2EFE}"/>
            </a:ext>
          </a:extLst>
        </xdr:cNvPr>
        <xdr:cNvSpPr txBox="1">
          <a:spLocks noChangeArrowheads="1"/>
        </xdr:cNvSpPr>
      </xdr:nvSpPr>
      <xdr:spPr bwMode="auto">
        <a:xfrm>
          <a:off x="20045363" y="32456438"/>
          <a:ext cx="1724025" cy="8143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  <xdr:twoCellAnchor>
    <xdr:from>
      <xdr:col>25</xdr:col>
      <xdr:colOff>714375</xdr:colOff>
      <xdr:row>284</xdr:row>
      <xdr:rowOff>152400</xdr:rowOff>
    </xdr:from>
    <xdr:to>
      <xdr:col>28</xdr:col>
      <xdr:colOff>314325</xdr:colOff>
      <xdr:row>289</xdr:row>
      <xdr:rowOff>152400</xdr:rowOff>
    </xdr:to>
    <xdr:sp macro="" textlink="">
      <xdr:nvSpPr>
        <xdr:cNvPr id="9" name="Text 1">
          <a:extLst>
            <a:ext uri="{FF2B5EF4-FFF2-40B4-BE49-F238E27FC236}">
              <a16:creationId xmlns:a16="http://schemas.microsoft.com/office/drawing/2014/main" id="{2EFC4358-7DAD-41D6-B5B8-1D4AB935E2AB}"/>
            </a:ext>
          </a:extLst>
        </xdr:cNvPr>
        <xdr:cNvSpPr txBox="1">
          <a:spLocks noChangeArrowheads="1"/>
        </xdr:cNvSpPr>
      </xdr:nvSpPr>
      <xdr:spPr bwMode="auto">
        <a:xfrm>
          <a:off x="20045363" y="50272950"/>
          <a:ext cx="1724025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D4"/>
              </a:solidFill>
              <a:latin typeface="Arial"/>
              <a:cs typeface="Arial"/>
            </a:rPr>
            <a:t>Here you can select the alternative that you want.  Just enter the appropriate number.  The cell that contains this number is called "strategy".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335"/>
  <sheetViews>
    <sheetView showGridLines="0" zoomScaleNormal="100" workbookViewId="0">
      <selection activeCell="N5" sqref="N5"/>
    </sheetView>
  </sheetViews>
  <sheetFormatPr defaultColWidth="11.46484375" defaultRowHeight="12.75" outlineLevelCol="1" x14ac:dyDescent="0.35"/>
  <cols>
    <col min="1" max="4" width="2.86328125" customWidth="1"/>
    <col min="5" max="5" width="9.86328125" customWidth="1"/>
    <col min="6" max="6" width="16" customWidth="1"/>
    <col min="7" max="7" width="12.86328125" customWidth="1" outlineLevel="1"/>
    <col min="8" max="8" width="11" customWidth="1" outlineLevel="1"/>
    <col min="9" max="9" width="9.86328125" customWidth="1" outlineLevel="1"/>
    <col min="10" max="10" width="14" customWidth="1" outlineLevel="1"/>
    <col min="11" max="11" width="9.86328125" customWidth="1" outlineLevel="1"/>
    <col min="12" max="12" width="12.1328125" customWidth="1" outlineLevel="1"/>
    <col min="13" max="41" width="9.86328125" customWidth="1"/>
  </cols>
  <sheetData>
    <row r="1" spans="1:41" ht="19.149999999999999" x14ac:dyDescent="0.65">
      <c r="A1" s="38" t="s">
        <v>0</v>
      </c>
    </row>
    <row r="2" spans="1:41" ht="13.15" thickBot="1" x14ac:dyDescent="0.4"/>
    <row r="3" spans="1:41" ht="15.4" x14ac:dyDescent="0.45">
      <c r="A3" s="5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5">
      <c r="A4" s="2"/>
    </row>
    <row r="5" spans="1:41" x14ac:dyDescent="0.35">
      <c r="A5" s="3"/>
      <c r="E5" s="4" t="s">
        <v>2</v>
      </c>
      <c r="F5" s="5"/>
      <c r="G5" s="5"/>
      <c r="H5" s="5"/>
      <c r="I5" s="5"/>
      <c r="J5" s="5"/>
      <c r="K5" s="6">
        <v>1</v>
      </c>
      <c r="L5" s="7" t="s">
        <v>3</v>
      </c>
    </row>
    <row r="6" spans="1:41" x14ac:dyDescent="0.35">
      <c r="E6" s="8" t="s">
        <v>4</v>
      </c>
      <c r="F6" s="9"/>
      <c r="G6" s="9"/>
      <c r="H6" s="9"/>
      <c r="I6" s="9"/>
      <c r="J6" s="9"/>
      <c r="K6" s="10" t="str">
        <f>INDEX(F9:F12,K5)</f>
        <v>No Partnership / No Expansion</v>
      </c>
      <c r="L6" s="7" t="s">
        <v>5</v>
      </c>
    </row>
    <row r="8" spans="1:41" x14ac:dyDescent="0.35">
      <c r="E8" t="s">
        <v>6</v>
      </c>
    </row>
    <row r="9" spans="1:41" x14ac:dyDescent="0.35">
      <c r="E9">
        <v>1</v>
      </c>
      <c r="F9" s="37" t="s">
        <v>7</v>
      </c>
    </row>
    <row r="10" spans="1:41" x14ac:dyDescent="0.35">
      <c r="E10">
        <v>2</v>
      </c>
      <c r="F10" s="37" t="s">
        <v>8</v>
      </c>
      <c r="M10" s="11"/>
    </row>
    <row r="11" spans="1:41" x14ac:dyDescent="0.35">
      <c r="E11">
        <v>3</v>
      </c>
      <c r="F11" s="37" t="s">
        <v>9</v>
      </c>
      <c r="M11" s="11"/>
    </row>
    <row r="12" spans="1:41" x14ac:dyDescent="0.35">
      <c r="E12">
        <v>4</v>
      </c>
      <c r="F12" s="37" t="s">
        <v>10</v>
      </c>
    </row>
    <row r="13" spans="1:41" ht="13.15" thickBot="1" x14ac:dyDescent="0.4"/>
    <row r="14" spans="1:41" ht="15.4" x14ac:dyDescent="0.45">
      <c r="A14" s="53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6" spans="1:41" s="51" customFormat="1" ht="15.4" x14ac:dyDescent="0.45">
      <c r="A16" s="49"/>
      <c r="B16" s="49" t="s">
        <v>12</v>
      </c>
      <c r="C16" s="49"/>
      <c r="D16" s="49"/>
      <c r="E16" s="49"/>
      <c r="F16" s="49"/>
      <c r="G16" s="49"/>
      <c r="H16" s="55" t="s">
        <v>13</v>
      </c>
      <c r="I16" s="55" t="s">
        <v>14</v>
      </c>
      <c r="J16" s="56" t="s">
        <v>15</v>
      </c>
      <c r="K16" s="55"/>
      <c r="L16" s="55"/>
      <c r="M16" s="55"/>
      <c r="N16" s="55"/>
      <c r="O16" s="55"/>
      <c r="P16" s="55"/>
      <c r="Q16" s="55"/>
      <c r="R16" s="55"/>
      <c r="S16" s="55"/>
      <c r="T16" s="55"/>
    </row>
    <row r="17" spans="1:41" x14ac:dyDescent="0.35">
      <c r="A17" s="2"/>
      <c r="B17" s="4"/>
      <c r="C17" s="5"/>
      <c r="D17" s="5"/>
      <c r="E17" s="5"/>
      <c r="F17" s="5"/>
      <c r="G17" s="5"/>
      <c r="H17" s="5"/>
      <c r="I17" s="5"/>
      <c r="J17" s="15"/>
      <c r="K17" s="23"/>
      <c r="L17" s="3"/>
      <c r="M17" s="3"/>
      <c r="N17" s="3"/>
      <c r="O17" s="3"/>
      <c r="P17" s="3"/>
      <c r="Q17" s="3"/>
      <c r="R17" s="3"/>
      <c r="S17" s="3"/>
      <c r="T17" s="3"/>
    </row>
    <row r="18" spans="1:41" x14ac:dyDescent="0.35">
      <c r="A18" s="24" t="s">
        <v>16</v>
      </c>
      <c r="B18" s="16" t="s">
        <v>17</v>
      </c>
      <c r="C18" s="3"/>
      <c r="D18" s="3"/>
      <c r="E18" s="3"/>
      <c r="F18" s="3"/>
      <c r="G18" s="3"/>
      <c r="H18" s="17" t="s">
        <v>18</v>
      </c>
      <c r="I18" s="27">
        <v>0.08</v>
      </c>
      <c r="J18" s="25" t="s">
        <v>19</v>
      </c>
      <c r="M18" s="26"/>
      <c r="N18" s="26"/>
      <c r="O18" s="26"/>
      <c r="P18" s="26"/>
      <c r="Q18" s="26"/>
      <c r="R18" s="26"/>
      <c r="S18" s="3"/>
      <c r="T18" s="57"/>
    </row>
    <row r="19" spans="1:41" x14ac:dyDescent="0.35">
      <c r="A19" s="24" t="s">
        <v>16</v>
      </c>
      <c r="B19" s="16" t="s">
        <v>20</v>
      </c>
      <c r="C19" s="3"/>
      <c r="D19" s="3"/>
      <c r="E19" s="3"/>
      <c r="F19" s="3"/>
      <c r="G19" s="3"/>
      <c r="H19" s="17" t="s">
        <v>18</v>
      </c>
      <c r="I19" s="91">
        <v>0.38</v>
      </c>
      <c r="J19" s="25" t="s">
        <v>21</v>
      </c>
      <c r="M19" s="26"/>
      <c r="N19" s="26"/>
      <c r="O19" s="26"/>
      <c r="P19" s="26"/>
      <c r="Q19" s="26"/>
      <c r="R19" s="26"/>
      <c r="S19" s="3"/>
      <c r="T19" s="57"/>
    </row>
    <row r="20" spans="1:41" x14ac:dyDescent="0.35">
      <c r="A20" s="24"/>
      <c r="B20" s="16" t="s">
        <v>22</v>
      </c>
      <c r="C20" s="3"/>
      <c r="D20" s="3"/>
      <c r="E20" s="3"/>
      <c r="F20" s="3"/>
      <c r="G20" s="3"/>
      <c r="H20" s="17" t="s">
        <v>18</v>
      </c>
      <c r="I20" s="91">
        <v>0.6</v>
      </c>
      <c r="J20" s="25" t="s">
        <v>23</v>
      </c>
      <c r="M20" s="26"/>
      <c r="N20" s="26"/>
      <c r="O20" s="26"/>
      <c r="P20" s="26"/>
      <c r="Q20" s="26"/>
      <c r="R20" s="26"/>
      <c r="S20" s="3"/>
      <c r="T20" s="57"/>
    </row>
    <row r="21" spans="1:41" x14ac:dyDescent="0.35">
      <c r="A21" s="24"/>
      <c r="B21" s="16" t="s">
        <v>24</v>
      </c>
      <c r="C21" s="3"/>
      <c r="D21" s="3"/>
      <c r="E21" s="3"/>
      <c r="F21" s="3"/>
      <c r="G21" s="3"/>
      <c r="H21" s="17" t="s">
        <v>18</v>
      </c>
      <c r="I21" s="28">
        <v>0.98</v>
      </c>
      <c r="J21" s="25" t="s">
        <v>25</v>
      </c>
      <c r="M21" s="40"/>
      <c r="N21" s="40"/>
      <c r="O21" s="40"/>
      <c r="P21" s="40"/>
      <c r="Q21" s="40"/>
      <c r="R21" s="40"/>
      <c r="S21" s="3"/>
      <c r="T21" s="57"/>
    </row>
    <row r="22" spans="1:41" x14ac:dyDescent="0.35">
      <c r="A22" s="24"/>
      <c r="B22" s="16"/>
      <c r="C22" s="3"/>
      <c r="D22" s="3"/>
      <c r="E22" s="3"/>
      <c r="F22" s="3"/>
      <c r="G22" s="3"/>
      <c r="H22" s="17"/>
      <c r="I22" s="40"/>
      <c r="J22" s="25"/>
      <c r="M22" s="40"/>
      <c r="N22" s="40"/>
      <c r="O22" s="40"/>
      <c r="P22" s="40"/>
      <c r="Q22" s="40"/>
      <c r="R22" s="40"/>
      <c r="S22" s="3"/>
      <c r="T22" s="57"/>
    </row>
    <row r="23" spans="1:41" x14ac:dyDescent="0.35">
      <c r="A23" s="24"/>
      <c r="B23" s="16"/>
      <c r="C23" s="3"/>
      <c r="D23" s="3"/>
      <c r="E23" s="3"/>
      <c r="F23" s="3"/>
      <c r="G23" s="3"/>
      <c r="H23" s="17"/>
      <c r="I23" s="39"/>
      <c r="J23" s="25"/>
      <c r="M23" s="39"/>
      <c r="N23" s="39"/>
      <c r="O23" s="39"/>
      <c r="P23" s="39"/>
      <c r="Q23" s="39"/>
      <c r="R23" s="39"/>
      <c r="S23" s="3"/>
      <c r="T23" s="57"/>
    </row>
    <row r="24" spans="1:41" x14ac:dyDescent="0.35">
      <c r="A24" s="24"/>
      <c r="B24" s="16"/>
      <c r="C24" s="3"/>
      <c r="D24" s="3"/>
      <c r="E24" s="3"/>
      <c r="F24" s="3"/>
      <c r="G24" s="3"/>
      <c r="H24" s="17"/>
      <c r="I24" s="39"/>
      <c r="J24" s="25"/>
      <c r="M24" s="39"/>
      <c r="N24" s="39"/>
      <c r="O24" s="39"/>
      <c r="P24" s="39"/>
      <c r="Q24" s="39"/>
      <c r="R24" s="39"/>
      <c r="S24" s="3"/>
      <c r="T24" s="57"/>
    </row>
    <row r="25" spans="1:41" x14ac:dyDescent="0.35">
      <c r="A25" s="24" t="s">
        <v>16</v>
      </c>
      <c r="B25" s="18"/>
      <c r="C25" s="19"/>
      <c r="D25" s="19"/>
      <c r="E25" s="19"/>
      <c r="F25" s="19"/>
      <c r="G25" s="19"/>
      <c r="H25" s="19"/>
      <c r="I25" s="19"/>
      <c r="J25" s="59"/>
      <c r="K25" s="23"/>
      <c r="L25" s="3"/>
      <c r="M25" s="3"/>
      <c r="N25" s="3"/>
      <c r="O25" s="3"/>
      <c r="P25" s="3"/>
      <c r="Q25" s="3"/>
      <c r="R25" s="3"/>
      <c r="S25" s="3"/>
      <c r="T25" s="57"/>
    </row>
    <row r="26" spans="1:41" ht="13.15" thickBot="1" x14ac:dyDescent="0.4">
      <c r="A26" s="24"/>
      <c r="B26" s="3"/>
      <c r="C26" s="3"/>
      <c r="D26" s="3"/>
      <c r="E26" s="3"/>
      <c r="F26" s="3"/>
      <c r="G26" s="3"/>
      <c r="H26" s="3"/>
      <c r="I26" s="3"/>
      <c r="K26" s="23"/>
      <c r="L26" s="3"/>
      <c r="M26" s="3"/>
      <c r="N26" s="3"/>
      <c r="O26" s="3"/>
      <c r="P26" s="3"/>
      <c r="Q26" s="3"/>
      <c r="R26" s="3"/>
      <c r="S26" s="3"/>
      <c r="T26" s="57"/>
    </row>
    <row r="27" spans="1:41" ht="15.4" x14ac:dyDescent="0.45">
      <c r="A27" s="53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4" x14ac:dyDescent="0.45">
      <c r="A28" s="54"/>
    </row>
    <row r="29" spans="1:41" s="51" customFormat="1" ht="15.4" x14ac:dyDescent="0.45">
      <c r="A29" s="49"/>
      <c r="B29" s="49" t="s">
        <v>12</v>
      </c>
      <c r="C29" s="49"/>
      <c r="D29" s="49"/>
      <c r="E29" s="49"/>
      <c r="F29" s="49"/>
      <c r="G29" s="49"/>
      <c r="H29" s="55" t="s">
        <v>13</v>
      </c>
      <c r="I29" s="55" t="s">
        <v>27</v>
      </c>
      <c r="J29" s="56"/>
      <c r="K29" s="55" t="s">
        <v>28</v>
      </c>
      <c r="L29" s="55" t="s">
        <v>15</v>
      </c>
      <c r="M29" s="55" t="s">
        <v>29</v>
      </c>
      <c r="N29" s="55" t="s">
        <v>30</v>
      </c>
      <c r="O29" s="55" t="s">
        <v>31</v>
      </c>
      <c r="P29" s="9"/>
      <c r="Q29"/>
      <c r="R29" s="55"/>
      <c r="S29"/>
      <c r="T29"/>
    </row>
    <row r="30" spans="1:41" x14ac:dyDescent="0.35">
      <c r="A30" s="24" t="s">
        <v>16</v>
      </c>
      <c r="B30" s="60" t="s">
        <v>32</v>
      </c>
      <c r="C30" s="5"/>
      <c r="D30" s="5"/>
      <c r="E30" s="5"/>
      <c r="F30" s="5"/>
      <c r="G30" s="5"/>
      <c r="H30" s="5"/>
      <c r="I30" s="5"/>
      <c r="J30" s="14"/>
      <c r="K30" s="21"/>
      <c r="L30" s="5"/>
      <c r="M30" s="5"/>
      <c r="N30" s="5"/>
      <c r="O30" s="5"/>
      <c r="P30" s="58"/>
      <c r="R30" s="3"/>
    </row>
    <row r="31" spans="1:41" s="45" customFormat="1" x14ac:dyDescent="0.35">
      <c r="A31" s="46" t="s">
        <v>16</v>
      </c>
      <c r="B31" s="43" t="s">
        <v>33</v>
      </c>
      <c r="C31" s="95"/>
      <c r="D31" s="95"/>
      <c r="E31" s="3"/>
      <c r="F31" s="3"/>
      <c r="G31" s="3"/>
      <c r="H31" s="17" t="s">
        <v>34</v>
      </c>
      <c r="I31" s="44">
        <v>2</v>
      </c>
      <c r="J31" s="7"/>
      <c r="K31" s="41">
        <f>INDEX(M31:O31,I31)</f>
        <v>2.5</v>
      </c>
      <c r="L31" s="7" t="s">
        <v>35</v>
      </c>
      <c r="M31" s="62">
        <v>1</v>
      </c>
      <c r="N31" s="63">
        <v>2.5</v>
      </c>
      <c r="O31" s="64">
        <v>5.5</v>
      </c>
      <c r="P31" s="58"/>
      <c r="Q31"/>
      <c r="R31" s="42"/>
      <c r="S31"/>
      <c r="T31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</row>
    <row r="32" spans="1:41" s="45" customFormat="1" x14ac:dyDescent="0.35">
      <c r="A32" s="46" t="s">
        <v>16</v>
      </c>
      <c r="B32" s="43" t="s">
        <v>36</v>
      </c>
      <c r="C32" s="95"/>
      <c r="D32" s="95"/>
      <c r="E32" s="3"/>
      <c r="F32" s="3"/>
      <c r="G32" s="3"/>
      <c r="H32" s="17" t="s">
        <v>34</v>
      </c>
      <c r="I32" s="44">
        <v>2</v>
      </c>
      <c r="J32" s="7"/>
      <c r="K32" s="41">
        <f t="shared" ref="K32:K37" si="0">INDEX(M32:O32,I32)</f>
        <v>1.6</v>
      </c>
      <c r="L32" s="7" t="s">
        <v>37</v>
      </c>
      <c r="M32" s="62">
        <v>1.3</v>
      </c>
      <c r="N32" s="63">
        <v>1.6</v>
      </c>
      <c r="O32" s="64">
        <v>1.8</v>
      </c>
      <c r="P32" s="58"/>
      <c r="Q32"/>
      <c r="R32" s="3"/>
      <c r="S32"/>
      <c r="T32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</row>
    <row r="33" spans="1:20" x14ac:dyDescent="0.35">
      <c r="A33" s="24" t="s">
        <v>16</v>
      </c>
      <c r="B33" s="43" t="s">
        <v>38</v>
      </c>
      <c r="C33" s="3"/>
      <c r="E33" s="3"/>
      <c r="F33" s="3"/>
      <c r="G33" s="3"/>
      <c r="H33" s="17" t="s">
        <v>39</v>
      </c>
      <c r="I33" s="44">
        <v>2</v>
      </c>
      <c r="J33" s="7"/>
      <c r="K33" s="84">
        <f t="shared" si="0"/>
        <v>7.0000000000000007E-2</v>
      </c>
      <c r="L33" s="7" t="s">
        <v>40</v>
      </c>
      <c r="M33" s="81">
        <v>-0.05</v>
      </c>
      <c r="N33" s="82">
        <v>7.0000000000000007E-2</v>
      </c>
      <c r="O33" s="83">
        <v>0.09</v>
      </c>
      <c r="P33" s="58"/>
      <c r="R33" s="47"/>
    </row>
    <row r="34" spans="1:20" x14ac:dyDescent="0.35">
      <c r="A34" s="24" t="s">
        <v>16</v>
      </c>
      <c r="B34" s="13" t="s">
        <v>41</v>
      </c>
      <c r="D34" s="3"/>
      <c r="E34" s="3"/>
      <c r="F34" s="3"/>
      <c r="G34" s="3"/>
      <c r="H34" s="3"/>
      <c r="I34" s="132"/>
      <c r="K34" s="40"/>
      <c r="L34" s="3"/>
      <c r="M34" s="26"/>
      <c r="N34" s="26"/>
      <c r="O34" s="26"/>
      <c r="P34" s="58"/>
      <c r="R34" s="3"/>
    </row>
    <row r="35" spans="1:20" x14ac:dyDescent="0.35">
      <c r="A35" s="24" t="s">
        <v>16</v>
      </c>
      <c r="B35" s="16" t="s">
        <v>42</v>
      </c>
      <c r="C35" s="3"/>
      <c r="D35" s="3"/>
      <c r="E35" s="3"/>
      <c r="F35" s="3"/>
      <c r="G35" s="3"/>
      <c r="H35" s="17" t="s">
        <v>43</v>
      </c>
      <c r="I35" s="44">
        <v>2</v>
      </c>
      <c r="K35" s="84">
        <f t="shared" si="0"/>
        <v>10.75</v>
      </c>
      <c r="L35" s="7" t="s">
        <v>44</v>
      </c>
      <c r="M35" s="85">
        <v>9.75</v>
      </c>
      <c r="N35" s="86">
        <v>10.75</v>
      </c>
      <c r="O35" s="87">
        <v>11.5</v>
      </c>
      <c r="P35" s="58"/>
    </row>
    <row r="36" spans="1:20" x14ac:dyDescent="0.35">
      <c r="A36" s="24" t="s">
        <v>16</v>
      </c>
      <c r="B36" s="16" t="s">
        <v>45</v>
      </c>
      <c r="D36" s="3"/>
      <c r="E36" s="3"/>
      <c r="F36" s="3"/>
      <c r="G36" s="3"/>
      <c r="H36" s="17" t="s">
        <v>43</v>
      </c>
      <c r="I36" s="44">
        <v>2</v>
      </c>
      <c r="J36" s="7"/>
      <c r="K36" s="41">
        <f t="shared" si="0"/>
        <v>9.5</v>
      </c>
      <c r="L36" s="7" t="s">
        <v>46</v>
      </c>
      <c r="M36" s="85">
        <v>9.25</v>
      </c>
      <c r="N36" s="86">
        <v>9.5</v>
      </c>
      <c r="O36" s="87">
        <v>9.75</v>
      </c>
      <c r="P36" s="58"/>
    </row>
    <row r="37" spans="1:20" x14ac:dyDescent="0.35">
      <c r="A37" s="24"/>
      <c r="B37" s="16" t="s">
        <v>47</v>
      </c>
      <c r="D37" s="3"/>
      <c r="E37" s="3"/>
      <c r="F37" s="3"/>
      <c r="G37" s="3"/>
      <c r="H37" s="17" t="s">
        <v>48</v>
      </c>
      <c r="I37" s="44">
        <v>2</v>
      </c>
      <c r="J37" s="7"/>
      <c r="K37" s="84">
        <f t="shared" si="0"/>
        <v>14.5</v>
      </c>
      <c r="L37" s="7" t="s">
        <v>49</v>
      </c>
      <c r="M37" s="88">
        <v>13</v>
      </c>
      <c r="N37" s="89">
        <v>14.5</v>
      </c>
      <c r="O37" s="90">
        <v>17</v>
      </c>
      <c r="P37" s="58"/>
    </row>
    <row r="38" spans="1:20" x14ac:dyDescent="0.35">
      <c r="B38" s="16"/>
      <c r="I38" s="66"/>
      <c r="P38" s="58"/>
    </row>
    <row r="39" spans="1:20" x14ac:dyDescent="0.35">
      <c r="A39" s="24" t="s">
        <v>16</v>
      </c>
      <c r="B39" s="22"/>
      <c r="C39" s="3"/>
      <c r="D39" s="3"/>
      <c r="E39" s="3"/>
      <c r="F39" s="3"/>
      <c r="G39" s="3"/>
      <c r="I39" s="66"/>
      <c r="P39" s="58"/>
    </row>
    <row r="40" spans="1:20" s="45" customFormat="1" x14ac:dyDescent="0.35">
      <c r="A40" s="46" t="s">
        <v>16</v>
      </c>
      <c r="B40" s="43"/>
      <c r="C40" s="95"/>
      <c r="D40" s="3"/>
      <c r="E40" s="3"/>
      <c r="F40" s="3"/>
      <c r="G40" s="3"/>
      <c r="H40" s="17"/>
      <c r="I40" s="65"/>
      <c r="J40" s="7"/>
      <c r="K40" s="42"/>
      <c r="L40" s="7"/>
      <c r="M40" s="42"/>
      <c r="N40" s="42"/>
      <c r="O40" s="42"/>
      <c r="P40" s="58"/>
      <c r="Q40"/>
      <c r="R40"/>
      <c r="S40"/>
      <c r="T40"/>
    </row>
    <row r="41" spans="1:20" x14ac:dyDescent="0.35">
      <c r="A41" s="2"/>
      <c r="B41" s="29"/>
      <c r="C41" s="19"/>
      <c r="D41" s="19"/>
      <c r="E41" s="19"/>
      <c r="F41" s="19"/>
      <c r="G41" s="19"/>
      <c r="H41" s="20"/>
      <c r="I41" s="20"/>
      <c r="J41" s="9"/>
      <c r="K41" s="30"/>
      <c r="L41" s="61"/>
      <c r="M41" s="30"/>
      <c r="N41" s="30"/>
      <c r="O41" s="30"/>
      <c r="P41" s="59"/>
      <c r="R41" s="42"/>
    </row>
    <row r="42" spans="1:20" ht="13.15" thickBot="1" x14ac:dyDescent="0.4"/>
    <row r="43" spans="1:20" ht="15.4" x14ac:dyDescent="0.45">
      <c r="A43" s="53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4" x14ac:dyDescent="0.45">
      <c r="A44" s="54"/>
    </row>
    <row r="45" spans="1:20" ht="15.4" x14ac:dyDescent="0.45">
      <c r="A45" s="54" t="str">
        <f>strategy_name</f>
        <v>No Partnership / No Expansion</v>
      </c>
    </row>
    <row r="46" spans="1:20" x14ac:dyDescent="0.35">
      <c r="A46" s="13"/>
    </row>
    <row r="47" spans="1:20" ht="15" x14ac:dyDescent="0.4">
      <c r="A47" s="51" t="s">
        <v>51</v>
      </c>
      <c r="B47" s="48"/>
      <c r="C47" s="48"/>
      <c r="G47" s="7"/>
      <c r="H47" s="52">
        <v>2026</v>
      </c>
      <c r="I47" s="52">
        <f>H47+1</f>
        <v>2027</v>
      </c>
      <c r="J47" s="52">
        <f t="shared" ref="J47:O47" si="1">I47+1</f>
        <v>2028</v>
      </c>
      <c r="K47" s="52">
        <f t="shared" si="1"/>
        <v>2029</v>
      </c>
      <c r="L47" s="52">
        <f t="shared" si="1"/>
        <v>2030</v>
      </c>
      <c r="M47" s="52">
        <f t="shared" si="1"/>
        <v>2031</v>
      </c>
      <c r="N47" s="52">
        <f t="shared" si="1"/>
        <v>2032</v>
      </c>
      <c r="O47" s="52">
        <f t="shared" si="1"/>
        <v>2033</v>
      </c>
      <c r="P47" s="52">
        <f>O47+1</f>
        <v>2034</v>
      </c>
      <c r="Q47" s="52">
        <f>P47+1</f>
        <v>2035</v>
      </c>
    </row>
    <row r="48" spans="1:20" ht="15" x14ac:dyDescent="0.4">
      <c r="A48" s="51" t="s">
        <v>52</v>
      </c>
      <c r="B48" s="48"/>
      <c r="C48" s="48"/>
      <c r="G48" s="7"/>
      <c r="H48" s="52">
        <f>H47-$H$47</f>
        <v>0</v>
      </c>
      <c r="I48" s="52">
        <f t="shared" ref="I48:Q48" si="2">I47-$H$47</f>
        <v>1</v>
      </c>
      <c r="J48" s="52">
        <f t="shared" si="2"/>
        <v>2</v>
      </c>
      <c r="K48" s="52">
        <f t="shared" si="2"/>
        <v>3</v>
      </c>
      <c r="L48" s="52">
        <f t="shared" si="2"/>
        <v>4</v>
      </c>
      <c r="M48" s="52">
        <f t="shared" si="2"/>
        <v>5</v>
      </c>
      <c r="N48" s="52">
        <f t="shared" si="2"/>
        <v>6</v>
      </c>
      <c r="O48" s="52">
        <f t="shared" si="2"/>
        <v>7</v>
      </c>
      <c r="P48" s="52">
        <f t="shared" si="2"/>
        <v>8</v>
      </c>
      <c r="Q48" s="52">
        <f t="shared" si="2"/>
        <v>9</v>
      </c>
    </row>
    <row r="49" spans="1:48" ht="15.4" x14ac:dyDescent="0.45">
      <c r="A49" s="49"/>
      <c r="B49" s="48"/>
      <c r="C49" s="48"/>
      <c r="G49" s="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8"/>
      <c r="S49" s="68"/>
      <c r="T49" s="68"/>
      <c r="U49" s="68"/>
      <c r="V49" s="68"/>
      <c r="W49" s="68"/>
    </row>
    <row r="50" spans="1:48" s="3" customFormat="1" ht="15.4" x14ac:dyDescent="0.45">
      <c r="A50" s="49" t="s">
        <v>53</v>
      </c>
      <c r="B50" s="50"/>
      <c r="C50" s="50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8"/>
      <c r="S50" s="68"/>
      <c r="T50" s="68"/>
      <c r="U50" s="68"/>
      <c r="V50" s="68"/>
      <c r="W50" s="68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ht="15" x14ac:dyDescent="0.4">
      <c r="A51" s="48"/>
      <c r="B51" s="48" t="s">
        <v>54</v>
      </c>
      <c r="C51" s="48"/>
      <c r="G51" s="11" t="s">
        <v>55</v>
      </c>
      <c r="H51" s="70">
        <f>IF(strategy&lt;3,dem_DAC,0)</f>
        <v>2.5</v>
      </c>
      <c r="I51" s="70">
        <f>H51*(1+$K$33)</f>
        <v>2.6750000000000003</v>
      </c>
      <c r="J51" s="70">
        <f t="shared" ref="J51:Q51" si="3">I51*(1+$K$33)</f>
        <v>2.8622500000000004</v>
      </c>
      <c r="K51" s="70">
        <f t="shared" si="3"/>
        <v>3.0626075000000008</v>
      </c>
      <c r="L51" s="70">
        <f t="shared" si="3"/>
        <v>3.2769900250000012</v>
      </c>
      <c r="M51" s="70">
        <f t="shared" si="3"/>
        <v>3.5063793267500016</v>
      </c>
      <c r="N51" s="70">
        <f t="shared" si="3"/>
        <v>3.7518258796225021</v>
      </c>
      <c r="O51" s="70">
        <f t="shared" si="3"/>
        <v>4.0144536911960778</v>
      </c>
      <c r="P51" s="70">
        <f t="shared" si="3"/>
        <v>4.2954654495798037</v>
      </c>
      <c r="Q51" s="70">
        <f t="shared" si="3"/>
        <v>4.5961480310503902</v>
      </c>
      <c r="R51" s="68"/>
      <c r="S51" s="68"/>
      <c r="T51" s="68"/>
      <c r="U51" s="68"/>
      <c r="V51" s="68"/>
      <c r="W51" s="68"/>
    </row>
    <row r="52" spans="1:48" ht="15" x14ac:dyDescent="0.4">
      <c r="A52" s="48"/>
      <c r="B52" s="48" t="s">
        <v>56</v>
      </c>
      <c r="C52" s="48"/>
      <c r="G52" s="11" t="s">
        <v>55</v>
      </c>
      <c r="H52" s="70">
        <f>IF(strategy&gt;2,dem_DAC*K32,0)</f>
        <v>0</v>
      </c>
      <c r="I52" s="70">
        <f>H52*(1+$K$33)</f>
        <v>0</v>
      </c>
      <c r="J52" s="70">
        <f t="shared" ref="J52:Q52" si="4">I52*(1+$K$33)</f>
        <v>0</v>
      </c>
      <c r="K52" s="70">
        <f t="shared" si="4"/>
        <v>0</v>
      </c>
      <c r="L52" s="70">
        <f t="shared" si="4"/>
        <v>0</v>
      </c>
      <c r="M52" s="70">
        <f t="shared" si="4"/>
        <v>0</v>
      </c>
      <c r="N52" s="70">
        <f t="shared" si="4"/>
        <v>0</v>
      </c>
      <c r="O52" s="70">
        <f t="shared" si="4"/>
        <v>0</v>
      </c>
      <c r="P52" s="70">
        <f t="shared" si="4"/>
        <v>0</v>
      </c>
      <c r="Q52" s="70">
        <f t="shared" si="4"/>
        <v>0</v>
      </c>
      <c r="R52" s="68"/>
      <c r="S52" s="68"/>
      <c r="T52" s="68"/>
      <c r="U52" s="68"/>
      <c r="V52" s="68"/>
      <c r="W52" s="68"/>
    </row>
    <row r="53" spans="1:48" ht="15" x14ac:dyDescent="0.4">
      <c r="A53" s="48"/>
      <c r="B53" s="48" t="s">
        <v>57</v>
      </c>
      <c r="C53" s="48"/>
      <c r="G53" s="11" t="s">
        <v>55</v>
      </c>
      <c r="H53" s="71">
        <f>IF(strategy=1,2.5,IF(OR(strategy=2,strategy=3),8.5,IF(strategy=4,0,"error")))</f>
        <v>2.5</v>
      </c>
      <c r="I53" s="71">
        <f>$H$53</f>
        <v>2.5</v>
      </c>
      <c r="J53" s="71">
        <f t="shared" ref="J53:Q53" si="5">$H$53</f>
        <v>2.5</v>
      </c>
      <c r="K53" s="71">
        <f t="shared" si="5"/>
        <v>2.5</v>
      </c>
      <c r="L53" s="71">
        <f t="shared" si="5"/>
        <v>2.5</v>
      </c>
      <c r="M53" s="71">
        <f t="shared" si="5"/>
        <v>2.5</v>
      </c>
      <c r="N53" s="71">
        <f t="shared" si="5"/>
        <v>2.5</v>
      </c>
      <c r="O53" s="71">
        <f t="shared" si="5"/>
        <v>2.5</v>
      </c>
      <c r="P53" s="71">
        <f t="shared" si="5"/>
        <v>2.5</v>
      </c>
      <c r="Q53" s="71">
        <f t="shared" si="5"/>
        <v>2.5</v>
      </c>
      <c r="R53" s="68"/>
      <c r="S53" s="68"/>
      <c r="T53" s="68"/>
      <c r="U53" s="68"/>
      <c r="V53" s="68"/>
      <c r="W53" s="68"/>
    </row>
    <row r="54" spans="1:48" ht="15" x14ac:dyDescent="0.4">
      <c r="A54" s="48"/>
      <c r="B54" s="48" t="s">
        <v>53</v>
      </c>
      <c r="C54" s="48"/>
      <c r="G54" s="11" t="s">
        <v>55</v>
      </c>
      <c r="H54" s="70">
        <f t="shared" ref="H54:Q54" si="6">MIN(IF(strategy&lt;=2,H51,H52),IF(strategy=4,H52,H53))</f>
        <v>2.5</v>
      </c>
      <c r="I54" s="70">
        <f t="shared" si="6"/>
        <v>2.5</v>
      </c>
      <c r="J54" s="70">
        <f t="shared" si="6"/>
        <v>2.5</v>
      </c>
      <c r="K54" s="70">
        <f t="shared" si="6"/>
        <v>2.5</v>
      </c>
      <c r="L54" s="70">
        <f t="shared" si="6"/>
        <v>2.5</v>
      </c>
      <c r="M54" s="70">
        <f t="shared" si="6"/>
        <v>2.5</v>
      </c>
      <c r="N54" s="70">
        <f t="shared" si="6"/>
        <v>2.5</v>
      </c>
      <c r="O54" s="70">
        <f t="shared" si="6"/>
        <v>2.5</v>
      </c>
      <c r="P54" s="70">
        <f t="shared" si="6"/>
        <v>2.5</v>
      </c>
      <c r="Q54" s="70">
        <f t="shared" si="6"/>
        <v>2.5</v>
      </c>
      <c r="R54" s="68"/>
      <c r="S54" s="68"/>
      <c r="T54" s="68"/>
      <c r="U54" s="68"/>
      <c r="V54" s="68"/>
      <c r="W54" s="68"/>
    </row>
    <row r="55" spans="1:48" ht="15" x14ac:dyDescent="0.4">
      <c r="A55" s="48"/>
      <c r="B55" s="48"/>
      <c r="C55" s="48"/>
      <c r="G55" s="11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68"/>
      <c r="S55" s="68"/>
      <c r="T55" s="68"/>
      <c r="U55" s="68"/>
      <c r="V55" s="68"/>
      <c r="W55" s="68"/>
    </row>
    <row r="56" spans="1:48" ht="15.4" x14ac:dyDescent="0.45">
      <c r="A56" s="49" t="s">
        <v>58</v>
      </c>
      <c r="B56" s="48"/>
      <c r="C56" s="48"/>
      <c r="G56" s="80" t="s">
        <v>59</v>
      </c>
      <c r="H56" s="72">
        <f>H54*$K$35</f>
        <v>26.875</v>
      </c>
      <c r="I56" s="72">
        <f t="shared" ref="I56:Q56" si="7">I54*$K$35</f>
        <v>26.875</v>
      </c>
      <c r="J56" s="72">
        <f t="shared" si="7"/>
        <v>26.875</v>
      </c>
      <c r="K56" s="72">
        <f t="shared" si="7"/>
        <v>26.875</v>
      </c>
      <c r="L56" s="72">
        <f t="shared" si="7"/>
        <v>26.875</v>
      </c>
      <c r="M56" s="72">
        <f t="shared" si="7"/>
        <v>26.875</v>
      </c>
      <c r="N56" s="72">
        <f t="shared" si="7"/>
        <v>26.875</v>
      </c>
      <c r="O56" s="72">
        <f t="shared" si="7"/>
        <v>26.875</v>
      </c>
      <c r="P56" s="72">
        <f t="shared" si="7"/>
        <v>26.875</v>
      </c>
      <c r="Q56" s="72">
        <f t="shared" si="7"/>
        <v>26.875</v>
      </c>
      <c r="R56" s="68"/>
      <c r="S56" s="68"/>
      <c r="T56" s="68"/>
      <c r="U56" s="68"/>
      <c r="V56" s="68"/>
      <c r="W56" s="68"/>
    </row>
    <row r="57" spans="1:48" ht="15.4" x14ac:dyDescent="0.45">
      <c r="A57" s="50"/>
      <c r="B57" s="48"/>
      <c r="C57" s="48"/>
      <c r="G57" s="80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68"/>
      <c r="S57" s="68"/>
      <c r="T57" s="68"/>
      <c r="U57" s="68"/>
      <c r="V57" s="68"/>
      <c r="W57" s="68"/>
    </row>
    <row r="58" spans="1:48" ht="15.4" x14ac:dyDescent="0.45">
      <c r="A58" s="49" t="s">
        <v>60</v>
      </c>
      <c r="B58" s="48"/>
      <c r="C58" s="48"/>
      <c r="G58" s="80" t="s">
        <v>59</v>
      </c>
      <c r="H58" s="72">
        <f t="shared" ref="H58:Q58" si="8">IF(strategy=4,0,H54*$K$36)</f>
        <v>23.75</v>
      </c>
      <c r="I58" s="72">
        <f t="shared" si="8"/>
        <v>23.75</v>
      </c>
      <c r="J58" s="72">
        <f t="shared" si="8"/>
        <v>23.75</v>
      </c>
      <c r="K58" s="72">
        <f t="shared" si="8"/>
        <v>23.75</v>
      </c>
      <c r="L58" s="72">
        <f t="shared" si="8"/>
        <v>23.75</v>
      </c>
      <c r="M58" s="72">
        <f t="shared" si="8"/>
        <v>23.75</v>
      </c>
      <c r="N58" s="72">
        <f t="shared" si="8"/>
        <v>23.75</v>
      </c>
      <c r="O58" s="72">
        <f t="shared" si="8"/>
        <v>23.75</v>
      </c>
      <c r="P58" s="72">
        <f t="shared" si="8"/>
        <v>23.75</v>
      </c>
      <c r="Q58" s="72">
        <f t="shared" si="8"/>
        <v>23.75</v>
      </c>
      <c r="R58" s="68"/>
      <c r="S58" s="68"/>
      <c r="T58" s="68"/>
      <c r="U58" s="68"/>
      <c r="V58" s="68"/>
      <c r="W58" s="68"/>
    </row>
    <row r="59" spans="1:48" ht="15.4" x14ac:dyDescent="0.45">
      <c r="A59" s="50"/>
      <c r="B59" s="48"/>
      <c r="C59" s="48"/>
      <c r="G59" s="80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68"/>
      <c r="S59" s="68"/>
      <c r="T59" s="68"/>
      <c r="U59" s="68"/>
      <c r="V59" s="68"/>
      <c r="W59" s="68"/>
    </row>
    <row r="60" spans="1:48" ht="15" x14ac:dyDescent="0.4">
      <c r="A60" s="51" t="s">
        <v>61</v>
      </c>
      <c r="B60" s="48"/>
      <c r="C60" s="48"/>
      <c r="G60" s="80" t="s">
        <v>59</v>
      </c>
      <c r="H60" s="72">
        <f>IF(strategy=2,$K$37,0)</f>
        <v>0</v>
      </c>
      <c r="I60" s="72">
        <v>0</v>
      </c>
      <c r="J60" s="72">
        <v>0</v>
      </c>
      <c r="K60" s="72">
        <v>0</v>
      </c>
      <c r="L60" s="72">
        <v>0</v>
      </c>
      <c r="M60" s="72">
        <v>0</v>
      </c>
      <c r="N60" s="72">
        <v>0</v>
      </c>
      <c r="O60" s="72">
        <v>0</v>
      </c>
      <c r="P60" s="72">
        <v>0</v>
      </c>
      <c r="Q60" s="72">
        <v>0</v>
      </c>
      <c r="R60" s="68"/>
      <c r="S60" s="68"/>
      <c r="T60" s="68"/>
      <c r="U60" s="68"/>
      <c r="V60" s="68"/>
      <c r="W60" s="68"/>
    </row>
    <row r="61" spans="1:48" ht="15" x14ac:dyDescent="0.4">
      <c r="A61" s="48"/>
      <c r="B61" s="48"/>
      <c r="C61" s="48"/>
      <c r="G61" s="80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68"/>
      <c r="S61" s="68"/>
      <c r="T61" s="68"/>
      <c r="U61" s="68"/>
      <c r="V61" s="68"/>
      <c r="W61" s="68"/>
    </row>
    <row r="62" spans="1:48" ht="15" x14ac:dyDescent="0.4">
      <c r="A62" s="51" t="s">
        <v>62</v>
      </c>
      <c r="B62" s="48"/>
      <c r="C62" s="48"/>
      <c r="G62" s="80" t="s">
        <v>59</v>
      </c>
      <c r="H62" s="72">
        <f t="shared" ref="H62:Q62" si="9">IF(strategy=3,$I$20*(H56-H58),0)</f>
        <v>0</v>
      </c>
      <c r="I62" s="72">
        <f t="shared" si="9"/>
        <v>0</v>
      </c>
      <c r="J62" s="72">
        <f t="shared" si="9"/>
        <v>0</v>
      </c>
      <c r="K62" s="72">
        <f t="shared" si="9"/>
        <v>0</v>
      </c>
      <c r="L62" s="72">
        <f t="shared" si="9"/>
        <v>0</v>
      </c>
      <c r="M62" s="72">
        <f t="shared" si="9"/>
        <v>0</v>
      </c>
      <c r="N62" s="72">
        <f t="shared" si="9"/>
        <v>0</v>
      </c>
      <c r="O62" s="72">
        <f t="shared" si="9"/>
        <v>0</v>
      </c>
      <c r="P62" s="72">
        <f t="shared" si="9"/>
        <v>0</v>
      </c>
      <c r="Q62" s="72">
        <f t="shared" si="9"/>
        <v>0</v>
      </c>
      <c r="R62" s="68"/>
      <c r="S62" s="68"/>
      <c r="T62" s="68"/>
      <c r="U62" s="68"/>
      <c r="V62" s="68"/>
      <c r="W62" s="68"/>
    </row>
    <row r="63" spans="1:48" ht="15" x14ac:dyDescent="0.4">
      <c r="A63" s="51" t="s">
        <v>63</v>
      </c>
      <c r="B63" s="48"/>
      <c r="C63" s="48"/>
      <c r="G63" s="80" t="s">
        <v>59</v>
      </c>
      <c r="H63" s="72">
        <f>$I$21*(H56)</f>
        <v>26.337499999999999</v>
      </c>
      <c r="I63" s="72">
        <f t="shared" ref="I63:Q63" si="10">$I$21*(I56)</f>
        <v>26.337499999999999</v>
      </c>
      <c r="J63" s="72">
        <f t="shared" si="10"/>
        <v>26.337499999999999</v>
      </c>
      <c r="K63" s="72">
        <f t="shared" si="10"/>
        <v>26.337499999999999</v>
      </c>
      <c r="L63" s="72">
        <f t="shared" si="10"/>
        <v>26.337499999999999</v>
      </c>
      <c r="M63" s="72">
        <f t="shared" si="10"/>
        <v>26.337499999999999</v>
      </c>
      <c r="N63" s="72">
        <f t="shared" si="10"/>
        <v>26.337499999999999</v>
      </c>
      <c r="O63" s="72">
        <f t="shared" si="10"/>
        <v>26.337499999999999</v>
      </c>
      <c r="P63" s="72">
        <f t="shared" si="10"/>
        <v>26.337499999999999</v>
      </c>
      <c r="Q63" s="72">
        <f t="shared" si="10"/>
        <v>26.337499999999999</v>
      </c>
      <c r="R63" s="68"/>
      <c r="S63" s="68"/>
      <c r="T63" s="68"/>
      <c r="U63" s="68"/>
      <c r="V63" s="68"/>
      <c r="W63" s="68"/>
    </row>
    <row r="64" spans="1:48" ht="15" x14ac:dyDescent="0.4">
      <c r="A64" s="48"/>
      <c r="B64" s="48"/>
      <c r="C64" s="48"/>
      <c r="G64" s="80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68"/>
      <c r="S64" s="68"/>
      <c r="T64" s="68"/>
      <c r="U64" s="68"/>
      <c r="V64" s="68"/>
      <c r="W64" s="68"/>
    </row>
    <row r="65" spans="1:23" ht="15" x14ac:dyDescent="0.4">
      <c r="A65" s="51" t="s">
        <v>64</v>
      </c>
      <c r="B65" s="48"/>
      <c r="C65" s="48"/>
      <c r="G65" s="80" t="s">
        <v>59</v>
      </c>
      <c r="H65" s="72">
        <f t="shared" ref="H65:Q65" si="11">IF(strategy=1,H56-H58,IF(strategy=2,H56-H58-H60,IF(strategy=3,H56-H58-H62,IF(strategy=4,H56-H58-H63,"error"))))</f>
        <v>3.125</v>
      </c>
      <c r="I65" s="72">
        <f t="shared" si="11"/>
        <v>3.125</v>
      </c>
      <c r="J65" s="72">
        <f t="shared" si="11"/>
        <v>3.125</v>
      </c>
      <c r="K65" s="72">
        <f t="shared" si="11"/>
        <v>3.125</v>
      </c>
      <c r="L65" s="72">
        <f t="shared" si="11"/>
        <v>3.125</v>
      </c>
      <c r="M65" s="72">
        <f t="shared" si="11"/>
        <v>3.125</v>
      </c>
      <c r="N65" s="72">
        <f t="shared" si="11"/>
        <v>3.125</v>
      </c>
      <c r="O65" s="72">
        <f t="shared" si="11"/>
        <v>3.125</v>
      </c>
      <c r="P65" s="72">
        <f t="shared" si="11"/>
        <v>3.125</v>
      </c>
      <c r="Q65" s="72">
        <f t="shared" si="11"/>
        <v>3.125</v>
      </c>
      <c r="R65" s="68"/>
      <c r="S65" s="68"/>
      <c r="T65" s="68"/>
      <c r="U65" s="68"/>
      <c r="V65" s="68"/>
      <c r="W65" s="68"/>
    </row>
    <row r="66" spans="1:23" ht="15" x14ac:dyDescent="0.4">
      <c r="A66" s="48"/>
      <c r="B66" s="48"/>
      <c r="C66" s="48"/>
      <c r="G66" s="80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68"/>
      <c r="S66" s="68"/>
      <c r="T66" s="68"/>
      <c r="U66" s="68"/>
      <c r="V66" s="68"/>
      <c r="W66" s="68"/>
    </row>
    <row r="67" spans="1:23" ht="15" x14ac:dyDescent="0.4">
      <c r="A67" s="51" t="s">
        <v>65</v>
      </c>
      <c r="B67" s="48"/>
      <c r="C67" s="48"/>
      <c r="G67" s="80" t="s">
        <v>59</v>
      </c>
      <c r="H67" s="72">
        <f t="shared" ref="H67:Q67" si="12">tax_rate*H65</f>
        <v>1.1875</v>
      </c>
      <c r="I67" s="72">
        <f t="shared" si="12"/>
        <v>1.1875</v>
      </c>
      <c r="J67" s="72">
        <f t="shared" si="12"/>
        <v>1.1875</v>
      </c>
      <c r="K67" s="72">
        <f t="shared" si="12"/>
        <v>1.1875</v>
      </c>
      <c r="L67" s="72">
        <f t="shared" si="12"/>
        <v>1.1875</v>
      </c>
      <c r="M67" s="72">
        <f t="shared" si="12"/>
        <v>1.1875</v>
      </c>
      <c r="N67" s="72">
        <f t="shared" si="12"/>
        <v>1.1875</v>
      </c>
      <c r="O67" s="72">
        <f t="shared" si="12"/>
        <v>1.1875</v>
      </c>
      <c r="P67" s="72">
        <f t="shared" si="12"/>
        <v>1.1875</v>
      </c>
      <c r="Q67" s="72">
        <f t="shared" si="12"/>
        <v>1.1875</v>
      </c>
      <c r="R67" s="68"/>
      <c r="S67" s="68"/>
      <c r="T67" s="68"/>
      <c r="U67" s="68"/>
      <c r="V67" s="68"/>
      <c r="W67" s="68"/>
    </row>
    <row r="68" spans="1:23" ht="15" x14ac:dyDescent="0.4">
      <c r="A68" s="51" t="s">
        <v>66</v>
      </c>
      <c r="B68" s="48"/>
      <c r="C68" s="48"/>
      <c r="G68" s="80" t="s">
        <v>59</v>
      </c>
      <c r="H68" s="72">
        <f>IF(H67&lt;0,ABS(H67),0)</f>
        <v>0</v>
      </c>
      <c r="I68" s="72">
        <f>IF((I67-H68)&lt;0,ABS(H68-I67),0)</f>
        <v>0</v>
      </c>
      <c r="J68" s="72">
        <f t="shared" ref="J68:Q68" si="13">IF((J67-I68)&lt;0,ABS(I68-J67),0)</f>
        <v>0</v>
      </c>
      <c r="K68" s="72">
        <f t="shared" si="13"/>
        <v>0</v>
      </c>
      <c r="L68" s="72">
        <f t="shared" si="13"/>
        <v>0</v>
      </c>
      <c r="M68" s="72">
        <f t="shared" si="13"/>
        <v>0</v>
      </c>
      <c r="N68" s="72">
        <f t="shared" si="13"/>
        <v>0</v>
      </c>
      <c r="O68" s="72">
        <f t="shared" si="13"/>
        <v>0</v>
      </c>
      <c r="P68" s="72">
        <f t="shared" si="13"/>
        <v>0</v>
      </c>
      <c r="Q68" s="72">
        <f t="shared" si="13"/>
        <v>0</v>
      </c>
      <c r="R68" s="68"/>
      <c r="S68" s="68"/>
      <c r="T68" s="68"/>
      <c r="U68" s="68"/>
      <c r="V68" s="68"/>
      <c r="W68" s="68"/>
    </row>
    <row r="69" spans="1:23" ht="15" x14ac:dyDescent="0.4">
      <c r="A69" s="51" t="s">
        <v>67</v>
      </c>
      <c r="B69" s="48"/>
      <c r="C69" s="48"/>
      <c r="G69" s="80" t="s">
        <v>59</v>
      </c>
      <c r="H69" s="72">
        <f>IF(H67&lt;0,0,H67)</f>
        <v>1.1875</v>
      </c>
      <c r="I69" s="72">
        <f>IF(I67&lt;0,0,IF((I67-H68)&lt;0,0,(I67-H68)))</f>
        <v>1.1875</v>
      </c>
      <c r="J69" s="72">
        <f t="shared" ref="J69:Q69" si="14">IF(J67&lt;0,0,IF((J67-I68)&lt;0,0,(J67-I68)))</f>
        <v>1.1875</v>
      </c>
      <c r="K69" s="72">
        <f t="shared" si="14"/>
        <v>1.1875</v>
      </c>
      <c r="L69" s="72">
        <f t="shared" si="14"/>
        <v>1.1875</v>
      </c>
      <c r="M69" s="72">
        <f t="shared" si="14"/>
        <v>1.1875</v>
      </c>
      <c r="N69" s="72">
        <f t="shared" si="14"/>
        <v>1.1875</v>
      </c>
      <c r="O69" s="72">
        <f t="shared" si="14"/>
        <v>1.1875</v>
      </c>
      <c r="P69" s="72">
        <f t="shared" si="14"/>
        <v>1.1875</v>
      </c>
      <c r="Q69" s="72">
        <f t="shared" si="14"/>
        <v>1.1875</v>
      </c>
      <c r="R69" s="68"/>
      <c r="S69" s="68"/>
      <c r="T69" s="68"/>
      <c r="U69" s="68"/>
      <c r="V69" s="68"/>
      <c r="W69" s="68"/>
    </row>
    <row r="70" spans="1:23" ht="15" x14ac:dyDescent="0.4">
      <c r="A70" s="48"/>
      <c r="B70" s="48"/>
      <c r="C70" s="48"/>
      <c r="G70" s="80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3"/>
      <c r="S70" s="73"/>
      <c r="T70" s="73"/>
      <c r="U70" s="68"/>
      <c r="V70" s="68"/>
      <c r="W70" s="68"/>
    </row>
    <row r="71" spans="1:23" ht="15" x14ac:dyDescent="0.4">
      <c r="A71" s="51" t="s">
        <v>68</v>
      </c>
      <c r="G71" s="80" t="s">
        <v>69</v>
      </c>
      <c r="H71" s="74">
        <f>H65-H69</f>
        <v>1.9375</v>
      </c>
      <c r="I71" s="74">
        <f t="shared" ref="I71:Q71" si="15">I65-I69</f>
        <v>1.9375</v>
      </c>
      <c r="J71" s="74">
        <f t="shared" si="15"/>
        <v>1.9375</v>
      </c>
      <c r="K71" s="74">
        <f t="shared" si="15"/>
        <v>1.9375</v>
      </c>
      <c r="L71" s="74">
        <f t="shared" si="15"/>
        <v>1.9375</v>
      </c>
      <c r="M71" s="74">
        <f t="shared" si="15"/>
        <v>1.9375</v>
      </c>
      <c r="N71" s="74">
        <f t="shared" si="15"/>
        <v>1.9375</v>
      </c>
      <c r="O71" s="74">
        <f t="shared" si="15"/>
        <v>1.9375</v>
      </c>
      <c r="P71" s="74">
        <f t="shared" si="15"/>
        <v>1.9375</v>
      </c>
      <c r="Q71" s="74">
        <f t="shared" si="15"/>
        <v>1.9375</v>
      </c>
      <c r="R71" s="75"/>
      <c r="S71" s="75"/>
      <c r="T71" s="75"/>
      <c r="U71" s="68"/>
      <c r="V71" s="68"/>
      <c r="W71" s="68"/>
    </row>
    <row r="72" spans="1:23" x14ac:dyDescent="0.35"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</row>
    <row r="73" spans="1:23" ht="15" x14ac:dyDescent="0.4">
      <c r="A73" s="51" t="s">
        <v>70</v>
      </c>
      <c r="B73" s="48"/>
      <c r="C73" s="48"/>
      <c r="G73" s="80" t="s">
        <v>71</v>
      </c>
      <c r="H73" s="93">
        <f>H71+NPV(discount_rate,I71,J71,K71,L71,M71,N71,O71,P71,Q71)</f>
        <v>14.040845327284968</v>
      </c>
      <c r="I73" s="92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68"/>
      <c r="V73" s="68"/>
      <c r="W73" s="68"/>
    </row>
    <row r="74" spans="1:23" x14ac:dyDescent="0.35"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68"/>
      <c r="V74" s="68"/>
      <c r="W74" s="68"/>
    </row>
    <row r="75" spans="1:23" x14ac:dyDescent="0.35"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68"/>
      <c r="V75" s="68"/>
      <c r="W75" s="68"/>
    </row>
    <row r="76" spans="1:23" x14ac:dyDescent="0.35">
      <c r="H76" s="94"/>
      <c r="I76" s="75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</row>
    <row r="77" spans="1:23" x14ac:dyDescent="0.35">
      <c r="G77" s="7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68"/>
      <c r="V77" s="68"/>
      <c r="W77" s="68"/>
    </row>
    <row r="78" spans="1:23" x14ac:dyDescent="0.35"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</row>
    <row r="79" spans="1:23" x14ac:dyDescent="0.35"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</row>
    <row r="80" spans="1:23" x14ac:dyDescent="0.35">
      <c r="B80" s="13"/>
      <c r="H80" s="77"/>
      <c r="I80" s="77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</row>
    <row r="81" spans="1:23" x14ac:dyDescent="0.35">
      <c r="A81" s="13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68"/>
      <c r="V81" s="68"/>
      <c r="W81" s="68"/>
    </row>
    <row r="82" spans="1:23" x14ac:dyDescent="0.35"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68"/>
      <c r="V82" s="68"/>
      <c r="W82" s="68"/>
    </row>
    <row r="83" spans="1:23" x14ac:dyDescent="0.35"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68"/>
      <c r="V83" s="68"/>
      <c r="W83" s="68"/>
    </row>
    <row r="84" spans="1:23" x14ac:dyDescent="0.35">
      <c r="B84" s="33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68"/>
      <c r="V84" s="68"/>
      <c r="W84" s="68"/>
    </row>
    <row r="85" spans="1:23" x14ac:dyDescent="0.35">
      <c r="B85" s="33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68"/>
      <c r="V85" s="68"/>
      <c r="W85" s="68"/>
    </row>
    <row r="86" spans="1:23" x14ac:dyDescent="0.35">
      <c r="B86" s="33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68"/>
      <c r="V86" s="68"/>
      <c r="W86" s="68"/>
    </row>
    <row r="87" spans="1:23" x14ac:dyDescent="0.35"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68"/>
      <c r="V87" s="68"/>
      <c r="W87" s="68"/>
    </row>
    <row r="88" spans="1:23" x14ac:dyDescent="0.35"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68"/>
      <c r="V88" s="68"/>
      <c r="W88" s="68"/>
    </row>
    <row r="89" spans="1:23" x14ac:dyDescent="0.35"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68"/>
      <c r="V89" s="68"/>
      <c r="W89" s="68"/>
    </row>
    <row r="90" spans="1:23" x14ac:dyDescent="0.35">
      <c r="G90" s="12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68"/>
      <c r="V90" s="68"/>
      <c r="W90" s="68"/>
    </row>
    <row r="91" spans="1:23" x14ac:dyDescent="0.35"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68"/>
      <c r="V91" s="68"/>
      <c r="W91" s="68"/>
    </row>
    <row r="92" spans="1:23" x14ac:dyDescent="0.35">
      <c r="H92" s="75"/>
      <c r="I92" s="79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68"/>
      <c r="V92" s="68"/>
      <c r="W92" s="68"/>
    </row>
    <row r="93" spans="1:23" x14ac:dyDescent="0.35"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</row>
    <row r="94" spans="1:23" x14ac:dyDescent="0.35">
      <c r="A94" s="13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</row>
    <row r="95" spans="1:23" x14ac:dyDescent="0.35">
      <c r="A95" s="2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</row>
    <row r="96" spans="1:23" x14ac:dyDescent="0.35">
      <c r="B96" s="13"/>
      <c r="H96" s="77"/>
      <c r="I96" s="77"/>
      <c r="J96" s="77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</row>
    <row r="97" spans="1:23" x14ac:dyDescent="0.35">
      <c r="A97" s="13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68"/>
      <c r="V97" s="68"/>
      <c r="W97" s="68"/>
    </row>
    <row r="98" spans="1:23" x14ac:dyDescent="0.35">
      <c r="A98" s="13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</row>
    <row r="99" spans="1:23" x14ac:dyDescent="0.35">
      <c r="G99" s="34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68"/>
      <c r="V99" s="68"/>
      <c r="W99" s="68"/>
    </row>
    <row r="100" spans="1:23" x14ac:dyDescent="0.35"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</row>
    <row r="101" spans="1:23" x14ac:dyDescent="0.35"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</row>
    <row r="102" spans="1:23" x14ac:dyDescent="0.35"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68"/>
      <c r="V102" s="68"/>
      <c r="W102" s="68"/>
    </row>
    <row r="103" spans="1:23" x14ac:dyDescent="0.35"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68"/>
      <c r="V103" s="68"/>
      <c r="W103" s="68"/>
    </row>
    <row r="104" spans="1:23" x14ac:dyDescent="0.35"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68"/>
      <c r="V104" s="68"/>
      <c r="W104" s="68"/>
    </row>
    <row r="105" spans="1:23" x14ac:dyDescent="0.35"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</row>
    <row r="106" spans="1:23" x14ac:dyDescent="0.35"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68"/>
      <c r="V106" s="68"/>
      <c r="W106" s="68"/>
    </row>
    <row r="107" spans="1:23" x14ac:dyDescent="0.35"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</row>
    <row r="108" spans="1:23" x14ac:dyDescent="0.35"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</row>
    <row r="109" spans="1:23" x14ac:dyDescent="0.35"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68"/>
      <c r="V109" s="68"/>
      <c r="W109" s="68"/>
    </row>
    <row r="110" spans="1:23" x14ac:dyDescent="0.35"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68"/>
      <c r="V110" s="68"/>
      <c r="W110" s="68"/>
    </row>
    <row r="111" spans="1:23" x14ac:dyDescent="0.35"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68"/>
      <c r="V111" s="68"/>
      <c r="W111" s="68"/>
    </row>
    <row r="112" spans="1:23" x14ac:dyDescent="0.35"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68"/>
      <c r="V112" s="68"/>
      <c r="W112" s="68"/>
    </row>
    <row r="113" spans="1:23" x14ac:dyDescent="0.35"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</row>
    <row r="114" spans="1:23" x14ac:dyDescent="0.35"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68"/>
      <c r="V114" s="68"/>
      <c r="W114" s="68"/>
    </row>
    <row r="115" spans="1:23" x14ac:dyDescent="0.35"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68"/>
      <c r="V115" s="68"/>
      <c r="W115" s="68"/>
    </row>
    <row r="116" spans="1:23" x14ac:dyDescent="0.35"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</row>
    <row r="117" spans="1:23" x14ac:dyDescent="0.35">
      <c r="G117" s="7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68"/>
      <c r="V117" s="68"/>
      <c r="W117" s="68"/>
    </row>
    <row r="118" spans="1:23" x14ac:dyDescent="0.35"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</row>
    <row r="119" spans="1:23" x14ac:dyDescent="0.35"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</row>
    <row r="120" spans="1:23" x14ac:dyDescent="0.35">
      <c r="B120" s="13"/>
      <c r="H120" s="77"/>
      <c r="I120" s="77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</row>
    <row r="121" spans="1:23" x14ac:dyDescent="0.35">
      <c r="A121" s="13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68"/>
      <c r="V121" s="68"/>
      <c r="W121" s="68"/>
    </row>
    <row r="122" spans="1:23" x14ac:dyDescent="0.35"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68"/>
      <c r="V122" s="68"/>
      <c r="W122" s="68"/>
    </row>
    <row r="123" spans="1:23" x14ac:dyDescent="0.35"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68"/>
      <c r="V123" s="68"/>
      <c r="W123" s="68"/>
    </row>
    <row r="124" spans="1:23" x14ac:dyDescent="0.35">
      <c r="B124" s="33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68"/>
      <c r="V124" s="68"/>
      <c r="W124" s="68"/>
    </row>
    <row r="125" spans="1:23" x14ac:dyDescent="0.35">
      <c r="B125" s="33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68"/>
      <c r="V125" s="68"/>
      <c r="W125" s="68"/>
    </row>
    <row r="126" spans="1:23" x14ac:dyDescent="0.35">
      <c r="B126" s="33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68"/>
      <c r="V126" s="68"/>
      <c r="W126" s="68"/>
    </row>
    <row r="127" spans="1:23" x14ac:dyDescent="0.35"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68"/>
      <c r="V127" s="68"/>
      <c r="W127" s="68"/>
    </row>
    <row r="128" spans="1:23" x14ac:dyDescent="0.35"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68"/>
      <c r="V128" s="68"/>
      <c r="W128" s="68"/>
    </row>
    <row r="129" spans="1:23" x14ac:dyDescent="0.35"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68"/>
      <c r="V129" s="68"/>
      <c r="W129" s="68"/>
    </row>
    <row r="130" spans="1:23" x14ac:dyDescent="0.35">
      <c r="G130" s="12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68"/>
      <c r="V130" s="68"/>
      <c r="W130" s="68"/>
    </row>
    <row r="131" spans="1:23" x14ac:dyDescent="0.35"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68"/>
      <c r="V131" s="68"/>
      <c r="W131" s="68"/>
    </row>
    <row r="132" spans="1:23" x14ac:dyDescent="0.35">
      <c r="H132" s="75"/>
      <c r="I132" s="79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68"/>
      <c r="V132" s="68"/>
      <c r="W132" s="68"/>
    </row>
    <row r="133" spans="1:23" x14ac:dyDescent="0.35"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</row>
    <row r="134" spans="1:23" x14ac:dyDescent="0.35">
      <c r="A134" s="13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</row>
    <row r="135" spans="1:23" x14ac:dyDescent="0.35">
      <c r="A135" s="2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</row>
    <row r="136" spans="1:23" x14ac:dyDescent="0.35">
      <c r="B136" s="13"/>
      <c r="H136" s="77"/>
      <c r="I136" s="77"/>
      <c r="J136" s="77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</row>
    <row r="137" spans="1:23" x14ac:dyDescent="0.35">
      <c r="A137" s="13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68"/>
      <c r="V137" s="68"/>
      <c r="W137" s="68"/>
    </row>
    <row r="138" spans="1:23" x14ac:dyDescent="0.35">
      <c r="A138" s="13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</row>
    <row r="139" spans="1:23" x14ac:dyDescent="0.35">
      <c r="G139" s="34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68"/>
      <c r="V139" s="68"/>
      <c r="W139" s="68"/>
    </row>
    <row r="140" spans="1:23" x14ac:dyDescent="0.35"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</row>
    <row r="141" spans="1:23" x14ac:dyDescent="0.35"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</row>
    <row r="142" spans="1:23" x14ac:dyDescent="0.35"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68"/>
      <c r="V142" s="68"/>
      <c r="W142" s="68"/>
    </row>
    <row r="143" spans="1:23" x14ac:dyDescent="0.35"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68"/>
      <c r="V143" s="68"/>
      <c r="W143" s="68"/>
    </row>
    <row r="144" spans="1:23" x14ac:dyDescent="0.35"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68"/>
      <c r="V144" s="68"/>
      <c r="W144" s="68"/>
    </row>
    <row r="145" spans="2:23" x14ac:dyDescent="0.35"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</row>
    <row r="146" spans="2:23" x14ac:dyDescent="0.35"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68"/>
      <c r="V146" s="68"/>
      <c r="W146" s="68"/>
    </row>
    <row r="147" spans="2:23" x14ac:dyDescent="0.35"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</row>
    <row r="148" spans="2:23" x14ac:dyDescent="0.35"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</row>
    <row r="149" spans="2:23" x14ac:dyDescent="0.35"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68"/>
      <c r="V149" s="68"/>
      <c r="W149" s="68"/>
    </row>
    <row r="150" spans="2:23" x14ac:dyDescent="0.35"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68"/>
      <c r="V150" s="68"/>
      <c r="W150" s="68"/>
    </row>
    <row r="151" spans="2:23" x14ac:dyDescent="0.35"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68"/>
      <c r="V151" s="68"/>
      <c r="W151" s="68"/>
    </row>
    <row r="152" spans="2:23" x14ac:dyDescent="0.35"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68"/>
      <c r="V152" s="68"/>
      <c r="W152" s="68"/>
    </row>
    <row r="153" spans="2:23" x14ac:dyDescent="0.35"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</row>
    <row r="154" spans="2:23" x14ac:dyDescent="0.35"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68"/>
      <c r="V154" s="68"/>
      <c r="W154" s="68"/>
    </row>
    <row r="155" spans="2:23" x14ac:dyDescent="0.35"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68"/>
      <c r="V155" s="68"/>
      <c r="W155" s="68"/>
    </row>
    <row r="156" spans="2:23" x14ac:dyDescent="0.35"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</row>
    <row r="157" spans="2:23" x14ac:dyDescent="0.35">
      <c r="G157" s="7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68"/>
      <c r="V157" s="68"/>
      <c r="W157" s="68"/>
    </row>
    <row r="158" spans="2:23" x14ac:dyDescent="0.35"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</row>
    <row r="160" spans="2:23" x14ac:dyDescent="0.35">
      <c r="B160" s="13"/>
      <c r="H160" s="33"/>
      <c r="I160" s="33"/>
    </row>
    <row r="161" spans="1:30" x14ac:dyDescent="0.35">
      <c r="A161" s="13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30" x14ac:dyDescent="0.35"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30" x14ac:dyDescent="0.35"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30" x14ac:dyDescent="0.35">
      <c r="B164" s="33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30" x14ac:dyDescent="0.35">
      <c r="B165" s="33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30" x14ac:dyDescent="0.35">
      <c r="B166" s="33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30" x14ac:dyDescent="0.35"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30" x14ac:dyDescent="0.35"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 spans="1:30" x14ac:dyDescent="0.35"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</row>
    <row r="170" spans="1:30" x14ac:dyDescent="0.35">
      <c r="G170" s="12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</row>
    <row r="171" spans="1:30" x14ac:dyDescent="0.35"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 spans="1:30" x14ac:dyDescent="0.35">
      <c r="H172" s="31"/>
      <c r="I172" s="35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 spans="1:30" x14ac:dyDescent="0.35">
      <c r="H173" s="31"/>
      <c r="I173" s="35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 spans="1:30" x14ac:dyDescent="0.35">
      <c r="A174" s="13"/>
    </row>
    <row r="175" spans="1:30" x14ac:dyDescent="0.35">
      <c r="A175" s="2"/>
    </row>
    <row r="176" spans="1:30" x14ac:dyDescent="0.35">
      <c r="B176" s="13"/>
      <c r="H176" s="33"/>
      <c r="I176" s="33"/>
      <c r="J176" s="33"/>
    </row>
    <row r="177" spans="1:30" x14ac:dyDescent="0.35">
      <c r="A177" s="13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</row>
    <row r="178" spans="1:30" x14ac:dyDescent="0.35">
      <c r="A178" s="13"/>
    </row>
    <row r="179" spans="1:30" x14ac:dyDescent="0.35">
      <c r="G179" s="34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2" spans="1:30" x14ac:dyDescent="0.35"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 spans="1:30" x14ac:dyDescent="0.35"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 x14ac:dyDescent="0.35"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</row>
    <row r="186" spans="1:30" x14ac:dyDescent="0.35"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9" spans="1:30" x14ac:dyDescent="0.35"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 x14ac:dyDescent="0.35"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x14ac:dyDescent="0.35"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 spans="1:30" x14ac:dyDescent="0.35"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4" spans="1:30" x14ac:dyDescent="0.35"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 x14ac:dyDescent="0.35"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7" spans="1:30" x14ac:dyDescent="0.35">
      <c r="G197" s="7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200" spans="1:30" x14ac:dyDescent="0.35">
      <c r="B200" s="13"/>
      <c r="H200" s="33"/>
      <c r="I200" s="33"/>
    </row>
    <row r="201" spans="1:30" x14ac:dyDescent="0.35">
      <c r="A201" s="13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</row>
    <row r="202" spans="1:30" x14ac:dyDescent="0.35"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 x14ac:dyDescent="0.35"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 x14ac:dyDescent="0.35">
      <c r="B204" s="33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 x14ac:dyDescent="0.35">
      <c r="B205" s="33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 x14ac:dyDescent="0.35">
      <c r="B206" s="33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 x14ac:dyDescent="0.35"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 x14ac:dyDescent="0.35"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 x14ac:dyDescent="0.35"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x14ac:dyDescent="0.35">
      <c r="G210" s="12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 x14ac:dyDescent="0.35"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x14ac:dyDescent="0.35">
      <c r="H212" s="31"/>
      <c r="I212" s="35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 x14ac:dyDescent="0.35">
      <c r="H213" s="31"/>
      <c r="I213" s="35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 spans="1:30" x14ac:dyDescent="0.35">
      <c r="A214" s="13"/>
    </row>
    <row r="215" spans="1:30" x14ac:dyDescent="0.35">
      <c r="A215" s="2"/>
    </row>
    <row r="216" spans="1:30" x14ac:dyDescent="0.35">
      <c r="B216" s="13"/>
      <c r="H216" s="33"/>
      <c r="I216" s="33"/>
      <c r="J216" s="33"/>
    </row>
    <row r="217" spans="1:30" x14ac:dyDescent="0.35">
      <c r="A217" s="13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</row>
    <row r="218" spans="1:30" x14ac:dyDescent="0.35">
      <c r="A218" s="13"/>
    </row>
    <row r="219" spans="1:30" x14ac:dyDescent="0.35">
      <c r="G219" s="34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2" spans="1:30" x14ac:dyDescent="0.35"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 x14ac:dyDescent="0.35"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 x14ac:dyDescent="0.35"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6" spans="2:30" x14ac:dyDescent="0.35"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9" spans="2:30" x14ac:dyDescent="0.35"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2:30" x14ac:dyDescent="0.35"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2:30" x14ac:dyDescent="0.35"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2:30" x14ac:dyDescent="0.35"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4" spans="2:30" x14ac:dyDescent="0.35"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 spans="2:30" x14ac:dyDescent="0.35"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7" spans="2:30" x14ac:dyDescent="0.35">
      <c r="G237" s="7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40" spans="2:30" x14ac:dyDescent="0.35">
      <c r="B240" s="13"/>
      <c r="H240" s="33"/>
      <c r="I240" s="33"/>
    </row>
    <row r="241" spans="1:30" x14ac:dyDescent="0.35">
      <c r="A241" s="13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</row>
    <row r="242" spans="1:30" x14ac:dyDescent="0.35"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 x14ac:dyDescent="0.35"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 x14ac:dyDescent="0.35">
      <c r="B244" s="33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 x14ac:dyDescent="0.35">
      <c r="B245" s="33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 x14ac:dyDescent="0.35">
      <c r="B246" s="33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x14ac:dyDescent="0.35"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x14ac:dyDescent="0.35"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 x14ac:dyDescent="0.35"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 x14ac:dyDescent="0.35">
      <c r="G250" s="12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 x14ac:dyDescent="0.35"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x14ac:dyDescent="0.35">
      <c r="H252" s="31"/>
      <c r="I252" s="35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 x14ac:dyDescent="0.35">
      <c r="H253" s="31"/>
      <c r="I253" s="35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 x14ac:dyDescent="0.35">
      <c r="A254" s="13"/>
    </row>
    <row r="255" spans="1:30" x14ac:dyDescent="0.35">
      <c r="A255" s="2"/>
    </row>
    <row r="256" spans="1:30" x14ac:dyDescent="0.35">
      <c r="B256" s="13"/>
      <c r="H256" s="33"/>
      <c r="I256" s="33"/>
      <c r="J256" s="33"/>
    </row>
    <row r="257" spans="1:30" x14ac:dyDescent="0.35">
      <c r="A257" s="13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</row>
    <row r="258" spans="1:30" x14ac:dyDescent="0.35">
      <c r="A258" s="13"/>
    </row>
    <row r="259" spans="1:30" x14ac:dyDescent="0.35">
      <c r="G259" s="34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2" spans="1:30" x14ac:dyDescent="0.35"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</row>
    <row r="263" spans="1:30" x14ac:dyDescent="0.35"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</row>
    <row r="264" spans="1:30" x14ac:dyDescent="0.35"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</row>
    <row r="266" spans="1:30" x14ac:dyDescent="0.35"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9" spans="1:30" x14ac:dyDescent="0.35"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x14ac:dyDescent="0.35"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</row>
    <row r="271" spans="1:30" x14ac:dyDescent="0.35"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</row>
    <row r="272" spans="1:30" x14ac:dyDescent="0.35"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</row>
    <row r="274" spans="1:30" x14ac:dyDescent="0.35"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</row>
    <row r="275" spans="1:30" x14ac:dyDescent="0.35"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</row>
    <row r="277" spans="1:30" x14ac:dyDescent="0.35">
      <c r="G277" s="7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</row>
    <row r="280" spans="1:30" x14ac:dyDescent="0.35">
      <c r="B280" s="13"/>
      <c r="H280" s="33"/>
      <c r="I280" s="33"/>
    </row>
    <row r="281" spans="1:30" x14ac:dyDescent="0.35">
      <c r="A281" s="13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</row>
    <row r="282" spans="1:30" x14ac:dyDescent="0.35"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 spans="1:30" x14ac:dyDescent="0.35"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</row>
    <row r="284" spans="1:30" x14ac:dyDescent="0.35">
      <c r="B284" s="33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</row>
    <row r="285" spans="1:30" x14ac:dyDescent="0.35">
      <c r="B285" s="33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 x14ac:dyDescent="0.35">
      <c r="B286" s="3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 x14ac:dyDescent="0.35"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 x14ac:dyDescent="0.35"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 x14ac:dyDescent="0.35"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 x14ac:dyDescent="0.35">
      <c r="G290" s="12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 x14ac:dyDescent="0.35"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 x14ac:dyDescent="0.35">
      <c r="H292" s="31"/>
      <c r="I292" s="35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</row>
    <row r="295" spans="1:30" x14ac:dyDescent="0.35">
      <c r="A295" s="13"/>
    </row>
    <row r="296" spans="1:30" x14ac:dyDescent="0.35">
      <c r="A296" s="2"/>
    </row>
    <row r="297" spans="1:30" x14ac:dyDescent="0.35">
      <c r="B297" s="13"/>
      <c r="H297" s="33"/>
      <c r="I297" s="33"/>
      <c r="J297" s="33"/>
    </row>
    <row r="298" spans="1:30" x14ac:dyDescent="0.35">
      <c r="A298" s="13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</row>
    <row r="299" spans="1:30" x14ac:dyDescent="0.35">
      <c r="A299" s="13"/>
    </row>
    <row r="300" spans="1:30" x14ac:dyDescent="0.35">
      <c r="G300" s="34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</row>
    <row r="303" spans="1:30" x14ac:dyDescent="0.35"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 x14ac:dyDescent="0.35"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7:30" x14ac:dyDescent="0.35"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7" spans="7:30" x14ac:dyDescent="0.35"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10" spans="7:30" x14ac:dyDescent="0.35"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</row>
    <row r="311" spans="7:30" x14ac:dyDescent="0.35"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</row>
    <row r="312" spans="7:30" x14ac:dyDescent="0.35"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7:30" x14ac:dyDescent="0.35"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5" spans="7:30" x14ac:dyDescent="0.35"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 spans="7:30" x14ac:dyDescent="0.35"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8" spans="7:30" x14ac:dyDescent="0.35">
      <c r="G318" s="7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21" spans="1:30" x14ac:dyDescent="0.35">
      <c r="B321" s="13"/>
      <c r="H321" s="33"/>
      <c r="I321" s="33"/>
    </row>
    <row r="322" spans="1:30" x14ac:dyDescent="0.35">
      <c r="A322" s="13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</row>
    <row r="323" spans="1:30" x14ac:dyDescent="0.35"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</row>
    <row r="324" spans="1:30" x14ac:dyDescent="0.35"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x14ac:dyDescent="0.35">
      <c r="B325" s="33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x14ac:dyDescent="0.35">
      <c r="B326" s="33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 x14ac:dyDescent="0.35">
      <c r="B327" s="33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</row>
    <row r="328" spans="1:30" x14ac:dyDescent="0.35"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</row>
    <row r="329" spans="1:30" x14ac:dyDescent="0.35"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 x14ac:dyDescent="0.35"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 x14ac:dyDescent="0.35">
      <c r="G331" s="12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 x14ac:dyDescent="0.35"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 x14ac:dyDescent="0.35">
      <c r="H333" s="31"/>
      <c r="I333" s="35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5" spans="1:30" x14ac:dyDescent="0.35">
      <c r="H335" s="36"/>
    </row>
  </sheetData>
  <pageMargins left="0.75" right="0.75" top="1" bottom="1" header="0.5" footer="0.5"/>
  <pageSetup scale="80" orientation="landscape" horizontalDpi="300" verticalDpi="300" copies="0"/>
  <headerFooter alignWithMargins="0">
    <oddFooter>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FD60-880D-415F-98AF-FE26493C5466}">
  <dimension ref="B3:AI30"/>
  <sheetViews>
    <sheetView workbookViewId="0">
      <selection activeCell="AC52" sqref="AC52"/>
    </sheetView>
  </sheetViews>
  <sheetFormatPr defaultColWidth="8.86328125" defaultRowHeight="12.75" x14ac:dyDescent="0.35"/>
  <cols>
    <col min="1" max="1" width="8.86328125" style="96"/>
    <col min="2" max="2" width="20.6640625" style="96" bestFit="1" customWidth="1"/>
    <col min="3" max="10" width="8.86328125" style="96"/>
    <col min="11" max="11" width="19.86328125" style="96" bestFit="1" customWidth="1"/>
    <col min="12" max="15" width="8.86328125" style="96"/>
    <col min="16" max="16" width="10" style="96" bestFit="1" customWidth="1"/>
    <col min="17" max="19" width="8.86328125" style="96"/>
    <col min="20" max="20" width="18.53125" style="96" bestFit="1" customWidth="1"/>
    <col min="21" max="28" width="8.86328125" style="96"/>
    <col min="29" max="29" width="20.6640625" style="96" bestFit="1" customWidth="1"/>
    <col min="30" max="16384" width="8.86328125" style="96"/>
  </cols>
  <sheetData>
    <row r="3" spans="2:35" ht="15.4" x14ac:dyDescent="0.45">
      <c r="B3" s="99"/>
      <c r="C3" s="154" t="s">
        <v>7</v>
      </c>
      <c r="D3" s="154"/>
      <c r="E3" s="154"/>
      <c r="F3" s="154"/>
      <c r="G3" s="98"/>
      <c r="H3" s="98"/>
      <c r="K3" s="99"/>
      <c r="L3" s="154" t="s">
        <v>8</v>
      </c>
      <c r="M3" s="154"/>
      <c r="N3" s="154"/>
      <c r="O3" s="154"/>
      <c r="P3" s="98"/>
      <c r="Q3" s="98"/>
      <c r="T3" s="99"/>
      <c r="U3" s="154" t="s">
        <v>9</v>
      </c>
      <c r="V3" s="154"/>
      <c r="W3" s="154"/>
      <c r="X3" s="154"/>
      <c r="Y3" s="98"/>
      <c r="Z3" s="98"/>
      <c r="AA3" s="98"/>
      <c r="AC3" s="99"/>
      <c r="AD3" s="154" t="s">
        <v>10</v>
      </c>
      <c r="AE3" s="154"/>
      <c r="AF3" s="154"/>
      <c r="AG3" s="154"/>
      <c r="AH3" s="98"/>
      <c r="AI3" s="98"/>
    </row>
    <row r="5" spans="2:35" x14ac:dyDescent="0.35">
      <c r="B5" s="97"/>
      <c r="C5" s="97"/>
      <c r="D5" s="101" t="s">
        <v>72</v>
      </c>
      <c r="E5" s="97"/>
      <c r="F5" s="100" t="s">
        <v>73</v>
      </c>
      <c r="G5" s="97"/>
      <c r="H5" s="97"/>
      <c r="K5" s="97"/>
      <c r="L5" s="97"/>
      <c r="M5" s="101" t="s">
        <v>72</v>
      </c>
      <c r="N5" s="97"/>
      <c r="O5" s="100" t="s">
        <v>73</v>
      </c>
      <c r="P5" s="97"/>
      <c r="Q5" s="97"/>
      <c r="T5" s="97"/>
      <c r="U5" s="97"/>
      <c r="V5" s="101" t="s">
        <v>72</v>
      </c>
      <c r="W5" s="97"/>
      <c r="X5" s="100" t="s">
        <v>73</v>
      </c>
      <c r="Y5" s="97"/>
      <c r="Z5" s="97"/>
      <c r="AA5" s="97"/>
      <c r="AC5" s="97"/>
      <c r="AD5" s="97"/>
      <c r="AE5" s="101" t="s">
        <v>72</v>
      </c>
      <c r="AF5" s="97"/>
      <c r="AG5" s="100" t="s">
        <v>73</v>
      </c>
      <c r="AH5" s="97"/>
      <c r="AI5" s="97"/>
    </row>
    <row r="6" spans="2:35" x14ac:dyDescent="0.35">
      <c r="B6" s="102" t="s">
        <v>74</v>
      </c>
      <c r="C6" s="103" t="s">
        <v>29</v>
      </c>
      <c r="D6" s="103" t="s">
        <v>30</v>
      </c>
      <c r="E6" s="103" t="s">
        <v>31</v>
      </c>
      <c r="F6" s="103" t="s">
        <v>75</v>
      </c>
      <c r="G6" s="103" t="s">
        <v>76</v>
      </c>
      <c r="H6" s="103" t="s">
        <v>77</v>
      </c>
      <c r="K6" s="102" t="s">
        <v>74</v>
      </c>
      <c r="L6" s="103" t="s">
        <v>29</v>
      </c>
      <c r="M6" s="103" t="s">
        <v>30</v>
      </c>
      <c r="N6" s="103" t="s">
        <v>31</v>
      </c>
      <c r="O6" s="103" t="s">
        <v>75</v>
      </c>
      <c r="P6" s="103" t="s">
        <v>76</v>
      </c>
      <c r="Q6" s="103" t="s">
        <v>77</v>
      </c>
      <c r="T6" s="102" t="s">
        <v>74</v>
      </c>
      <c r="U6" s="103" t="s">
        <v>29</v>
      </c>
      <c r="V6" s="103" t="s">
        <v>30</v>
      </c>
      <c r="W6" s="103" t="s">
        <v>31</v>
      </c>
      <c r="X6" s="103" t="s">
        <v>75</v>
      </c>
      <c r="Y6" s="103" t="s">
        <v>76</v>
      </c>
      <c r="Z6" s="103" t="s">
        <v>77</v>
      </c>
      <c r="AA6" s="100"/>
      <c r="AC6" s="102" t="s">
        <v>74</v>
      </c>
      <c r="AD6" s="103" t="s">
        <v>29</v>
      </c>
      <c r="AE6" s="103" t="s">
        <v>30</v>
      </c>
      <c r="AF6" s="103" t="s">
        <v>31</v>
      </c>
      <c r="AG6" s="103" t="s">
        <v>75</v>
      </c>
      <c r="AH6" s="103" t="s">
        <v>76</v>
      </c>
      <c r="AI6" s="103" t="s">
        <v>77</v>
      </c>
    </row>
    <row r="7" spans="2:35" x14ac:dyDescent="0.35">
      <c r="B7" s="111" t="s">
        <v>33</v>
      </c>
      <c r="C7" s="108">
        <v>7.434928812660127</v>
      </c>
      <c r="D7" s="108">
        <v>14.040845327284968</v>
      </c>
      <c r="E7" s="108">
        <v>14.040845327284968</v>
      </c>
      <c r="F7" s="108">
        <f>MAX(C7:E7)-MIN(C7:E7)</f>
        <v>6.6059165146248411</v>
      </c>
      <c r="G7" s="108">
        <f>F7^2</f>
        <v>43.638132998193207</v>
      </c>
      <c r="H7" s="105">
        <f>G7/$G$11</f>
        <v>9.3365994611550901E-2</v>
      </c>
      <c r="K7" s="111" t="s">
        <v>33</v>
      </c>
      <c r="L7" s="108">
        <v>-3.0420332032869943</v>
      </c>
      <c r="M7" s="108">
        <v>8.9463754450642767</v>
      </c>
      <c r="N7" s="108">
        <v>30.507873443782131</v>
      </c>
      <c r="O7" s="108">
        <f>MAX(L7:N7)-MIN(L7:N7)</f>
        <v>33.549906647069122</v>
      </c>
      <c r="P7" s="108">
        <f>O7^2</f>
        <v>1125.5962360270528</v>
      </c>
      <c r="Q7" s="105">
        <f>P7/$P$12</f>
        <v>0.53533328930924717</v>
      </c>
      <c r="T7" s="111" t="s">
        <v>33</v>
      </c>
      <c r="U7" s="108">
        <v>4.7583544401024813</v>
      </c>
      <c r="V7" s="108">
        <v>11.895886100256202</v>
      </c>
      <c r="W7" s="108">
        <v>19.09554964510756</v>
      </c>
      <c r="X7" s="108">
        <f>MAX(U7:W7)-MIN(U7:W7)</f>
        <v>14.337195205005079</v>
      </c>
      <c r="Y7" s="108">
        <f>X7^2</f>
        <v>205.55516634642063</v>
      </c>
      <c r="Z7" s="105">
        <f>Y7/$Y$12</f>
        <v>0.37431673264244314</v>
      </c>
      <c r="AA7" s="107"/>
      <c r="AC7" s="111" t="s">
        <v>33</v>
      </c>
      <c r="AD7" s="108">
        <v>2.0460924092440669</v>
      </c>
      <c r="AE7" s="108">
        <v>5.115231023110173</v>
      </c>
      <c r="AF7" s="108">
        <v>11.253508250842374</v>
      </c>
      <c r="AG7" s="108">
        <f>MAX(AD7:AF7)-MIN(AD7:AF7)</f>
        <v>9.2074158415983085</v>
      </c>
      <c r="AH7" s="108">
        <f>AG7^2</f>
        <v>84.776506480115486</v>
      </c>
      <c r="AI7" s="105">
        <f>AH7/$AH$11</f>
        <v>0.90584833275605314</v>
      </c>
    </row>
    <row r="8" spans="2:35" x14ac:dyDescent="0.35">
      <c r="B8" s="111" t="s">
        <v>38</v>
      </c>
      <c r="C8" s="108">
        <v>11.632190577614923</v>
      </c>
      <c r="D8" s="108">
        <v>14.040845327284968</v>
      </c>
      <c r="E8" s="108">
        <v>14.040845327284968</v>
      </c>
      <c r="F8" s="108">
        <f t="shared" ref="F8:F10" si="0">MAX(C8:E8)-MIN(C8:E8)</f>
        <v>2.4086547496700454</v>
      </c>
      <c r="G8" s="108">
        <f t="shared" ref="G8:G10" si="1">F8^2</f>
        <v>5.8016177031080689</v>
      </c>
      <c r="H8" s="105">
        <f t="shared" ref="H8:H10" si="2">G8/$G$11</f>
        <v>1.2412854766932713E-2</v>
      </c>
      <c r="K8" s="111" t="s">
        <v>38</v>
      </c>
      <c r="L8" s="108">
        <v>1.8956858265406655</v>
      </c>
      <c r="M8" s="108">
        <v>8.9463754450642767</v>
      </c>
      <c r="N8" s="108">
        <v>10.577300017468449</v>
      </c>
      <c r="O8" s="108">
        <f t="shared" ref="O8:O11" si="3">MAX(L8:N8)-MIN(L8:N8)</f>
        <v>8.6816141909277835</v>
      </c>
      <c r="P8" s="108">
        <f t="shared" ref="P8:P11" si="4">O8^2</f>
        <v>75.370424960118669</v>
      </c>
      <c r="Q8" s="105">
        <f t="shared" ref="Q8:Q11" si="5">P8/$P$12</f>
        <v>3.5846155325599698E-2</v>
      </c>
      <c r="T8" s="111" t="s">
        <v>36</v>
      </c>
      <c r="U8" s="108">
        <v>9.6654074564581656</v>
      </c>
      <c r="V8" s="108">
        <v>11.895886100256202</v>
      </c>
      <c r="W8" s="108">
        <v>13.38287186278823</v>
      </c>
      <c r="X8" s="108">
        <f>MAX(U8:W8)-MIN(U8:W8)</f>
        <v>3.7174644063300644</v>
      </c>
      <c r="Y8" s="108">
        <f>X8^2</f>
        <v>13.819541612330937</v>
      </c>
      <c r="Z8" s="105">
        <f t="shared" ref="Z8:Z11" si="6">Y8/$Y$12</f>
        <v>2.516543736111293E-2</v>
      </c>
      <c r="AA8" s="107"/>
      <c r="AC8" s="111" t="s">
        <v>36</v>
      </c>
      <c r="AD8" s="108">
        <v>4.1561252062770162</v>
      </c>
      <c r="AE8" s="108">
        <v>5.115231023110173</v>
      </c>
      <c r="AF8" s="108">
        <v>5.7546349009989424</v>
      </c>
      <c r="AG8" s="108">
        <f>MAX(AD8:AF8)-MIN(AD8:AF8)</f>
        <v>1.5985096947219262</v>
      </c>
      <c r="AH8" s="108">
        <f>AG8^2</f>
        <v>2.5552332441199854</v>
      </c>
      <c r="AI8" s="105">
        <f t="shared" ref="AI8:AI10" si="7">AH8/$AH$11</f>
        <v>2.7303009643737053E-2</v>
      </c>
    </row>
    <row r="9" spans="2:35" x14ac:dyDescent="0.35">
      <c r="B9" s="102" t="s">
        <v>42</v>
      </c>
      <c r="C9" s="108">
        <v>2.8081690654569935</v>
      </c>
      <c r="D9" s="108">
        <v>14.040845327284968</v>
      </c>
      <c r="E9" s="108">
        <v>22.465352523655948</v>
      </c>
      <c r="F9" s="108">
        <f t="shared" si="0"/>
        <v>19.657183458198954</v>
      </c>
      <c r="G9" s="108">
        <f t="shared" si="1"/>
        <v>386.40486150929058</v>
      </c>
      <c r="H9" s="105">
        <f t="shared" si="2"/>
        <v>0.82673276189536404</v>
      </c>
      <c r="K9" s="102" t="s">
        <v>42</v>
      </c>
      <c r="L9" s="108">
        <v>-8.5040896672095663</v>
      </c>
      <c r="M9" s="108">
        <v>8.9463754450642767</v>
      </c>
      <c r="N9" s="108">
        <v>20.374145977663837</v>
      </c>
      <c r="O9" s="108">
        <f t="shared" si="3"/>
        <v>28.878235644873403</v>
      </c>
      <c r="P9" s="108">
        <f t="shared" si="4"/>
        <v>833.9524939608367</v>
      </c>
      <c r="Q9" s="105">
        <f t="shared" si="5"/>
        <v>0.39662759827225902</v>
      </c>
      <c r="T9" s="111" t="s">
        <v>38</v>
      </c>
      <c r="U9" s="108">
        <v>7.444601969673549</v>
      </c>
      <c r="V9" s="108">
        <v>11.895886100256202</v>
      </c>
      <c r="W9" s="108">
        <v>12.900544586754121</v>
      </c>
      <c r="X9" s="108">
        <f t="shared" ref="X9:X11" si="8">MAX(U9:W9)-MIN(U9:W9)</f>
        <v>5.4559426170805718</v>
      </c>
      <c r="Y9" s="108">
        <f t="shared" ref="Y9:Y11" si="9">X9^2</f>
        <v>29.767309840875999</v>
      </c>
      <c r="Z9" s="105">
        <f t="shared" si="6"/>
        <v>5.4206383411515617E-2</v>
      </c>
      <c r="AA9" s="107"/>
      <c r="AC9" s="111" t="s">
        <v>38</v>
      </c>
      <c r="AD9" s="108">
        <v>3.2011788469596318</v>
      </c>
      <c r="AE9" s="108">
        <v>5.115231023110173</v>
      </c>
      <c r="AF9" s="108">
        <v>5.5597421456524234</v>
      </c>
      <c r="AG9" s="108">
        <f t="shared" ref="AG9:AG10" si="10">MAX(AD9:AF9)-MIN(AD9:AF9)</f>
        <v>2.3585632986927916</v>
      </c>
      <c r="AH9" s="108">
        <f t="shared" ref="AH9:AH10" si="11">AG9^2</f>
        <v>5.5628208339406227</v>
      </c>
      <c r="AI9" s="105">
        <f t="shared" si="7"/>
        <v>5.943948609191245E-2</v>
      </c>
    </row>
    <row r="10" spans="2:35" x14ac:dyDescent="0.35">
      <c r="B10" s="102" t="s">
        <v>45</v>
      </c>
      <c r="C10" s="108">
        <v>16.849014392741964</v>
      </c>
      <c r="D10" s="108">
        <v>14.040845327284968</v>
      </c>
      <c r="E10" s="108">
        <v>11.232676261827974</v>
      </c>
      <c r="F10" s="108">
        <f t="shared" si="0"/>
        <v>5.6163381309139897</v>
      </c>
      <c r="G10" s="108">
        <f t="shared" si="1"/>
        <v>31.543254000758449</v>
      </c>
      <c r="H10" s="105">
        <f t="shared" si="2"/>
        <v>6.7488388726152246E-2</v>
      </c>
      <c r="K10" s="102" t="s">
        <v>45</v>
      </c>
      <c r="L10" s="108">
        <v>12.777610861340651</v>
      </c>
      <c r="M10" s="108">
        <v>8.9463754450642767</v>
      </c>
      <c r="N10" s="108">
        <v>5.0645552624763042</v>
      </c>
      <c r="O10" s="108">
        <f t="shared" si="3"/>
        <v>7.7130555988643472</v>
      </c>
      <c r="P10" s="108">
        <f t="shared" si="4"/>
        <v>59.491226671172655</v>
      </c>
      <c r="Q10" s="105">
        <f t="shared" si="5"/>
        <v>2.8294012577131111E-2</v>
      </c>
      <c r="T10" s="102" t="s">
        <v>42</v>
      </c>
      <c r="U10" s="108">
        <v>2.3791772200512398</v>
      </c>
      <c r="V10" s="108">
        <v>11.895886100256202</v>
      </c>
      <c r="W10" s="108">
        <v>19.033417760409925</v>
      </c>
      <c r="X10" s="108">
        <f t="shared" si="8"/>
        <v>16.654240540358686</v>
      </c>
      <c r="Y10" s="108">
        <f t="shared" si="9"/>
        <v>277.36372797612677</v>
      </c>
      <c r="Z10" s="105">
        <f t="shared" si="6"/>
        <v>0.50508039401248084</v>
      </c>
      <c r="AA10" s="107"/>
      <c r="AC10" s="102" t="s">
        <v>42</v>
      </c>
      <c r="AD10" s="108">
        <v>4.6393955790999239</v>
      </c>
      <c r="AE10" s="108">
        <v>5.115231023110173</v>
      </c>
      <c r="AF10" s="108">
        <v>5.4721076061178637</v>
      </c>
      <c r="AG10" s="108">
        <f t="shared" si="10"/>
        <v>0.83271202701793978</v>
      </c>
      <c r="AH10" s="108">
        <f t="shared" si="11"/>
        <v>0.69340931994032606</v>
      </c>
      <c r="AI10" s="105">
        <f t="shared" si="7"/>
        <v>7.4091715082972992E-3</v>
      </c>
    </row>
    <row r="11" spans="2:35" x14ac:dyDescent="0.35">
      <c r="B11" s="97"/>
      <c r="C11" s="109"/>
      <c r="D11" s="109"/>
      <c r="E11" s="109"/>
      <c r="F11" s="104" t="s">
        <v>78</v>
      </c>
      <c r="G11" s="110">
        <f>SUM(G7:G10)</f>
        <v>467.38786621135034</v>
      </c>
      <c r="H11" s="107"/>
      <c r="K11" s="102" t="s">
        <v>47</v>
      </c>
      <c r="L11" s="108">
        <v>10.00786061507257</v>
      </c>
      <c r="M11" s="108">
        <v>8.9463754450642767</v>
      </c>
      <c r="N11" s="108">
        <v>7.1446538052209085</v>
      </c>
      <c r="O11" s="108">
        <f t="shared" si="3"/>
        <v>2.8632068098516612</v>
      </c>
      <c r="P11" s="108">
        <f t="shared" si="4"/>
        <v>8.1979532359809273</v>
      </c>
      <c r="Q11" s="105">
        <f t="shared" si="5"/>
        <v>3.8989445157629143E-3</v>
      </c>
      <c r="T11" s="102" t="s">
        <v>45</v>
      </c>
      <c r="U11" s="108">
        <v>14.275063320307446</v>
      </c>
      <c r="V11" s="108">
        <v>11.895886100256202</v>
      </c>
      <c r="W11" s="108">
        <v>9.5167088802049591</v>
      </c>
      <c r="X11" s="108">
        <f t="shared" si="8"/>
        <v>4.7583544401024866</v>
      </c>
      <c r="Y11" s="108">
        <f t="shared" si="9"/>
        <v>22.641936977643049</v>
      </c>
      <c r="Z11" s="105">
        <f t="shared" si="6"/>
        <v>4.1231052572447503E-2</v>
      </c>
      <c r="AA11" s="107"/>
      <c r="AC11" s="112"/>
      <c r="AD11" s="106"/>
      <c r="AE11" s="100"/>
      <c r="AF11" s="106"/>
      <c r="AG11" s="110" t="s">
        <v>78</v>
      </c>
      <c r="AH11" s="110">
        <f>SUM(AH7:AH10)</f>
        <v>93.587969878116425</v>
      </c>
      <c r="AI11" s="107"/>
    </row>
    <row r="12" spans="2:35" x14ac:dyDescent="0.35">
      <c r="B12" s="112"/>
      <c r="C12" s="106"/>
      <c r="D12" s="100"/>
      <c r="E12" s="106"/>
      <c r="F12" s="106"/>
      <c r="G12" s="106"/>
      <c r="H12" s="107"/>
      <c r="K12" s="112"/>
      <c r="L12" s="106"/>
      <c r="M12" s="100"/>
      <c r="N12" s="106"/>
      <c r="O12" s="110" t="s">
        <v>78</v>
      </c>
      <c r="P12" s="110">
        <f>SUM(P7:P11)</f>
        <v>2102.608334855162</v>
      </c>
      <c r="Q12" s="107"/>
      <c r="T12" s="112"/>
      <c r="U12" s="106"/>
      <c r="V12" s="100"/>
      <c r="W12" s="106"/>
      <c r="X12" s="110" t="s">
        <v>78</v>
      </c>
      <c r="Y12" s="110">
        <f>SUM(Y7:Y11)</f>
        <v>549.14768275339736</v>
      </c>
      <c r="Z12" s="107"/>
      <c r="AA12" s="107"/>
      <c r="AC12" s="112"/>
      <c r="AD12" s="106"/>
      <c r="AE12" s="100"/>
      <c r="AF12" s="106"/>
      <c r="AG12" s="137"/>
      <c r="AH12" s="137"/>
      <c r="AI12" s="107"/>
    </row>
    <row r="14" spans="2:35" ht="14.25" x14ac:dyDescent="0.45">
      <c r="B14" s="113" t="s">
        <v>79</v>
      </c>
      <c r="K14" s="113" t="s">
        <v>79</v>
      </c>
      <c r="T14" s="113" t="s">
        <v>79</v>
      </c>
      <c r="AC14" s="113" t="s">
        <v>79</v>
      </c>
    </row>
    <row r="15" spans="2:35" x14ac:dyDescent="0.35">
      <c r="B15" s="97"/>
      <c r="C15" s="97"/>
      <c r="D15" s="101" t="s">
        <v>72</v>
      </c>
      <c r="E15" s="97"/>
      <c r="F15" s="100" t="s">
        <v>73</v>
      </c>
      <c r="G15" s="97"/>
      <c r="H15" s="97"/>
      <c r="K15" s="97"/>
      <c r="L15" s="97"/>
      <c r="M15" s="101" t="s">
        <v>72</v>
      </c>
      <c r="N15" s="97"/>
      <c r="O15" s="100" t="s">
        <v>73</v>
      </c>
      <c r="P15" s="97"/>
      <c r="Q15" s="97"/>
      <c r="T15" s="97"/>
      <c r="U15" s="97"/>
      <c r="V15" s="101" t="s">
        <v>72</v>
      </c>
      <c r="W15" s="97"/>
      <c r="X15" s="100" t="s">
        <v>73</v>
      </c>
      <c r="Y15" s="97"/>
      <c r="Z15" s="97"/>
      <c r="AC15" s="97"/>
      <c r="AD15" s="97"/>
      <c r="AE15" s="101" t="s">
        <v>72</v>
      </c>
      <c r="AF15" s="97"/>
      <c r="AG15" s="100" t="s">
        <v>73</v>
      </c>
      <c r="AH15" s="97"/>
      <c r="AI15" s="97"/>
    </row>
    <row r="16" spans="2:35" x14ac:dyDescent="0.35">
      <c r="B16" s="102" t="s">
        <v>74</v>
      </c>
      <c r="C16" s="103" t="s">
        <v>29</v>
      </c>
      <c r="D16" s="103" t="s">
        <v>30</v>
      </c>
      <c r="E16" s="103" t="s">
        <v>31</v>
      </c>
      <c r="F16" s="103" t="s">
        <v>75</v>
      </c>
      <c r="G16" s="103" t="s">
        <v>76</v>
      </c>
      <c r="H16" s="103" t="s">
        <v>77</v>
      </c>
      <c r="K16" s="102" t="s">
        <v>74</v>
      </c>
      <c r="L16" s="103" t="s">
        <v>29</v>
      </c>
      <c r="M16" s="103" t="s">
        <v>30</v>
      </c>
      <c r="N16" s="103" t="s">
        <v>31</v>
      </c>
      <c r="O16" s="103" t="s">
        <v>75</v>
      </c>
      <c r="P16" s="103" t="s">
        <v>76</v>
      </c>
      <c r="Q16" s="103" t="s">
        <v>77</v>
      </c>
      <c r="T16" s="102" t="s">
        <v>74</v>
      </c>
      <c r="U16" s="103" t="s">
        <v>29</v>
      </c>
      <c r="V16" s="103" t="s">
        <v>30</v>
      </c>
      <c r="W16" s="103" t="s">
        <v>31</v>
      </c>
      <c r="X16" s="103" t="s">
        <v>75</v>
      </c>
      <c r="Y16" s="103" t="s">
        <v>76</v>
      </c>
      <c r="Z16" s="103" t="s">
        <v>77</v>
      </c>
      <c r="AC16" s="102" t="s">
        <v>74</v>
      </c>
      <c r="AD16" s="103" t="s">
        <v>29</v>
      </c>
      <c r="AE16" s="103" t="s">
        <v>30</v>
      </c>
      <c r="AF16" s="103" t="s">
        <v>31</v>
      </c>
      <c r="AG16" s="103" t="s">
        <v>75</v>
      </c>
      <c r="AH16" s="103" t="s">
        <v>76</v>
      </c>
      <c r="AI16" s="103" t="s">
        <v>77</v>
      </c>
    </row>
    <row r="17" spans="2:35" x14ac:dyDescent="0.35">
      <c r="B17" s="102" t="s">
        <v>38</v>
      </c>
      <c r="C17" s="114">
        <v>11.632190577614923</v>
      </c>
      <c r="D17" s="114">
        <v>14.040845327284968</v>
      </c>
      <c r="E17" s="114">
        <v>14.040845327284968</v>
      </c>
      <c r="F17" s="114">
        <v>2.4086547496700454</v>
      </c>
      <c r="G17" s="114">
        <v>5.8016177031080689</v>
      </c>
      <c r="H17" s="118">
        <v>1.2412854766932713E-2</v>
      </c>
      <c r="K17" s="102" t="s">
        <v>47</v>
      </c>
      <c r="L17" s="114">
        <v>10.00786061507257</v>
      </c>
      <c r="M17" s="114">
        <v>8.9463754450642767</v>
      </c>
      <c r="N17" s="114">
        <v>7.1446538052209085</v>
      </c>
      <c r="O17" s="114">
        <v>2.8632068098516612</v>
      </c>
      <c r="P17" s="114">
        <v>8.1979532359809273</v>
      </c>
      <c r="Q17" s="118">
        <v>3.8989445157629143E-3</v>
      </c>
      <c r="T17" s="111" t="s">
        <v>36</v>
      </c>
      <c r="U17" s="108">
        <v>9.6654074564581656</v>
      </c>
      <c r="V17" s="108">
        <v>11.895886100256202</v>
      </c>
      <c r="W17" s="108">
        <v>13.38287186278823</v>
      </c>
      <c r="X17" s="108">
        <v>3.7174644063300644</v>
      </c>
      <c r="Y17" s="108">
        <v>13.819541612330937</v>
      </c>
      <c r="Z17" s="119">
        <v>2.516543736111293E-2</v>
      </c>
      <c r="AC17" s="111" t="s">
        <v>42</v>
      </c>
      <c r="AD17" s="108">
        <v>4.6393955790999239</v>
      </c>
      <c r="AE17" s="108">
        <v>5.115231023110173</v>
      </c>
      <c r="AF17" s="108">
        <v>5.4721076061178637</v>
      </c>
      <c r="AG17" s="108">
        <v>0.83271202701793978</v>
      </c>
      <c r="AH17" s="108">
        <v>0.69340931994032606</v>
      </c>
      <c r="AI17" s="119">
        <v>7.4091715082972992E-3</v>
      </c>
    </row>
    <row r="18" spans="2:35" x14ac:dyDescent="0.35">
      <c r="B18" s="102" t="s">
        <v>45</v>
      </c>
      <c r="C18" s="114">
        <v>16.849014392741964</v>
      </c>
      <c r="D18" s="114">
        <v>14.040845327284968</v>
      </c>
      <c r="E18" s="114">
        <v>11.232676261827974</v>
      </c>
      <c r="F18" s="114">
        <v>5.6163381309139897</v>
      </c>
      <c r="G18" s="114">
        <v>31.543254000758449</v>
      </c>
      <c r="H18" s="118">
        <v>6.7488388726152246E-2</v>
      </c>
      <c r="K18" s="102" t="s">
        <v>45</v>
      </c>
      <c r="L18" s="114">
        <v>12.777610861340651</v>
      </c>
      <c r="M18" s="114">
        <v>8.9463754450642767</v>
      </c>
      <c r="N18" s="114">
        <v>5.0645552624763042</v>
      </c>
      <c r="O18" s="114">
        <v>7.7130555988643472</v>
      </c>
      <c r="P18" s="114">
        <v>59.491226671172655</v>
      </c>
      <c r="Q18" s="118">
        <v>2.8294012577131111E-2</v>
      </c>
      <c r="T18" s="111" t="s">
        <v>45</v>
      </c>
      <c r="U18" s="108">
        <v>14.275063320307446</v>
      </c>
      <c r="V18" s="108">
        <v>11.895886100256202</v>
      </c>
      <c r="W18" s="108">
        <v>9.5167088802049591</v>
      </c>
      <c r="X18" s="108">
        <v>4.7583544401024866</v>
      </c>
      <c r="Y18" s="108">
        <v>22.641936977643049</v>
      </c>
      <c r="Z18" s="119">
        <v>4.1231052572447503E-2</v>
      </c>
      <c r="AC18" s="111" t="s">
        <v>36</v>
      </c>
      <c r="AD18" s="108">
        <v>4.1561252062770162</v>
      </c>
      <c r="AE18" s="108">
        <v>5.115231023110173</v>
      </c>
      <c r="AF18" s="108">
        <v>5.7546349009989424</v>
      </c>
      <c r="AG18" s="108">
        <v>1.5985096947219262</v>
      </c>
      <c r="AH18" s="108">
        <v>2.5552332441199854</v>
      </c>
      <c r="AI18" s="119">
        <v>2.7303009643737053E-2</v>
      </c>
    </row>
    <row r="19" spans="2:35" x14ac:dyDescent="0.35">
      <c r="B19" s="102" t="s">
        <v>33</v>
      </c>
      <c r="C19" s="114">
        <v>7.434928812660127</v>
      </c>
      <c r="D19" s="114">
        <v>14.040845327284968</v>
      </c>
      <c r="E19" s="114">
        <v>14.040845327284968</v>
      </c>
      <c r="F19" s="114">
        <v>6.6059165146248411</v>
      </c>
      <c r="G19" s="114">
        <v>43.638132998193207</v>
      </c>
      <c r="H19" s="118">
        <v>9.3365994611550901E-2</v>
      </c>
      <c r="K19" s="102" t="s">
        <v>38</v>
      </c>
      <c r="L19" s="114">
        <v>1.8956858265406655</v>
      </c>
      <c r="M19" s="114">
        <v>8.9463754450642767</v>
      </c>
      <c r="N19" s="114">
        <v>10.577300017468449</v>
      </c>
      <c r="O19" s="114">
        <v>8.6816141909277835</v>
      </c>
      <c r="P19" s="114">
        <v>75.370424960118669</v>
      </c>
      <c r="Q19" s="118">
        <v>3.5846155325599698E-2</v>
      </c>
      <c r="T19" s="111" t="s">
        <v>38</v>
      </c>
      <c r="U19" s="108">
        <v>7.444601969673549</v>
      </c>
      <c r="V19" s="108">
        <v>11.895886100256202</v>
      </c>
      <c r="W19" s="108">
        <v>12.900544586754121</v>
      </c>
      <c r="X19" s="108">
        <v>5.4559426170805718</v>
      </c>
      <c r="Y19" s="108">
        <v>29.767309840875999</v>
      </c>
      <c r="Z19" s="119">
        <v>5.4206383411515617E-2</v>
      </c>
      <c r="AC19" s="111" t="s">
        <v>38</v>
      </c>
      <c r="AD19" s="108">
        <v>3.2011788469596318</v>
      </c>
      <c r="AE19" s="108">
        <v>5.115231023110173</v>
      </c>
      <c r="AF19" s="108">
        <v>5.5597421456524234</v>
      </c>
      <c r="AG19" s="108">
        <v>2.3585632986927916</v>
      </c>
      <c r="AH19" s="108">
        <v>5.5628208339406227</v>
      </c>
      <c r="AI19" s="119">
        <v>5.943948609191245E-2</v>
      </c>
    </row>
    <row r="20" spans="2:35" x14ac:dyDescent="0.35">
      <c r="B20" s="102" t="s">
        <v>42</v>
      </c>
      <c r="C20" s="114">
        <v>2.8081690654569935</v>
      </c>
      <c r="D20" s="114">
        <v>14.040845327284968</v>
      </c>
      <c r="E20" s="114">
        <v>22.465352523655948</v>
      </c>
      <c r="F20" s="114">
        <v>19.657183458198954</v>
      </c>
      <c r="G20" s="114">
        <v>386.40486150929058</v>
      </c>
      <c r="H20" s="118">
        <v>0.82673276189536404</v>
      </c>
      <c r="K20" s="102" t="s">
        <v>42</v>
      </c>
      <c r="L20" s="114">
        <v>-8.5040896672095663</v>
      </c>
      <c r="M20" s="114">
        <v>8.9463754450642767</v>
      </c>
      <c r="N20" s="114">
        <v>20.374145977663837</v>
      </c>
      <c r="O20" s="114">
        <v>28.878235644873403</v>
      </c>
      <c r="P20" s="114">
        <v>833.9524939608367</v>
      </c>
      <c r="Q20" s="118">
        <v>0.39662759827225902</v>
      </c>
      <c r="T20" s="102" t="s">
        <v>33</v>
      </c>
      <c r="U20" s="108">
        <v>4.7583544401024813</v>
      </c>
      <c r="V20" s="108">
        <v>11.895886100256202</v>
      </c>
      <c r="W20" s="108">
        <v>19.09554964510756</v>
      </c>
      <c r="X20" s="108">
        <v>14.337195205005079</v>
      </c>
      <c r="Y20" s="108">
        <v>205.55516634642063</v>
      </c>
      <c r="Z20" s="119">
        <v>0.37431673264244314</v>
      </c>
      <c r="AC20" s="102" t="s">
        <v>33</v>
      </c>
      <c r="AD20" s="108">
        <v>2.0460924092440669</v>
      </c>
      <c r="AE20" s="108">
        <v>5.115231023110173</v>
      </c>
      <c r="AF20" s="108">
        <v>11.253508250842374</v>
      </c>
      <c r="AG20" s="108">
        <v>9.2074158415983085</v>
      </c>
      <c r="AH20" s="108">
        <v>84.776506480115486</v>
      </c>
      <c r="AI20" s="119">
        <v>0.90584833275605314</v>
      </c>
    </row>
    <row r="21" spans="2:35" x14ac:dyDescent="0.35">
      <c r="K21" s="102" t="s">
        <v>33</v>
      </c>
      <c r="L21" s="114">
        <v>-3.0420332032869943</v>
      </c>
      <c r="M21" s="114">
        <v>8.9463754450642767</v>
      </c>
      <c r="N21" s="114">
        <v>30.507873443782131</v>
      </c>
      <c r="O21" s="114">
        <v>33.549906647069122</v>
      </c>
      <c r="P21" s="114">
        <v>1125.5962360270528</v>
      </c>
      <c r="Q21" s="118">
        <v>0.53533328930924717</v>
      </c>
      <c r="T21" s="102" t="s">
        <v>42</v>
      </c>
      <c r="U21" s="108">
        <v>2.3791772200512398</v>
      </c>
      <c r="V21" s="108">
        <v>11.895886100256202</v>
      </c>
      <c r="W21" s="108">
        <v>19.033417760409925</v>
      </c>
      <c r="X21" s="108">
        <v>16.654240540358686</v>
      </c>
      <c r="Y21" s="108">
        <v>277.36372797612677</v>
      </c>
      <c r="Z21" s="119">
        <v>0.50508039401248084</v>
      </c>
      <c r="AC21" s="97"/>
      <c r="AD21" s="109"/>
      <c r="AE21" s="109"/>
      <c r="AF21" s="109"/>
      <c r="AG21" s="109"/>
      <c r="AH21" s="109"/>
      <c r="AI21" s="138"/>
    </row>
    <row r="25" spans="2:35" x14ac:dyDescent="0.35">
      <c r="C25" s="103" t="s">
        <v>29</v>
      </c>
      <c r="D25" s="103" t="s">
        <v>31</v>
      </c>
      <c r="L25" s="103" t="s">
        <v>29</v>
      </c>
      <c r="M25" s="103" t="s">
        <v>31</v>
      </c>
      <c r="U25" s="103" t="s">
        <v>29</v>
      </c>
      <c r="V25" s="103" t="s">
        <v>31</v>
      </c>
      <c r="AD25" s="103" t="s">
        <v>29</v>
      </c>
      <c r="AE25" s="103" t="s">
        <v>31</v>
      </c>
    </row>
    <row r="26" spans="2:35" x14ac:dyDescent="0.35">
      <c r="B26" s="102" t="s">
        <v>38</v>
      </c>
      <c r="C26" s="115">
        <v>11.632190577614923</v>
      </c>
      <c r="D26" s="115">
        <v>14.040845327284968</v>
      </c>
      <c r="K26" s="102" t="s">
        <v>47</v>
      </c>
      <c r="L26" s="116">
        <v>10.00786061507257</v>
      </c>
      <c r="M26" s="116">
        <v>7.1446538052209085</v>
      </c>
      <c r="T26" s="111" t="s">
        <v>36</v>
      </c>
      <c r="U26" s="108">
        <v>9.6654074564581656</v>
      </c>
      <c r="V26" s="108">
        <v>13.38287186278823</v>
      </c>
      <c r="AC26" s="111" t="s">
        <v>42</v>
      </c>
      <c r="AD26" s="108">
        <v>4.6393955790999239</v>
      </c>
      <c r="AE26" s="108">
        <v>5.4721076061178637</v>
      </c>
    </row>
    <row r="27" spans="2:35" x14ac:dyDescent="0.35">
      <c r="B27" s="102" t="s">
        <v>45</v>
      </c>
      <c r="C27" s="115">
        <v>16.849014392741964</v>
      </c>
      <c r="D27" s="115">
        <v>11.232676261827974</v>
      </c>
      <c r="K27" s="102" t="s">
        <v>45</v>
      </c>
      <c r="L27" s="116">
        <v>12.777610861340651</v>
      </c>
      <c r="M27" s="116">
        <v>5.0645552624763042</v>
      </c>
      <c r="T27" s="111" t="s">
        <v>45</v>
      </c>
      <c r="U27" s="108">
        <v>14.275063320307446</v>
      </c>
      <c r="V27" s="108">
        <v>9.5167088802049591</v>
      </c>
      <c r="AC27" s="111" t="s">
        <v>36</v>
      </c>
      <c r="AD27" s="108">
        <v>4.1561252062770162</v>
      </c>
      <c r="AE27" s="108">
        <v>5.7546349009989424</v>
      </c>
    </row>
    <row r="28" spans="2:35" x14ac:dyDescent="0.35">
      <c r="B28" s="102" t="s">
        <v>33</v>
      </c>
      <c r="C28" s="115">
        <v>7.434928812660127</v>
      </c>
      <c r="D28" s="115">
        <v>14.040845327284968</v>
      </c>
      <c r="K28" s="102" t="s">
        <v>38</v>
      </c>
      <c r="L28" s="116">
        <v>1.8956858265406655</v>
      </c>
      <c r="M28" s="116">
        <v>10.577300017468449</v>
      </c>
      <c r="T28" s="111" t="s">
        <v>38</v>
      </c>
      <c r="U28" s="108">
        <v>7.444601969673549</v>
      </c>
      <c r="V28" s="108">
        <v>12.900544586754121</v>
      </c>
      <c r="AC28" s="111" t="s">
        <v>38</v>
      </c>
      <c r="AD28" s="108">
        <v>3.2011788469596318</v>
      </c>
      <c r="AE28" s="108">
        <v>5.5597421456524234</v>
      </c>
    </row>
    <row r="29" spans="2:35" x14ac:dyDescent="0.35">
      <c r="B29" s="102" t="s">
        <v>42</v>
      </c>
      <c r="C29" s="115">
        <v>2.8081690654569935</v>
      </c>
      <c r="D29" s="115">
        <v>22.465352523655948</v>
      </c>
      <c r="K29" s="102" t="s">
        <v>42</v>
      </c>
      <c r="L29" s="116">
        <v>-8.5040896672095663</v>
      </c>
      <c r="M29" s="116">
        <v>20.374145977663837</v>
      </c>
      <c r="T29" s="102" t="s">
        <v>33</v>
      </c>
      <c r="U29" s="108">
        <v>4.7583544401024813</v>
      </c>
      <c r="V29" s="108">
        <v>19.09554964510756</v>
      </c>
      <c r="AC29" s="102" t="s">
        <v>33</v>
      </c>
      <c r="AD29" s="108">
        <v>2.0460924092440669</v>
      </c>
      <c r="AE29" s="108">
        <v>11.253508250842374</v>
      </c>
    </row>
    <row r="30" spans="2:35" x14ac:dyDescent="0.35">
      <c r="K30" s="102" t="s">
        <v>33</v>
      </c>
      <c r="L30" s="116">
        <v>-3.0420332032869943</v>
      </c>
      <c r="M30" s="116">
        <v>30.507873443782131</v>
      </c>
      <c r="T30" s="102" t="s">
        <v>42</v>
      </c>
      <c r="U30" s="108">
        <v>2.3791772200512398</v>
      </c>
      <c r="V30" s="108">
        <v>19.033417760409925</v>
      </c>
      <c r="AC30" s="97"/>
      <c r="AD30" s="109"/>
      <c r="AE30" s="109"/>
    </row>
  </sheetData>
  <mergeCells count="4">
    <mergeCell ref="C3:F3"/>
    <mergeCell ref="L3:O3"/>
    <mergeCell ref="U3:X3"/>
    <mergeCell ref="AD3:A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71E2-B0F0-45C6-B8B4-15BE1E96762B}">
  <dimension ref="B3:L257"/>
  <sheetViews>
    <sheetView zoomScale="60" zoomScaleNormal="60" workbookViewId="0">
      <selection activeCell="G233" sqref="G233"/>
    </sheetView>
  </sheetViews>
  <sheetFormatPr defaultColWidth="8.86328125" defaultRowHeight="12.4" x14ac:dyDescent="0.35"/>
  <cols>
    <col min="1" max="1" width="8.86328125" style="97"/>
    <col min="2" max="2" width="8.86328125" style="97" customWidth="1"/>
    <col min="3" max="5" width="8.86328125" style="97"/>
    <col min="6" max="6" width="15.46484375" style="97" customWidth="1"/>
    <col min="7" max="7" width="8.86328125" style="97"/>
    <col min="8" max="8" width="15.1328125" style="97" customWidth="1"/>
    <col min="9" max="9" width="8.86328125" style="97"/>
    <col min="10" max="10" width="10.1328125" style="97" customWidth="1"/>
    <col min="11" max="16384" width="8.86328125" style="97"/>
  </cols>
  <sheetData>
    <row r="3" spans="7:12" x14ac:dyDescent="0.35">
      <c r="K3" s="155" t="s">
        <v>42</v>
      </c>
      <c r="L3" s="155"/>
    </row>
    <row r="5" spans="7:12" x14ac:dyDescent="0.35">
      <c r="K5" s="120" t="s">
        <v>31</v>
      </c>
      <c r="L5" s="122">
        <v>0.25</v>
      </c>
    </row>
    <row r="6" spans="7:12" x14ac:dyDescent="0.35">
      <c r="I6" s="155" t="s">
        <v>33</v>
      </c>
      <c r="J6" s="155"/>
      <c r="K6" s="117"/>
    </row>
    <row r="7" spans="7:12" x14ac:dyDescent="0.35">
      <c r="K7" s="117"/>
    </row>
    <row r="8" spans="7:12" x14ac:dyDescent="0.35">
      <c r="I8" s="120" t="s">
        <v>31</v>
      </c>
      <c r="J8" s="122">
        <v>0.25</v>
      </c>
      <c r="K8" s="120" t="s">
        <v>30</v>
      </c>
      <c r="L8" s="122">
        <v>0.5</v>
      </c>
    </row>
    <row r="9" spans="7:12" x14ac:dyDescent="0.35">
      <c r="I9" s="117"/>
      <c r="K9" s="117"/>
    </row>
    <row r="10" spans="7:12" x14ac:dyDescent="0.35">
      <c r="I10" s="117"/>
      <c r="K10" s="123"/>
    </row>
    <row r="11" spans="7:12" x14ac:dyDescent="0.35">
      <c r="I11" s="117"/>
      <c r="K11" s="122" t="s">
        <v>29</v>
      </c>
      <c r="L11" s="122">
        <v>0.25</v>
      </c>
    </row>
    <row r="12" spans="7:12" x14ac:dyDescent="0.35">
      <c r="I12" s="117"/>
    </row>
    <row r="13" spans="7:12" x14ac:dyDescent="0.35">
      <c r="I13" s="117"/>
      <c r="K13" s="155" t="s">
        <v>42</v>
      </c>
      <c r="L13" s="155"/>
    </row>
    <row r="14" spans="7:12" x14ac:dyDescent="0.35">
      <c r="I14" s="117"/>
    </row>
    <row r="15" spans="7:12" x14ac:dyDescent="0.35">
      <c r="I15" s="117"/>
      <c r="K15" s="120" t="s">
        <v>31</v>
      </c>
      <c r="L15" s="122">
        <v>0.25</v>
      </c>
    </row>
    <row r="16" spans="7:12" x14ac:dyDescent="0.35">
      <c r="G16" s="155" t="s">
        <v>45</v>
      </c>
      <c r="H16" s="155"/>
      <c r="I16" s="117"/>
      <c r="K16" s="117"/>
    </row>
    <row r="17" spans="7:12" x14ac:dyDescent="0.35">
      <c r="I17" s="117"/>
      <c r="K17" s="117"/>
    </row>
    <row r="18" spans="7:12" x14ac:dyDescent="0.35">
      <c r="G18" s="120" t="s">
        <v>31</v>
      </c>
      <c r="H18" s="122">
        <v>0.25</v>
      </c>
      <c r="I18" s="120" t="s">
        <v>30</v>
      </c>
      <c r="J18" s="122">
        <v>0.5</v>
      </c>
      <c r="K18" s="120" t="s">
        <v>30</v>
      </c>
      <c r="L18" s="122">
        <v>0.5</v>
      </c>
    </row>
    <row r="19" spans="7:12" x14ac:dyDescent="0.35">
      <c r="G19" s="117"/>
      <c r="I19" s="117"/>
      <c r="K19" s="117"/>
    </row>
    <row r="20" spans="7:12" x14ac:dyDescent="0.35">
      <c r="G20" s="117"/>
      <c r="I20" s="117"/>
      <c r="K20" s="123"/>
    </row>
    <row r="21" spans="7:12" x14ac:dyDescent="0.35">
      <c r="G21" s="117"/>
      <c r="I21" s="117"/>
      <c r="K21" s="122" t="s">
        <v>29</v>
      </c>
      <c r="L21" s="122">
        <v>0.25</v>
      </c>
    </row>
    <row r="22" spans="7:12" x14ac:dyDescent="0.35">
      <c r="G22" s="117"/>
      <c r="I22" s="117"/>
    </row>
    <row r="23" spans="7:12" x14ac:dyDescent="0.35">
      <c r="G23" s="117"/>
      <c r="I23" s="117"/>
      <c r="K23" s="155" t="s">
        <v>42</v>
      </c>
      <c r="L23" s="155"/>
    </row>
    <row r="24" spans="7:12" x14ac:dyDescent="0.35">
      <c r="G24" s="117"/>
      <c r="I24" s="117"/>
    </row>
    <row r="25" spans="7:12" x14ac:dyDescent="0.35">
      <c r="G25" s="117"/>
      <c r="I25" s="117"/>
      <c r="K25" s="120" t="s">
        <v>31</v>
      </c>
      <c r="L25" s="122">
        <v>0.25</v>
      </c>
    </row>
    <row r="26" spans="7:12" x14ac:dyDescent="0.35">
      <c r="G26" s="117"/>
      <c r="I26" s="117"/>
      <c r="K26" s="117"/>
    </row>
    <row r="27" spans="7:12" x14ac:dyDescent="0.35">
      <c r="G27" s="117"/>
      <c r="I27" s="123"/>
      <c r="K27" s="117"/>
    </row>
    <row r="28" spans="7:12" x14ac:dyDescent="0.35">
      <c r="G28" s="117"/>
      <c r="I28" s="122" t="s">
        <v>29</v>
      </c>
      <c r="J28" s="122">
        <v>0.25</v>
      </c>
      <c r="K28" s="120" t="s">
        <v>30</v>
      </c>
      <c r="L28" s="122">
        <v>0.5</v>
      </c>
    </row>
    <row r="29" spans="7:12" x14ac:dyDescent="0.35">
      <c r="G29" s="117"/>
      <c r="K29" s="117"/>
    </row>
    <row r="30" spans="7:12" x14ac:dyDescent="0.35">
      <c r="G30" s="117"/>
      <c r="K30" s="123"/>
    </row>
    <row r="31" spans="7:12" x14ac:dyDescent="0.35">
      <c r="G31" s="117"/>
      <c r="K31" s="122" t="s">
        <v>29</v>
      </c>
      <c r="L31" s="122">
        <v>0.25</v>
      </c>
    </row>
    <row r="32" spans="7:12" x14ac:dyDescent="0.35">
      <c r="G32" s="117"/>
      <c r="I32" s="155"/>
      <c r="J32" s="155"/>
    </row>
    <row r="33" spans="4:12" x14ac:dyDescent="0.35">
      <c r="G33" s="117"/>
      <c r="I33" s="124"/>
      <c r="J33" s="124"/>
    </row>
    <row r="34" spans="4:12" x14ac:dyDescent="0.35">
      <c r="G34" s="117"/>
      <c r="K34" s="155" t="s">
        <v>42</v>
      </c>
      <c r="L34" s="155"/>
    </row>
    <row r="35" spans="4:12" x14ac:dyDescent="0.35">
      <c r="G35" s="117"/>
    </row>
    <row r="36" spans="4:12" x14ac:dyDescent="0.35">
      <c r="G36" s="117"/>
      <c r="K36" s="120" t="s">
        <v>31</v>
      </c>
      <c r="L36" s="122">
        <v>0.25</v>
      </c>
    </row>
    <row r="37" spans="4:12" x14ac:dyDescent="0.35">
      <c r="G37" s="117"/>
      <c r="I37" s="155" t="s">
        <v>33</v>
      </c>
      <c r="J37" s="155"/>
      <c r="K37" s="117"/>
    </row>
    <row r="38" spans="4:12" x14ac:dyDescent="0.35">
      <c r="G38" s="117"/>
      <c r="K38" s="117"/>
    </row>
    <row r="39" spans="4:12" x14ac:dyDescent="0.35">
      <c r="G39" s="117"/>
      <c r="I39" s="120" t="s">
        <v>31</v>
      </c>
      <c r="J39" s="122">
        <v>0.25</v>
      </c>
      <c r="K39" s="120" t="s">
        <v>30</v>
      </c>
      <c r="L39" s="122">
        <v>0.5</v>
      </c>
    </row>
    <row r="40" spans="4:12" x14ac:dyDescent="0.35">
      <c r="G40" s="117"/>
      <c r="I40" s="117"/>
      <c r="K40" s="117"/>
    </row>
    <row r="41" spans="4:12" x14ac:dyDescent="0.35">
      <c r="G41" s="117"/>
      <c r="I41" s="117"/>
      <c r="K41" s="123"/>
    </row>
    <row r="42" spans="4:12" x14ac:dyDescent="0.35">
      <c r="G42" s="117"/>
      <c r="I42" s="117"/>
      <c r="K42" s="122" t="s">
        <v>29</v>
      </c>
      <c r="L42" s="122">
        <v>0.25</v>
      </c>
    </row>
    <row r="43" spans="4:12" x14ac:dyDescent="0.35">
      <c r="G43" s="117"/>
      <c r="I43" s="117"/>
    </row>
    <row r="44" spans="4:12" x14ac:dyDescent="0.35">
      <c r="G44" s="117"/>
      <c r="I44" s="117"/>
      <c r="K44" s="155" t="s">
        <v>42</v>
      </c>
      <c r="L44" s="155"/>
    </row>
    <row r="45" spans="4:12" x14ac:dyDescent="0.35">
      <c r="G45" s="117"/>
      <c r="I45" s="117"/>
    </row>
    <row r="46" spans="4:12" x14ac:dyDescent="0.35">
      <c r="G46" s="117"/>
      <c r="I46" s="117"/>
      <c r="K46" s="120" t="s">
        <v>31</v>
      </c>
      <c r="L46" s="122">
        <v>0.25</v>
      </c>
    </row>
    <row r="47" spans="4:12" x14ac:dyDescent="0.35">
      <c r="G47" s="117"/>
      <c r="I47" s="117"/>
      <c r="K47" s="117"/>
    </row>
    <row r="48" spans="4:12" x14ac:dyDescent="0.35">
      <c r="D48" s="156" t="s">
        <v>7</v>
      </c>
      <c r="E48" s="156"/>
      <c r="F48" s="157"/>
      <c r="G48" s="117"/>
      <c r="I48" s="117"/>
      <c r="K48" s="117"/>
    </row>
    <row r="49" spans="3:12" x14ac:dyDescent="0.35">
      <c r="C49" s="121"/>
      <c r="D49" s="120"/>
      <c r="E49" s="122"/>
      <c r="F49" s="122"/>
      <c r="G49" s="120" t="s">
        <v>30</v>
      </c>
      <c r="H49" s="122">
        <v>0.5</v>
      </c>
      <c r="I49" s="120" t="s">
        <v>30</v>
      </c>
      <c r="J49" s="122">
        <v>0.5</v>
      </c>
      <c r="K49" s="120" t="s">
        <v>30</v>
      </c>
      <c r="L49" s="122">
        <v>0.5</v>
      </c>
    </row>
    <row r="50" spans="3:12" x14ac:dyDescent="0.35">
      <c r="C50" s="121"/>
      <c r="G50" s="117"/>
      <c r="I50" s="117"/>
      <c r="K50" s="117"/>
    </row>
    <row r="51" spans="3:12" x14ac:dyDescent="0.35">
      <c r="C51" s="121"/>
      <c r="G51" s="117"/>
      <c r="I51" s="117"/>
      <c r="K51" s="123"/>
    </row>
    <row r="52" spans="3:12" x14ac:dyDescent="0.35">
      <c r="C52" s="121"/>
      <c r="G52" s="117"/>
      <c r="I52" s="117"/>
      <c r="K52" s="122" t="s">
        <v>29</v>
      </c>
      <c r="L52" s="122">
        <v>0.25</v>
      </c>
    </row>
    <row r="53" spans="3:12" x14ac:dyDescent="0.35">
      <c r="C53" s="121"/>
      <c r="G53" s="117"/>
      <c r="I53" s="117"/>
    </row>
    <row r="54" spans="3:12" x14ac:dyDescent="0.35">
      <c r="C54" s="121"/>
      <c r="G54" s="117"/>
      <c r="I54" s="117"/>
      <c r="K54" s="155" t="s">
        <v>42</v>
      </c>
      <c r="L54" s="155"/>
    </row>
    <row r="55" spans="3:12" x14ac:dyDescent="0.35">
      <c r="C55" s="121"/>
      <c r="G55" s="117"/>
      <c r="I55" s="117"/>
    </row>
    <row r="56" spans="3:12" x14ac:dyDescent="0.35">
      <c r="C56" s="121"/>
      <c r="G56" s="117"/>
      <c r="I56" s="117"/>
      <c r="K56" s="120" t="s">
        <v>31</v>
      </c>
      <c r="L56" s="122">
        <v>0.25</v>
      </c>
    </row>
    <row r="57" spans="3:12" x14ac:dyDescent="0.35">
      <c r="C57" s="121"/>
      <c r="G57" s="117"/>
      <c r="I57" s="117"/>
      <c r="K57" s="117"/>
    </row>
    <row r="58" spans="3:12" x14ac:dyDescent="0.35">
      <c r="C58" s="121"/>
      <c r="G58" s="117"/>
      <c r="I58" s="123"/>
      <c r="K58" s="117"/>
    </row>
    <row r="59" spans="3:12" x14ac:dyDescent="0.35">
      <c r="C59" s="121"/>
      <c r="G59" s="117"/>
      <c r="I59" s="122" t="s">
        <v>29</v>
      </c>
      <c r="J59" s="122">
        <v>0.25</v>
      </c>
      <c r="K59" s="120" t="s">
        <v>30</v>
      </c>
      <c r="L59" s="122">
        <v>0.5</v>
      </c>
    </row>
    <row r="60" spans="3:12" x14ac:dyDescent="0.35">
      <c r="C60" s="121"/>
      <c r="G60" s="117"/>
      <c r="K60" s="117"/>
    </row>
    <row r="61" spans="3:12" x14ac:dyDescent="0.35">
      <c r="C61" s="121"/>
      <c r="G61" s="117"/>
      <c r="K61" s="123"/>
    </row>
    <row r="62" spans="3:12" x14ac:dyDescent="0.35">
      <c r="C62" s="121"/>
      <c r="G62" s="117"/>
      <c r="K62" s="122" t="s">
        <v>29</v>
      </c>
      <c r="L62" s="122">
        <v>0.25</v>
      </c>
    </row>
    <row r="63" spans="3:12" x14ac:dyDescent="0.35">
      <c r="C63" s="121"/>
      <c r="G63" s="117"/>
    </row>
    <row r="64" spans="3:12" x14ac:dyDescent="0.35">
      <c r="C64" s="121"/>
      <c r="G64" s="117"/>
    </row>
    <row r="65" spans="3:12" x14ac:dyDescent="0.35">
      <c r="C65" s="121"/>
      <c r="G65" s="117"/>
      <c r="K65" s="155" t="s">
        <v>42</v>
      </c>
      <c r="L65" s="155"/>
    </row>
    <row r="66" spans="3:12" x14ac:dyDescent="0.35">
      <c r="C66" s="121"/>
      <c r="G66" s="117"/>
    </row>
    <row r="67" spans="3:12" x14ac:dyDescent="0.35">
      <c r="C67" s="121"/>
      <c r="G67" s="117"/>
      <c r="K67" s="120" t="s">
        <v>31</v>
      </c>
      <c r="L67" s="122">
        <v>0.25</v>
      </c>
    </row>
    <row r="68" spans="3:12" x14ac:dyDescent="0.35">
      <c r="C68" s="121"/>
      <c r="G68" s="117"/>
      <c r="I68" s="155" t="s">
        <v>33</v>
      </c>
      <c r="J68" s="155"/>
      <c r="K68" s="117"/>
    </row>
    <row r="69" spans="3:12" x14ac:dyDescent="0.35">
      <c r="C69" s="121"/>
      <c r="G69" s="117"/>
      <c r="K69" s="117"/>
    </row>
    <row r="70" spans="3:12" x14ac:dyDescent="0.35">
      <c r="C70" s="121"/>
      <c r="G70" s="117"/>
      <c r="I70" s="120" t="s">
        <v>31</v>
      </c>
      <c r="J70" s="122">
        <v>0.25</v>
      </c>
      <c r="K70" s="120" t="s">
        <v>30</v>
      </c>
      <c r="L70" s="122">
        <v>0.5</v>
      </c>
    </row>
    <row r="71" spans="3:12" x14ac:dyDescent="0.35">
      <c r="C71" s="121"/>
      <c r="G71" s="117"/>
      <c r="I71" s="117"/>
      <c r="K71" s="117"/>
    </row>
    <row r="72" spans="3:12" x14ac:dyDescent="0.35">
      <c r="C72" s="121"/>
      <c r="G72" s="117"/>
      <c r="I72" s="117"/>
      <c r="K72" s="123"/>
    </row>
    <row r="73" spans="3:12" x14ac:dyDescent="0.35">
      <c r="C73" s="121"/>
      <c r="G73" s="117"/>
      <c r="I73" s="117"/>
      <c r="K73" s="122" t="s">
        <v>29</v>
      </c>
      <c r="L73" s="122">
        <v>0.25</v>
      </c>
    </row>
    <row r="74" spans="3:12" x14ac:dyDescent="0.35">
      <c r="C74" s="121"/>
      <c r="G74" s="117"/>
      <c r="I74" s="117"/>
    </row>
    <row r="75" spans="3:12" x14ac:dyDescent="0.35">
      <c r="C75" s="121"/>
      <c r="G75" s="117"/>
      <c r="I75" s="117"/>
      <c r="K75" s="155" t="s">
        <v>42</v>
      </c>
      <c r="L75" s="155"/>
    </row>
    <row r="76" spans="3:12" x14ac:dyDescent="0.35">
      <c r="C76" s="121"/>
      <c r="G76" s="117"/>
      <c r="I76" s="117"/>
    </row>
    <row r="77" spans="3:12" x14ac:dyDescent="0.35">
      <c r="C77" s="121"/>
      <c r="G77" s="117"/>
      <c r="I77" s="117"/>
      <c r="K77" s="120" t="s">
        <v>31</v>
      </c>
      <c r="L77" s="122">
        <v>0.25</v>
      </c>
    </row>
    <row r="78" spans="3:12" x14ac:dyDescent="0.35">
      <c r="C78" s="121"/>
      <c r="G78" s="117"/>
      <c r="I78" s="117"/>
      <c r="K78" s="117"/>
    </row>
    <row r="79" spans="3:12" x14ac:dyDescent="0.35">
      <c r="C79" s="121"/>
      <c r="G79" s="123"/>
      <c r="I79" s="117"/>
      <c r="K79" s="117"/>
    </row>
    <row r="80" spans="3:12" x14ac:dyDescent="0.35">
      <c r="C80" s="121"/>
      <c r="G80" s="122" t="s">
        <v>29</v>
      </c>
      <c r="H80" s="122">
        <v>0.25</v>
      </c>
      <c r="I80" s="120" t="s">
        <v>30</v>
      </c>
      <c r="J80" s="122">
        <v>0.5</v>
      </c>
      <c r="K80" s="120" t="s">
        <v>30</v>
      </c>
      <c r="L80" s="122">
        <v>0.5</v>
      </c>
    </row>
    <row r="81" spans="3:12" x14ac:dyDescent="0.35">
      <c r="C81" s="121"/>
      <c r="I81" s="117"/>
      <c r="K81" s="117"/>
    </row>
    <row r="82" spans="3:12" x14ac:dyDescent="0.35">
      <c r="C82" s="121"/>
      <c r="I82" s="117"/>
      <c r="K82" s="123"/>
    </row>
    <row r="83" spans="3:12" x14ac:dyDescent="0.35">
      <c r="C83" s="121"/>
      <c r="I83" s="117"/>
      <c r="K83" s="122" t="s">
        <v>29</v>
      </c>
      <c r="L83" s="122">
        <v>0.25</v>
      </c>
    </row>
    <row r="84" spans="3:12" x14ac:dyDescent="0.35">
      <c r="C84" s="121"/>
      <c r="I84" s="117"/>
    </row>
    <row r="85" spans="3:12" x14ac:dyDescent="0.35">
      <c r="C85" s="121"/>
      <c r="I85" s="117"/>
      <c r="K85" s="155" t="s">
        <v>42</v>
      </c>
      <c r="L85" s="155"/>
    </row>
    <row r="86" spans="3:12" x14ac:dyDescent="0.35">
      <c r="C86" s="121"/>
      <c r="I86" s="117"/>
    </row>
    <row r="87" spans="3:12" x14ac:dyDescent="0.35">
      <c r="C87" s="121"/>
      <c r="I87" s="117"/>
      <c r="K87" s="120" t="s">
        <v>31</v>
      </c>
      <c r="L87" s="122">
        <v>0.25</v>
      </c>
    </row>
    <row r="88" spans="3:12" x14ac:dyDescent="0.35">
      <c r="C88" s="121"/>
      <c r="I88" s="117"/>
      <c r="K88" s="117"/>
    </row>
    <row r="89" spans="3:12" x14ac:dyDescent="0.35">
      <c r="C89" s="121"/>
      <c r="I89" s="123"/>
      <c r="K89" s="117"/>
    </row>
    <row r="90" spans="3:12" x14ac:dyDescent="0.35">
      <c r="C90" s="121"/>
      <c r="I90" s="122" t="s">
        <v>29</v>
      </c>
      <c r="J90" s="122">
        <v>0.25</v>
      </c>
      <c r="K90" s="120" t="s">
        <v>30</v>
      </c>
      <c r="L90" s="122">
        <v>0.5</v>
      </c>
    </row>
    <row r="91" spans="3:12" x14ac:dyDescent="0.35">
      <c r="C91" s="121"/>
      <c r="K91" s="117"/>
    </row>
    <row r="92" spans="3:12" x14ac:dyDescent="0.35">
      <c r="C92" s="121"/>
      <c r="K92" s="123"/>
    </row>
    <row r="93" spans="3:12" x14ac:dyDescent="0.35">
      <c r="C93" s="121"/>
      <c r="K93" s="122" t="s">
        <v>29</v>
      </c>
      <c r="L93" s="122">
        <v>0.25</v>
      </c>
    </row>
    <row r="94" spans="3:12" x14ac:dyDescent="0.35">
      <c r="C94" s="121"/>
    </row>
    <row r="95" spans="3:12" x14ac:dyDescent="0.35">
      <c r="C95" s="121"/>
    </row>
    <row r="96" spans="3:12" x14ac:dyDescent="0.35">
      <c r="C96" s="121"/>
    </row>
    <row r="97" spans="3:10" x14ac:dyDescent="0.35">
      <c r="C97" s="121"/>
    </row>
    <row r="98" spans="3:10" x14ac:dyDescent="0.35">
      <c r="C98" s="121"/>
    </row>
    <row r="99" spans="3:10" x14ac:dyDescent="0.35">
      <c r="C99" s="121"/>
      <c r="I99" s="155" t="s">
        <v>33</v>
      </c>
      <c r="J99" s="155"/>
    </row>
    <row r="100" spans="3:10" x14ac:dyDescent="0.35">
      <c r="C100" s="121"/>
    </row>
    <row r="101" spans="3:10" x14ac:dyDescent="0.35">
      <c r="C101" s="121"/>
      <c r="I101" s="120" t="s">
        <v>31</v>
      </c>
      <c r="J101" s="122">
        <v>0.25</v>
      </c>
    </row>
    <row r="102" spans="3:10" x14ac:dyDescent="0.35">
      <c r="C102" s="121"/>
      <c r="G102" s="155" t="s">
        <v>42</v>
      </c>
      <c r="H102" s="155"/>
      <c r="I102" s="117"/>
    </row>
    <row r="103" spans="3:10" x14ac:dyDescent="0.35">
      <c r="C103" s="121"/>
      <c r="I103" s="117"/>
    </row>
    <row r="104" spans="3:10" x14ac:dyDescent="0.35">
      <c r="C104" s="121"/>
      <c r="G104" s="120" t="s">
        <v>31</v>
      </c>
      <c r="H104" s="122">
        <v>0.25</v>
      </c>
      <c r="I104" s="120" t="s">
        <v>30</v>
      </c>
      <c r="J104" s="122">
        <v>0.5</v>
      </c>
    </row>
    <row r="105" spans="3:10" x14ac:dyDescent="0.35">
      <c r="C105" s="121"/>
      <c r="G105" s="117"/>
      <c r="I105" s="117"/>
    </row>
    <row r="106" spans="3:10" x14ac:dyDescent="0.35">
      <c r="C106" s="121"/>
      <c r="G106" s="117"/>
      <c r="I106" s="123"/>
    </row>
    <row r="107" spans="3:10" x14ac:dyDescent="0.35">
      <c r="C107" s="121"/>
      <c r="G107" s="117"/>
      <c r="I107" s="122" t="s">
        <v>29</v>
      </c>
      <c r="J107" s="122">
        <v>0.25</v>
      </c>
    </row>
    <row r="108" spans="3:10" x14ac:dyDescent="0.35">
      <c r="C108" s="121"/>
      <c r="G108" s="117"/>
    </row>
    <row r="109" spans="3:10" x14ac:dyDescent="0.35">
      <c r="C109" s="121"/>
      <c r="G109" s="117"/>
      <c r="I109" s="155" t="s">
        <v>33</v>
      </c>
      <c r="J109" s="155"/>
    </row>
    <row r="110" spans="3:10" x14ac:dyDescent="0.35">
      <c r="C110" s="121"/>
      <c r="G110" s="117"/>
    </row>
    <row r="111" spans="3:10" x14ac:dyDescent="0.35">
      <c r="C111" s="121"/>
      <c r="G111" s="117"/>
      <c r="I111" s="120" t="s">
        <v>31</v>
      </c>
      <c r="J111" s="122">
        <v>0.25</v>
      </c>
    </row>
    <row r="112" spans="3:10" x14ac:dyDescent="0.35">
      <c r="C112" s="121"/>
      <c r="G112" s="117"/>
      <c r="I112" s="117"/>
    </row>
    <row r="113" spans="3:10" x14ac:dyDescent="0.35">
      <c r="C113" s="121"/>
      <c r="D113" s="156" t="s">
        <v>8</v>
      </c>
      <c r="E113" s="156"/>
      <c r="F113" s="157"/>
      <c r="G113" s="117"/>
      <c r="I113" s="117"/>
    </row>
    <row r="114" spans="3:10" x14ac:dyDescent="0.35">
      <c r="C114" s="121"/>
      <c r="D114" s="120"/>
      <c r="E114" s="122"/>
      <c r="F114" s="122"/>
      <c r="G114" s="120" t="s">
        <v>30</v>
      </c>
      <c r="H114" s="122">
        <v>0.5</v>
      </c>
      <c r="I114" s="120" t="s">
        <v>30</v>
      </c>
      <c r="J114" s="122">
        <v>0.5</v>
      </c>
    </row>
    <row r="115" spans="3:10" x14ac:dyDescent="0.35">
      <c r="C115" s="121"/>
      <c r="G115" s="117"/>
      <c r="I115" s="117"/>
    </row>
    <row r="116" spans="3:10" x14ac:dyDescent="0.35">
      <c r="C116" s="121"/>
      <c r="G116" s="117"/>
      <c r="I116" s="123"/>
    </row>
    <row r="117" spans="3:10" x14ac:dyDescent="0.35">
      <c r="C117" s="121"/>
      <c r="G117" s="117"/>
      <c r="I117" s="122" t="s">
        <v>29</v>
      </c>
      <c r="J117" s="122">
        <v>0.25</v>
      </c>
    </row>
    <row r="118" spans="3:10" x14ac:dyDescent="0.35">
      <c r="C118" s="121"/>
      <c r="G118" s="117"/>
    </row>
    <row r="119" spans="3:10" x14ac:dyDescent="0.35">
      <c r="C119" s="121"/>
      <c r="G119" s="117"/>
      <c r="I119" s="155" t="s">
        <v>33</v>
      </c>
      <c r="J119" s="155"/>
    </row>
    <row r="120" spans="3:10" x14ac:dyDescent="0.35">
      <c r="C120" s="121"/>
      <c r="G120" s="117"/>
    </row>
    <row r="121" spans="3:10" x14ac:dyDescent="0.35">
      <c r="C121" s="121"/>
      <c r="G121" s="117"/>
      <c r="I121" s="120" t="s">
        <v>31</v>
      </c>
      <c r="J121" s="122">
        <v>0.25</v>
      </c>
    </row>
    <row r="122" spans="3:10" x14ac:dyDescent="0.35">
      <c r="C122" s="121"/>
      <c r="G122" s="117"/>
      <c r="I122" s="117"/>
    </row>
    <row r="123" spans="3:10" x14ac:dyDescent="0.35">
      <c r="C123" s="121"/>
      <c r="G123" s="123"/>
      <c r="I123" s="117"/>
    </row>
    <row r="124" spans="3:10" x14ac:dyDescent="0.35">
      <c r="C124" s="121"/>
      <c r="G124" s="122" t="s">
        <v>29</v>
      </c>
      <c r="H124" s="122">
        <v>0.25</v>
      </c>
      <c r="I124" s="120" t="s">
        <v>30</v>
      </c>
      <c r="J124" s="122">
        <v>0.5</v>
      </c>
    </row>
    <row r="125" spans="3:10" x14ac:dyDescent="0.35">
      <c r="C125" s="121"/>
      <c r="I125" s="117"/>
    </row>
    <row r="126" spans="3:10" x14ac:dyDescent="0.35">
      <c r="C126" s="121"/>
      <c r="I126" s="123"/>
    </row>
    <row r="127" spans="3:10" x14ac:dyDescent="0.35">
      <c r="C127" s="121"/>
      <c r="I127" s="122" t="s">
        <v>29</v>
      </c>
      <c r="J127" s="122">
        <v>0.25</v>
      </c>
    </row>
    <row r="128" spans="3:10" x14ac:dyDescent="0.35">
      <c r="C128" s="121"/>
    </row>
    <row r="129" spans="2:12" x14ac:dyDescent="0.35">
      <c r="C129" s="121"/>
    </row>
    <row r="130" spans="2:12" x14ac:dyDescent="0.35">
      <c r="C130" s="121"/>
    </row>
    <row r="131" spans="2:12" x14ac:dyDescent="0.35">
      <c r="C131" s="121"/>
    </row>
    <row r="132" spans="2:12" x14ac:dyDescent="0.35">
      <c r="C132" s="121"/>
    </row>
    <row r="133" spans="2:12" x14ac:dyDescent="0.35">
      <c r="C133" s="121"/>
      <c r="K133" s="155" t="s">
        <v>42</v>
      </c>
      <c r="L133" s="155"/>
    </row>
    <row r="134" spans="2:12" x14ac:dyDescent="0.35">
      <c r="C134" s="121"/>
    </row>
    <row r="135" spans="2:12" x14ac:dyDescent="0.35">
      <c r="C135" s="121"/>
      <c r="K135" s="120" t="s">
        <v>31</v>
      </c>
      <c r="L135" s="122">
        <v>0.25</v>
      </c>
    </row>
    <row r="136" spans="2:12" x14ac:dyDescent="0.35">
      <c r="C136" s="121"/>
      <c r="I136" s="155" t="s">
        <v>33</v>
      </c>
      <c r="J136" s="155"/>
      <c r="K136" s="117"/>
    </row>
    <row r="137" spans="2:12" x14ac:dyDescent="0.35">
      <c r="C137" s="121"/>
      <c r="K137" s="117"/>
    </row>
    <row r="138" spans="2:12" x14ac:dyDescent="0.35">
      <c r="C138" s="121"/>
      <c r="I138" s="120" t="s">
        <v>31</v>
      </c>
      <c r="J138" s="122">
        <v>0.25</v>
      </c>
      <c r="K138" s="120" t="s">
        <v>30</v>
      </c>
      <c r="L138" s="122">
        <v>0.5</v>
      </c>
    </row>
    <row r="139" spans="2:12" x14ac:dyDescent="0.35">
      <c r="C139" s="121"/>
      <c r="I139" s="117"/>
      <c r="K139" s="117"/>
    </row>
    <row r="140" spans="2:12" x14ac:dyDescent="0.35">
      <c r="C140" s="121"/>
      <c r="I140" s="117"/>
      <c r="K140" s="123"/>
    </row>
    <row r="141" spans="2:12" x14ac:dyDescent="0.35">
      <c r="C141" s="121"/>
      <c r="I141" s="117"/>
      <c r="K141" s="122" t="s">
        <v>29</v>
      </c>
      <c r="L141" s="122">
        <v>0.25</v>
      </c>
    </row>
    <row r="142" spans="2:12" x14ac:dyDescent="0.35">
      <c r="C142" s="121"/>
      <c r="I142" s="117"/>
    </row>
    <row r="143" spans="2:12" x14ac:dyDescent="0.35">
      <c r="C143" s="121"/>
      <c r="I143" s="117"/>
      <c r="K143" s="155" t="s">
        <v>42</v>
      </c>
      <c r="L143" s="155"/>
    </row>
    <row r="144" spans="2:12" x14ac:dyDescent="0.35">
      <c r="B144" s="122"/>
      <c r="C144" s="125"/>
      <c r="I144" s="117"/>
    </row>
    <row r="145" spans="3:12" x14ac:dyDescent="0.35">
      <c r="C145" s="121"/>
      <c r="I145" s="117"/>
      <c r="K145" s="120" t="s">
        <v>31</v>
      </c>
      <c r="L145" s="122">
        <v>0.25</v>
      </c>
    </row>
    <row r="146" spans="3:12" x14ac:dyDescent="0.35">
      <c r="C146" s="121"/>
      <c r="G146" s="155" t="s">
        <v>38</v>
      </c>
      <c r="H146" s="155"/>
      <c r="I146" s="117"/>
      <c r="K146" s="117"/>
    </row>
    <row r="147" spans="3:12" x14ac:dyDescent="0.35">
      <c r="C147" s="121"/>
      <c r="I147" s="117"/>
      <c r="K147" s="117"/>
    </row>
    <row r="148" spans="3:12" x14ac:dyDescent="0.35">
      <c r="C148" s="121"/>
      <c r="G148" s="120" t="s">
        <v>31</v>
      </c>
      <c r="H148" s="122">
        <v>0.25</v>
      </c>
      <c r="I148" s="120" t="s">
        <v>30</v>
      </c>
      <c r="J148" s="122">
        <v>0.5</v>
      </c>
      <c r="K148" s="120" t="s">
        <v>30</v>
      </c>
      <c r="L148" s="122">
        <v>0.5</v>
      </c>
    </row>
    <row r="149" spans="3:12" x14ac:dyDescent="0.35">
      <c r="C149" s="121"/>
      <c r="G149" s="117"/>
      <c r="I149" s="117"/>
      <c r="K149" s="117"/>
    </row>
    <row r="150" spans="3:12" x14ac:dyDescent="0.35">
      <c r="C150" s="121"/>
      <c r="G150" s="117"/>
      <c r="I150" s="117"/>
      <c r="K150" s="123"/>
    </row>
    <row r="151" spans="3:12" x14ac:dyDescent="0.35">
      <c r="C151" s="121"/>
      <c r="G151" s="117"/>
      <c r="I151" s="117"/>
      <c r="K151" s="122" t="s">
        <v>29</v>
      </c>
      <c r="L151" s="122">
        <v>0.25</v>
      </c>
    </row>
    <row r="152" spans="3:12" x14ac:dyDescent="0.35">
      <c r="C152" s="121"/>
      <c r="G152" s="117"/>
      <c r="I152" s="117"/>
    </row>
    <row r="153" spans="3:12" x14ac:dyDescent="0.35">
      <c r="C153" s="121"/>
      <c r="G153" s="117"/>
      <c r="I153" s="117"/>
      <c r="K153" s="155" t="s">
        <v>42</v>
      </c>
      <c r="L153" s="155"/>
    </row>
    <row r="154" spans="3:12" x14ac:dyDescent="0.35">
      <c r="C154" s="121"/>
      <c r="G154" s="117"/>
      <c r="I154" s="117"/>
    </row>
    <row r="155" spans="3:12" x14ac:dyDescent="0.35">
      <c r="C155" s="121"/>
      <c r="G155" s="117"/>
      <c r="I155" s="117"/>
      <c r="K155" s="120" t="s">
        <v>31</v>
      </c>
      <c r="L155" s="122">
        <v>0.25</v>
      </c>
    </row>
    <row r="156" spans="3:12" x14ac:dyDescent="0.35">
      <c r="C156" s="121"/>
      <c r="G156" s="117"/>
      <c r="I156" s="117"/>
      <c r="K156" s="117"/>
    </row>
    <row r="157" spans="3:12" x14ac:dyDescent="0.35">
      <c r="C157" s="121"/>
      <c r="G157" s="117"/>
      <c r="I157" s="123"/>
      <c r="K157" s="117"/>
    </row>
    <row r="158" spans="3:12" x14ac:dyDescent="0.35">
      <c r="C158" s="121"/>
      <c r="G158" s="117"/>
      <c r="I158" s="122" t="s">
        <v>29</v>
      </c>
      <c r="J158" s="122">
        <v>0.25</v>
      </c>
      <c r="K158" s="120" t="s">
        <v>30</v>
      </c>
      <c r="L158" s="122">
        <v>0.5</v>
      </c>
    </row>
    <row r="159" spans="3:12" x14ac:dyDescent="0.35">
      <c r="C159" s="121"/>
      <c r="G159" s="117"/>
      <c r="K159" s="117"/>
    </row>
    <row r="160" spans="3:12" x14ac:dyDescent="0.35">
      <c r="C160" s="121"/>
      <c r="G160" s="117"/>
      <c r="K160" s="123"/>
    </row>
    <row r="161" spans="3:12" x14ac:dyDescent="0.35">
      <c r="C161" s="121"/>
      <c r="G161" s="117"/>
      <c r="K161" s="122" t="s">
        <v>29</v>
      </c>
      <c r="L161" s="122">
        <v>0.25</v>
      </c>
    </row>
    <row r="162" spans="3:12" x14ac:dyDescent="0.35">
      <c r="C162" s="121"/>
      <c r="G162" s="117"/>
      <c r="I162" s="155"/>
      <c r="J162" s="155"/>
    </row>
    <row r="163" spans="3:12" x14ac:dyDescent="0.35">
      <c r="C163" s="121"/>
      <c r="G163" s="117"/>
      <c r="I163" s="124"/>
      <c r="J163" s="124"/>
    </row>
    <row r="164" spans="3:12" x14ac:dyDescent="0.35">
      <c r="C164" s="121"/>
      <c r="G164" s="117"/>
      <c r="K164" s="155" t="s">
        <v>42</v>
      </c>
      <c r="L164" s="155"/>
    </row>
    <row r="165" spans="3:12" x14ac:dyDescent="0.35">
      <c r="C165" s="121"/>
      <c r="G165" s="117"/>
    </row>
    <row r="166" spans="3:12" x14ac:dyDescent="0.35">
      <c r="C166" s="121"/>
      <c r="G166" s="117"/>
      <c r="K166" s="120" t="s">
        <v>31</v>
      </c>
      <c r="L166" s="122">
        <v>0.25</v>
      </c>
    </row>
    <row r="167" spans="3:12" x14ac:dyDescent="0.35">
      <c r="C167" s="121"/>
      <c r="G167" s="117"/>
      <c r="I167" s="155" t="s">
        <v>33</v>
      </c>
      <c r="J167" s="155"/>
      <c r="K167" s="117"/>
    </row>
    <row r="168" spans="3:12" x14ac:dyDescent="0.35">
      <c r="C168" s="121"/>
      <c r="G168" s="117"/>
      <c r="K168" s="117"/>
    </row>
    <row r="169" spans="3:12" x14ac:dyDescent="0.35">
      <c r="C169" s="121"/>
      <c r="G169" s="117"/>
      <c r="I169" s="120" t="s">
        <v>31</v>
      </c>
      <c r="J169" s="122">
        <v>0.25</v>
      </c>
      <c r="K169" s="120" t="s">
        <v>30</v>
      </c>
      <c r="L169" s="122">
        <v>0.5</v>
      </c>
    </row>
    <row r="170" spans="3:12" x14ac:dyDescent="0.35">
      <c r="C170" s="121"/>
      <c r="G170" s="117"/>
      <c r="I170" s="117"/>
      <c r="K170" s="117"/>
    </row>
    <row r="171" spans="3:12" x14ac:dyDescent="0.35">
      <c r="C171" s="121"/>
      <c r="G171" s="117"/>
      <c r="I171" s="117"/>
      <c r="K171" s="123"/>
    </row>
    <row r="172" spans="3:12" x14ac:dyDescent="0.35">
      <c r="C172" s="121"/>
      <c r="G172" s="117"/>
      <c r="I172" s="117"/>
      <c r="K172" s="122" t="s">
        <v>29</v>
      </c>
      <c r="L172" s="122">
        <v>0.25</v>
      </c>
    </row>
    <row r="173" spans="3:12" x14ac:dyDescent="0.35">
      <c r="C173" s="121"/>
      <c r="G173" s="117"/>
      <c r="I173" s="117"/>
    </row>
    <row r="174" spans="3:12" x14ac:dyDescent="0.35">
      <c r="C174" s="121"/>
      <c r="G174" s="117"/>
      <c r="I174" s="117"/>
      <c r="K174" s="155" t="s">
        <v>42</v>
      </c>
      <c r="L174" s="155"/>
    </row>
    <row r="175" spans="3:12" x14ac:dyDescent="0.35">
      <c r="C175" s="121"/>
      <c r="G175" s="117"/>
      <c r="I175" s="117"/>
    </row>
    <row r="176" spans="3:12" x14ac:dyDescent="0.35">
      <c r="C176" s="121"/>
      <c r="G176" s="117"/>
      <c r="I176" s="117"/>
      <c r="K176" s="120" t="s">
        <v>31</v>
      </c>
      <c r="L176" s="122">
        <v>0.25</v>
      </c>
    </row>
    <row r="177" spans="3:12" x14ac:dyDescent="0.35">
      <c r="C177" s="121"/>
      <c r="G177" s="117"/>
      <c r="I177" s="117"/>
      <c r="K177" s="117"/>
    </row>
    <row r="178" spans="3:12" x14ac:dyDescent="0.35">
      <c r="C178" s="121"/>
      <c r="D178" s="156" t="s">
        <v>9</v>
      </c>
      <c r="E178" s="156"/>
      <c r="F178" s="157"/>
      <c r="G178" s="117"/>
      <c r="I178" s="117"/>
      <c r="K178" s="117"/>
    </row>
    <row r="179" spans="3:12" x14ac:dyDescent="0.35">
      <c r="C179" s="121"/>
      <c r="D179" s="120"/>
      <c r="E179" s="122"/>
      <c r="F179" s="122"/>
      <c r="G179" s="120" t="s">
        <v>30</v>
      </c>
      <c r="H179" s="122">
        <v>0.5</v>
      </c>
      <c r="I179" s="120" t="s">
        <v>30</v>
      </c>
      <c r="J179" s="122">
        <v>0.5</v>
      </c>
      <c r="K179" s="120" t="s">
        <v>30</v>
      </c>
      <c r="L179" s="122">
        <v>0.5</v>
      </c>
    </row>
    <row r="180" spans="3:12" x14ac:dyDescent="0.35">
      <c r="C180" s="121"/>
      <c r="G180" s="117"/>
      <c r="I180" s="117"/>
      <c r="K180" s="117"/>
    </row>
    <row r="181" spans="3:12" x14ac:dyDescent="0.35">
      <c r="C181" s="121"/>
      <c r="G181" s="117"/>
      <c r="I181" s="117"/>
      <c r="K181" s="123"/>
    </row>
    <row r="182" spans="3:12" x14ac:dyDescent="0.35">
      <c r="C182" s="121"/>
      <c r="G182" s="117"/>
      <c r="I182" s="117"/>
      <c r="K182" s="122" t="s">
        <v>29</v>
      </c>
      <c r="L182" s="122">
        <v>0.25</v>
      </c>
    </row>
    <row r="183" spans="3:12" x14ac:dyDescent="0.35">
      <c r="C183" s="121"/>
      <c r="G183" s="117"/>
      <c r="I183" s="117"/>
    </row>
    <row r="184" spans="3:12" x14ac:dyDescent="0.35">
      <c r="C184" s="121"/>
      <c r="G184" s="117"/>
      <c r="I184" s="117"/>
      <c r="K184" s="155" t="s">
        <v>42</v>
      </c>
      <c r="L184" s="155"/>
    </row>
    <row r="185" spans="3:12" x14ac:dyDescent="0.35">
      <c r="C185" s="121"/>
      <c r="G185" s="117"/>
      <c r="I185" s="117"/>
    </row>
    <row r="186" spans="3:12" x14ac:dyDescent="0.35">
      <c r="C186" s="121"/>
      <c r="G186" s="117"/>
      <c r="I186" s="117"/>
      <c r="K186" s="120" t="s">
        <v>31</v>
      </c>
      <c r="L186" s="122">
        <v>0.25</v>
      </c>
    </row>
    <row r="187" spans="3:12" x14ac:dyDescent="0.35">
      <c r="C187" s="121"/>
      <c r="G187" s="117"/>
      <c r="I187" s="117"/>
      <c r="K187" s="117"/>
    </row>
    <row r="188" spans="3:12" x14ac:dyDescent="0.35">
      <c r="C188" s="121"/>
      <c r="G188" s="117"/>
      <c r="I188" s="123"/>
      <c r="K188" s="117"/>
    </row>
    <row r="189" spans="3:12" x14ac:dyDescent="0.35">
      <c r="C189" s="121"/>
      <c r="G189" s="117"/>
      <c r="I189" s="122" t="s">
        <v>29</v>
      </c>
      <c r="J189" s="122">
        <v>0.25</v>
      </c>
      <c r="K189" s="120" t="s">
        <v>30</v>
      </c>
      <c r="L189" s="122">
        <v>0.5</v>
      </c>
    </row>
    <row r="190" spans="3:12" x14ac:dyDescent="0.35">
      <c r="C190" s="121"/>
      <c r="G190" s="117"/>
      <c r="K190" s="117"/>
    </row>
    <row r="191" spans="3:12" x14ac:dyDescent="0.35">
      <c r="C191" s="121"/>
      <c r="G191" s="117"/>
      <c r="K191" s="123"/>
    </row>
    <row r="192" spans="3:12" x14ac:dyDescent="0.35">
      <c r="C192" s="121"/>
      <c r="G192" s="117"/>
      <c r="K192" s="122" t="s">
        <v>29</v>
      </c>
      <c r="L192" s="122">
        <v>0.25</v>
      </c>
    </row>
    <row r="193" spans="3:12" x14ac:dyDescent="0.35">
      <c r="C193" s="121"/>
      <c r="G193" s="117"/>
    </row>
    <row r="194" spans="3:12" x14ac:dyDescent="0.35">
      <c r="C194" s="121"/>
      <c r="G194" s="117"/>
    </row>
    <row r="195" spans="3:12" x14ac:dyDescent="0.35">
      <c r="C195" s="121"/>
      <c r="G195" s="117"/>
      <c r="K195" s="155" t="s">
        <v>42</v>
      </c>
      <c r="L195" s="155"/>
    </row>
    <row r="196" spans="3:12" x14ac:dyDescent="0.35">
      <c r="C196" s="121"/>
      <c r="G196" s="117"/>
    </row>
    <row r="197" spans="3:12" x14ac:dyDescent="0.35">
      <c r="C197" s="121"/>
      <c r="G197" s="117"/>
      <c r="K197" s="120" t="s">
        <v>31</v>
      </c>
      <c r="L197" s="122">
        <v>0.25</v>
      </c>
    </row>
    <row r="198" spans="3:12" x14ac:dyDescent="0.35">
      <c r="C198" s="121"/>
      <c r="G198" s="117"/>
      <c r="I198" s="155" t="s">
        <v>33</v>
      </c>
      <c r="J198" s="155"/>
      <c r="K198" s="117"/>
    </row>
    <row r="199" spans="3:12" x14ac:dyDescent="0.35">
      <c r="C199" s="121"/>
      <c r="G199" s="117"/>
      <c r="K199" s="117"/>
    </row>
    <row r="200" spans="3:12" x14ac:dyDescent="0.35">
      <c r="C200" s="121"/>
      <c r="G200" s="117"/>
      <c r="I200" s="120" t="s">
        <v>31</v>
      </c>
      <c r="J200" s="122">
        <v>0.25</v>
      </c>
      <c r="K200" s="120" t="s">
        <v>30</v>
      </c>
      <c r="L200" s="122">
        <v>0.5</v>
      </c>
    </row>
    <row r="201" spans="3:12" x14ac:dyDescent="0.35">
      <c r="C201" s="121"/>
      <c r="G201" s="117"/>
      <c r="I201" s="117"/>
      <c r="K201" s="117"/>
    </row>
    <row r="202" spans="3:12" x14ac:dyDescent="0.35">
      <c r="C202" s="121"/>
      <c r="G202" s="117"/>
      <c r="I202" s="117"/>
      <c r="K202" s="123"/>
    </row>
    <row r="203" spans="3:12" x14ac:dyDescent="0.35">
      <c r="C203" s="121"/>
      <c r="G203" s="117"/>
      <c r="I203" s="117"/>
      <c r="K203" s="122" t="s">
        <v>29</v>
      </c>
      <c r="L203" s="122">
        <v>0.25</v>
      </c>
    </row>
    <row r="204" spans="3:12" x14ac:dyDescent="0.35">
      <c r="C204" s="121"/>
      <c r="G204" s="117"/>
      <c r="I204" s="117"/>
    </row>
    <row r="205" spans="3:12" x14ac:dyDescent="0.35">
      <c r="C205" s="121"/>
      <c r="G205" s="117"/>
      <c r="I205" s="117"/>
      <c r="K205" s="155" t="s">
        <v>42</v>
      </c>
      <c r="L205" s="155"/>
    </row>
    <row r="206" spans="3:12" x14ac:dyDescent="0.35">
      <c r="C206" s="121"/>
      <c r="G206" s="117"/>
      <c r="I206" s="117"/>
    </row>
    <row r="207" spans="3:12" x14ac:dyDescent="0.35">
      <c r="C207" s="121"/>
      <c r="G207" s="117"/>
      <c r="I207" s="117"/>
      <c r="K207" s="120" t="s">
        <v>31</v>
      </c>
      <c r="L207" s="122">
        <v>0.25</v>
      </c>
    </row>
    <row r="208" spans="3:12" x14ac:dyDescent="0.35">
      <c r="C208" s="121"/>
      <c r="G208" s="117"/>
      <c r="I208" s="117"/>
      <c r="K208" s="117"/>
    </row>
    <row r="209" spans="3:12" x14ac:dyDescent="0.35">
      <c r="C209" s="121"/>
      <c r="G209" s="123"/>
      <c r="I209" s="117"/>
      <c r="K209" s="117"/>
    </row>
    <row r="210" spans="3:12" x14ac:dyDescent="0.35">
      <c r="C210" s="121"/>
      <c r="G210" s="122" t="s">
        <v>29</v>
      </c>
      <c r="H210" s="122">
        <v>0.25</v>
      </c>
      <c r="I210" s="120" t="s">
        <v>30</v>
      </c>
      <c r="J210" s="122">
        <v>0.5</v>
      </c>
      <c r="K210" s="120" t="s">
        <v>30</v>
      </c>
      <c r="L210" s="122">
        <v>0.5</v>
      </c>
    </row>
    <row r="211" spans="3:12" x14ac:dyDescent="0.35">
      <c r="C211" s="121"/>
      <c r="I211" s="117"/>
      <c r="K211" s="117"/>
    </row>
    <row r="212" spans="3:12" x14ac:dyDescent="0.35">
      <c r="C212" s="121"/>
      <c r="I212" s="117"/>
      <c r="K212" s="123"/>
    </row>
    <row r="213" spans="3:12" x14ac:dyDescent="0.35">
      <c r="C213" s="121"/>
      <c r="I213" s="117"/>
      <c r="K213" s="122" t="s">
        <v>29</v>
      </c>
      <c r="L213" s="122">
        <v>0.25</v>
      </c>
    </row>
    <row r="214" spans="3:12" x14ac:dyDescent="0.35">
      <c r="C214" s="121"/>
      <c r="I214" s="117"/>
    </row>
    <row r="215" spans="3:12" x14ac:dyDescent="0.35">
      <c r="C215" s="121"/>
      <c r="I215" s="117"/>
      <c r="K215" s="155" t="s">
        <v>42</v>
      </c>
      <c r="L215" s="155"/>
    </row>
    <row r="216" spans="3:12" x14ac:dyDescent="0.35">
      <c r="C216" s="121"/>
      <c r="I216" s="117"/>
    </row>
    <row r="217" spans="3:12" x14ac:dyDescent="0.35">
      <c r="C217" s="121"/>
      <c r="I217" s="117"/>
      <c r="K217" s="120" t="s">
        <v>31</v>
      </c>
      <c r="L217" s="122">
        <v>0.25</v>
      </c>
    </row>
    <row r="218" spans="3:12" x14ac:dyDescent="0.35">
      <c r="C218" s="121"/>
      <c r="I218" s="117"/>
      <c r="K218" s="117"/>
    </row>
    <row r="219" spans="3:12" x14ac:dyDescent="0.35">
      <c r="C219" s="121"/>
      <c r="I219" s="123"/>
      <c r="K219" s="117"/>
    </row>
    <row r="220" spans="3:12" x14ac:dyDescent="0.35">
      <c r="C220" s="121"/>
      <c r="I220" s="122" t="s">
        <v>29</v>
      </c>
      <c r="J220" s="122">
        <v>0.25</v>
      </c>
      <c r="K220" s="120" t="s">
        <v>30</v>
      </c>
      <c r="L220" s="122">
        <v>0.5</v>
      </c>
    </row>
    <row r="221" spans="3:12" x14ac:dyDescent="0.35">
      <c r="C221" s="121"/>
      <c r="K221" s="117"/>
    </row>
    <row r="222" spans="3:12" x14ac:dyDescent="0.35">
      <c r="C222" s="121"/>
      <c r="K222" s="123"/>
    </row>
    <row r="223" spans="3:12" x14ac:dyDescent="0.35">
      <c r="C223" s="121"/>
      <c r="K223" s="122" t="s">
        <v>29</v>
      </c>
      <c r="L223" s="122">
        <v>0.25</v>
      </c>
    </row>
    <row r="224" spans="3:12" x14ac:dyDescent="0.35">
      <c r="C224" s="121"/>
    </row>
    <row r="225" spans="3:10" x14ac:dyDescent="0.35">
      <c r="C225" s="121"/>
    </row>
    <row r="226" spans="3:10" x14ac:dyDescent="0.35">
      <c r="C226" s="121"/>
    </row>
    <row r="227" spans="3:10" x14ac:dyDescent="0.35">
      <c r="C227" s="121"/>
    </row>
    <row r="228" spans="3:10" x14ac:dyDescent="0.35">
      <c r="C228" s="121"/>
    </row>
    <row r="229" spans="3:10" x14ac:dyDescent="0.35">
      <c r="C229" s="121"/>
      <c r="I229" s="155" t="s">
        <v>33</v>
      </c>
      <c r="J229" s="155"/>
    </row>
    <row r="230" spans="3:10" x14ac:dyDescent="0.35">
      <c r="C230" s="121"/>
    </row>
    <row r="231" spans="3:10" x14ac:dyDescent="0.35">
      <c r="C231" s="121"/>
      <c r="I231" s="120" t="s">
        <v>31</v>
      </c>
      <c r="J231" s="122">
        <v>0.25</v>
      </c>
    </row>
    <row r="232" spans="3:10" x14ac:dyDescent="0.35">
      <c r="C232" s="121"/>
      <c r="G232" s="155" t="s">
        <v>38</v>
      </c>
      <c r="H232" s="155"/>
      <c r="I232" s="117"/>
    </row>
    <row r="233" spans="3:10" x14ac:dyDescent="0.35">
      <c r="C233" s="121"/>
      <c r="I233" s="117"/>
    </row>
    <row r="234" spans="3:10" x14ac:dyDescent="0.35">
      <c r="C234" s="121"/>
      <c r="G234" s="120" t="s">
        <v>31</v>
      </c>
      <c r="H234" s="122">
        <v>0.25</v>
      </c>
      <c r="I234" s="120" t="s">
        <v>30</v>
      </c>
      <c r="J234" s="122">
        <v>0.5</v>
      </c>
    </row>
    <row r="235" spans="3:10" x14ac:dyDescent="0.35">
      <c r="C235" s="121"/>
      <c r="G235" s="117"/>
      <c r="I235" s="117"/>
    </row>
    <row r="236" spans="3:10" x14ac:dyDescent="0.35">
      <c r="C236" s="121"/>
      <c r="G236" s="117"/>
      <c r="I236" s="123"/>
    </row>
    <row r="237" spans="3:10" x14ac:dyDescent="0.35">
      <c r="C237" s="121"/>
      <c r="G237" s="117"/>
      <c r="I237" s="122" t="s">
        <v>29</v>
      </c>
      <c r="J237" s="122">
        <v>0.25</v>
      </c>
    </row>
    <row r="238" spans="3:10" x14ac:dyDescent="0.35">
      <c r="C238" s="121"/>
      <c r="G238" s="117"/>
    </row>
    <row r="239" spans="3:10" x14ac:dyDescent="0.35">
      <c r="C239" s="121"/>
      <c r="G239" s="117"/>
      <c r="I239" s="155" t="s">
        <v>33</v>
      </c>
      <c r="J239" s="155"/>
    </row>
    <row r="240" spans="3:10" x14ac:dyDescent="0.35">
      <c r="C240" s="121"/>
      <c r="G240" s="117"/>
    </row>
    <row r="241" spans="3:10" x14ac:dyDescent="0.35">
      <c r="C241" s="121"/>
      <c r="G241" s="117"/>
      <c r="I241" s="120" t="s">
        <v>31</v>
      </c>
      <c r="J241" s="122">
        <v>0.25</v>
      </c>
    </row>
    <row r="242" spans="3:10" x14ac:dyDescent="0.35">
      <c r="C242" s="121"/>
      <c r="G242" s="117"/>
      <c r="I242" s="117"/>
    </row>
    <row r="243" spans="3:10" x14ac:dyDescent="0.35">
      <c r="C243" s="121"/>
      <c r="D243" s="156" t="s">
        <v>10</v>
      </c>
      <c r="E243" s="156"/>
      <c r="F243" s="157"/>
      <c r="G243" s="117"/>
      <c r="I243" s="117"/>
    </row>
    <row r="244" spans="3:10" x14ac:dyDescent="0.35">
      <c r="D244" s="122"/>
      <c r="E244" s="122"/>
      <c r="F244" s="122"/>
      <c r="G244" s="120" t="s">
        <v>30</v>
      </c>
      <c r="H244" s="122">
        <v>0.5</v>
      </c>
      <c r="I244" s="120" t="s">
        <v>30</v>
      </c>
      <c r="J244" s="122">
        <v>0.5</v>
      </c>
    </row>
    <row r="245" spans="3:10" x14ac:dyDescent="0.35">
      <c r="G245" s="117"/>
      <c r="I245" s="117"/>
    </row>
    <row r="246" spans="3:10" x14ac:dyDescent="0.35">
      <c r="G246" s="117"/>
      <c r="I246" s="123"/>
    </row>
    <row r="247" spans="3:10" x14ac:dyDescent="0.35">
      <c r="G247" s="117"/>
      <c r="I247" s="122" t="s">
        <v>29</v>
      </c>
      <c r="J247" s="122">
        <v>0.25</v>
      </c>
    </row>
    <row r="248" spans="3:10" x14ac:dyDescent="0.35">
      <c r="G248" s="117"/>
    </row>
    <row r="249" spans="3:10" x14ac:dyDescent="0.35">
      <c r="G249" s="117"/>
      <c r="I249" s="155" t="s">
        <v>33</v>
      </c>
      <c r="J249" s="155"/>
    </row>
    <row r="250" spans="3:10" x14ac:dyDescent="0.35">
      <c r="G250" s="117"/>
    </row>
    <row r="251" spans="3:10" x14ac:dyDescent="0.35">
      <c r="G251" s="117"/>
      <c r="I251" s="120" t="s">
        <v>31</v>
      </c>
      <c r="J251" s="122">
        <v>0.25</v>
      </c>
    </row>
    <row r="252" spans="3:10" x14ac:dyDescent="0.35">
      <c r="G252" s="117"/>
      <c r="I252" s="117"/>
    </row>
    <row r="253" spans="3:10" x14ac:dyDescent="0.35">
      <c r="G253" s="123"/>
      <c r="I253" s="117"/>
    </row>
    <row r="254" spans="3:10" x14ac:dyDescent="0.35">
      <c r="G254" s="122" t="s">
        <v>29</v>
      </c>
      <c r="H254" s="122">
        <v>0.25</v>
      </c>
      <c r="I254" s="120" t="s">
        <v>30</v>
      </c>
      <c r="J254" s="122">
        <v>0.5</v>
      </c>
    </row>
    <row r="255" spans="3:10" x14ac:dyDescent="0.35">
      <c r="I255" s="117"/>
    </row>
    <row r="256" spans="3:10" x14ac:dyDescent="0.35">
      <c r="I256" s="123"/>
    </row>
    <row r="257" spans="9:10" x14ac:dyDescent="0.35">
      <c r="I257" s="122" t="s">
        <v>29</v>
      </c>
      <c r="J257" s="122">
        <v>0.25</v>
      </c>
    </row>
  </sheetData>
  <mergeCells count="40">
    <mergeCell ref="K3:L3"/>
    <mergeCell ref="K13:L13"/>
    <mergeCell ref="K23:L23"/>
    <mergeCell ref="D48:F48"/>
    <mergeCell ref="G16:H16"/>
    <mergeCell ref="I6:J6"/>
    <mergeCell ref="I32:J32"/>
    <mergeCell ref="K65:L65"/>
    <mergeCell ref="K34:L34"/>
    <mergeCell ref="I37:J37"/>
    <mergeCell ref="K44:L44"/>
    <mergeCell ref="K54:L54"/>
    <mergeCell ref="D113:F113"/>
    <mergeCell ref="I119:J119"/>
    <mergeCell ref="I68:J68"/>
    <mergeCell ref="K75:L75"/>
    <mergeCell ref="K85:L85"/>
    <mergeCell ref="I162:J162"/>
    <mergeCell ref="K164:L164"/>
    <mergeCell ref="I99:J99"/>
    <mergeCell ref="G102:H102"/>
    <mergeCell ref="I109:J109"/>
    <mergeCell ref="K133:L133"/>
    <mergeCell ref="I136:J136"/>
    <mergeCell ref="K143:L143"/>
    <mergeCell ref="G146:H146"/>
    <mergeCell ref="K153:L153"/>
    <mergeCell ref="D243:F243"/>
    <mergeCell ref="I167:J167"/>
    <mergeCell ref="K174:L174"/>
    <mergeCell ref="D178:F178"/>
    <mergeCell ref="K184:L184"/>
    <mergeCell ref="K195:L195"/>
    <mergeCell ref="I198:J198"/>
    <mergeCell ref="I249:J249"/>
    <mergeCell ref="K205:L205"/>
    <mergeCell ref="K215:L215"/>
    <mergeCell ref="I229:J229"/>
    <mergeCell ref="G232:H232"/>
    <mergeCell ref="I239:J2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0563-6325-4AF9-8525-04991951B4DC}">
  <dimension ref="A1:AB259"/>
  <sheetViews>
    <sheetView zoomScale="70" zoomScaleNormal="70" workbookViewId="0">
      <selection activeCell="O7" sqref="O7"/>
    </sheetView>
  </sheetViews>
  <sheetFormatPr defaultColWidth="8.86328125" defaultRowHeight="12.4" x14ac:dyDescent="0.35"/>
  <cols>
    <col min="1" max="1" width="8.86328125" style="97"/>
    <col min="2" max="2" width="25.6640625" style="97" bestFit="1" customWidth="1"/>
    <col min="3" max="3" width="8.86328125" style="97"/>
    <col min="4" max="4" width="8.86328125" style="97" customWidth="1"/>
    <col min="5" max="7" width="8.86328125" style="97"/>
    <col min="8" max="8" width="15.46484375" style="97" customWidth="1"/>
    <col min="9" max="9" width="8.86328125" style="97"/>
    <col min="10" max="10" width="15.1328125" style="97" customWidth="1"/>
    <col min="11" max="11" width="8.86328125" style="97"/>
    <col min="12" max="12" width="10.1328125" style="97" customWidth="1"/>
    <col min="13" max="16384" width="8.86328125" style="97"/>
  </cols>
  <sheetData>
    <row r="1" spans="1:28" x14ac:dyDescent="0.35">
      <c r="C1" s="155" t="s">
        <v>80</v>
      </c>
      <c r="D1" s="155"/>
      <c r="E1" s="97">
        <v>30</v>
      </c>
    </row>
    <row r="2" spans="1:28" x14ac:dyDescent="0.35">
      <c r="C2" s="155" t="s">
        <v>81</v>
      </c>
      <c r="D2" s="155"/>
      <c r="E2" s="97">
        <f>1/E1</f>
        <v>3.3333333333333333E-2</v>
      </c>
      <c r="Z2" s="97" t="s">
        <v>81</v>
      </c>
      <c r="AA2" s="97" t="s">
        <v>82</v>
      </c>
      <c r="AB2" s="97" t="s">
        <v>83</v>
      </c>
    </row>
    <row r="3" spans="1:28" ht="12.75" x14ac:dyDescent="0.35">
      <c r="Z3" s="96"/>
      <c r="AA3" s="135">
        <f>A16</f>
        <v>10.935148456403384</v>
      </c>
      <c r="AB3" s="97" t="str">
        <f>B16</f>
        <v>No Partnership / No Expansion</v>
      </c>
    </row>
    <row r="4" spans="1:28" ht="12.75" x14ac:dyDescent="0.35">
      <c r="O4" s="127" t="s">
        <v>84</v>
      </c>
      <c r="P4" s="127" t="s">
        <v>85</v>
      </c>
      <c r="Z4" s="96">
        <v>-1</v>
      </c>
      <c r="AA4" s="97">
        <f t="dataTable" ref="AA4:AB24" dt2D="0" dtr="0" r1="E2"/>
        <v>51.690104809838502</v>
      </c>
      <c r="AB4" s="97" t="str">
        <v>No Partnership / Expansion</v>
      </c>
    </row>
    <row r="5" spans="1:28" ht="12.75" x14ac:dyDescent="0.35">
      <c r="B5" s="160" t="s">
        <v>86</v>
      </c>
      <c r="C5" s="160"/>
      <c r="M5" s="155" t="s">
        <v>42</v>
      </c>
      <c r="N5" s="155"/>
      <c r="Z5" s="96">
        <v>-0.9</v>
      </c>
      <c r="AA5" s="97">
        <v>51.382039397140538</v>
      </c>
      <c r="AB5" s="97" t="str">
        <v>No Partnership / Expansion</v>
      </c>
    </row>
    <row r="6" spans="1:28" ht="12.75" x14ac:dyDescent="0.35">
      <c r="B6" s="102" t="s">
        <v>83</v>
      </c>
      <c r="C6" s="102" t="s">
        <v>87</v>
      </c>
      <c r="Z6" s="96">
        <v>-0.8</v>
      </c>
      <c r="AA6" s="97">
        <v>50.996957641093175</v>
      </c>
      <c r="AB6" s="97" t="str">
        <v>No Partnership / Expansion</v>
      </c>
    </row>
    <row r="7" spans="1:28" ht="12.75" x14ac:dyDescent="0.35">
      <c r="B7" s="102" t="s">
        <v>7</v>
      </c>
      <c r="C7" s="131">
        <f>G52</f>
        <v>10.935148456403384</v>
      </c>
      <c r="M7" s="120" t="s">
        <v>31</v>
      </c>
      <c r="N7" s="122">
        <v>0.25</v>
      </c>
      <c r="O7" s="128">
        <f>1-EXP(-P7*$E$2)</f>
        <v>0.4806823022009824</v>
      </c>
      <c r="P7" s="126">
        <v>19.657183458198954</v>
      </c>
      <c r="Z7" s="96">
        <v>-0.7</v>
      </c>
      <c r="AA7" s="97">
        <v>50.501852649466485</v>
      </c>
      <c r="AB7" s="97" t="str">
        <v>No Partnership / Expansion</v>
      </c>
    </row>
    <row r="8" spans="1:28" ht="12.75" x14ac:dyDescent="0.35">
      <c r="B8" s="102" t="s">
        <v>8</v>
      </c>
      <c r="C8" s="131">
        <f>G117</f>
        <v>5.6402986147669862</v>
      </c>
      <c r="K8" s="155" t="s">
        <v>33</v>
      </c>
      <c r="L8" s="155"/>
      <c r="M8" s="117"/>
      <c r="O8" s="128"/>
      <c r="P8" s="126"/>
      <c r="Z8" s="96">
        <v>-0.6</v>
      </c>
      <c r="AA8" s="97">
        <v>49.841714241664057</v>
      </c>
      <c r="AB8" s="97" t="str">
        <v>No Partnership / Expansion</v>
      </c>
    </row>
    <row r="9" spans="1:28" ht="12.75" x14ac:dyDescent="0.35">
      <c r="B9" s="102" t="s">
        <v>9</v>
      </c>
      <c r="C9" s="131">
        <f>G182</f>
        <v>9.6849259064092639</v>
      </c>
      <c r="M9" s="117"/>
      <c r="O9" s="128"/>
      <c r="P9" s="126"/>
      <c r="Z9" s="96">
        <v>-0.5</v>
      </c>
      <c r="AA9" s="97">
        <v>48.917541385198781</v>
      </c>
      <c r="AB9" s="97" t="str">
        <v>No Partnership / Expansion</v>
      </c>
    </row>
    <row r="10" spans="1:28" ht="12.75" x14ac:dyDescent="0.35">
      <c r="B10" s="102" t="s">
        <v>10</v>
      </c>
      <c r="C10" s="131">
        <f>G247</f>
        <v>5.2809651851730637</v>
      </c>
      <c r="K10" s="120" t="s">
        <v>31</v>
      </c>
      <c r="L10" s="122">
        <v>0.25</v>
      </c>
      <c r="M10" s="120" t="s">
        <v>30</v>
      </c>
      <c r="N10" s="122">
        <v>0.5</v>
      </c>
      <c r="O10" s="128">
        <f>1-EXP(-P10*$E$2)</f>
        <v>0.3123137259455524</v>
      </c>
      <c r="P10" s="126">
        <v>11.232676261827974</v>
      </c>
      <c r="Z10" s="96">
        <v>-0.4</v>
      </c>
      <c r="AA10" s="97">
        <v>47.531572634311921</v>
      </c>
      <c r="AB10" s="97" t="str">
        <v>No Partnership / Expansion</v>
      </c>
    </row>
    <row r="11" spans="1:28" ht="12.75" x14ac:dyDescent="0.35">
      <c r="K11" s="117">
        <f>O7*N7+O10*N10+O13*N13</f>
        <v>0.27632743852302177</v>
      </c>
      <c r="M11" s="117"/>
      <c r="O11" s="128"/>
      <c r="P11" s="126"/>
      <c r="Z11" s="96">
        <v>-0.3</v>
      </c>
      <c r="AA11" s="97">
        <v>45.226029897410562</v>
      </c>
      <c r="AB11" s="97" t="str">
        <v>No Partnership / Expansion</v>
      </c>
    </row>
    <row r="12" spans="1:28" ht="12.75" x14ac:dyDescent="0.35">
      <c r="K12" s="117"/>
      <c r="M12" s="123"/>
      <c r="O12" s="128"/>
      <c r="P12" s="126"/>
      <c r="Z12" s="96">
        <v>-0.2</v>
      </c>
      <c r="AA12" s="97">
        <v>40.695378855492038</v>
      </c>
      <c r="AB12" s="97" t="str">
        <v>No Partnership / Expansion</v>
      </c>
    </row>
    <row r="13" spans="1:28" ht="12.75" x14ac:dyDescent="0.35">
      <c r="K13" s="117"/>
      <c r="M13" s="122" t="s">
        <v>29</v>
      </c>
      <c r="N13" s="122">
        <v>0.25</v>
      </c>
      <c r="O13" s="128">
        <f>1-EXP(-P13*$E$2)</f>
        <v>0</v>
      </c>
      <c r="P13" s="126">
        <v>0</v>
      </c>
      <c r="Z13" s="96">
        <v>-0.1</v>
      </c>
      <c r="AA13" s="97">
        <v>29.441232509512169</v>
      </c>
      <c r="AB13" s="97" t="str">
        <v>No Partnership / Expansion</v>
      </c>
    </row>
    <row r="14" spans="1:28" ht="12.75" x14ac:dyDescent="0.35">
      <c r="K14" s="117"/>
      <c r="O14" s="128"/>
      <c r="P14" s="126"/>
      <c r="Z14" s="96">
        <v>0</v>
      </c>
      <c r="AA14" s="97" t="e">
        <v>#DIV/0!</v>
      </c>
      <c r="AB14" s="97" t="e">
        <v>#DIV/0!</v>
      </c>
    </row>
    <row r="15" spans="1:28" ht="12.75" x14ac:dyDescent="0.35">
      <c r="A15" s="134" t="s">
        <v>82</v>
      </c>
      <c r="B15" s="134" t="s">
        <v>83</v>
      </c>
      <c r="K15" s="117"/>
      <c r="M15" s="155" t="s">
        <v>42</v>
      </c>
      <c r="N15" s="155"/>
      <c r="O15" s="128"/>
      <c r="P15" s="126"/>
      <c r="Z15" s="96">
        <v>0.1</v>
      </c>
      <c r="AA15" s="97">
        <v>9.3750770027966812</v>
      </c>
      <c r="AB15" s="97" t="str">
        <v>No Partnership / No Expansion</v>
      </c>
    </row>
    <row r="16" spans="1:28" ht="12.75" x14ac:dyDescent="0.35">
      <c r="A16" s="131">
        <f>MAX(G52,G117,G182,G247)</f>
        <v>10.935148456403384</v>
      </c>
      <c r="B16" s="102" t="str">
        <f>_xlfn.XLOOKUP(C146,C7:C10,B7:B10)</f>
        <v>No Partnership / No Expansion</v>
      </c>
      <c r="K16" s="117"/>
      <c r="O16" s="128"/>
      <c r="P16" s="126"/>
      <c r="Z16" s="96">
        <v>0.2</v>
      </c>
      <c r="AA16" s="97">
        <v>7.468075656268014</v>
      </c>
      <c r="AB16" s="97" t="str">
        <v>No Partnership / No Expansion</v>
      </c>
    </row>
    <row r="17" spans="9:28" ht="12.75" x14ac:dyDescent="0.35">
      <c r="K17" s="117"/>
      <c r="M17" s="120" t="s">
        <v>31</v>
      </c>
      <c r="N17" s="122">
        <v>0.25</v>
      </c>
      <c r="O17" s="128">
        <f>1-EXP(-P17*$E$2)</f>
        <v>0.4806823022009824</v>
      </c>
      <c r="P17" s="126">
        <v>19.657183458198954</v>
      </c>
      <c r="Z17" s="96">
        <v>0.3</v>
      </c>
      <c r="AA17" s="97">
        <v>6.0919268354531617</v>
      </c>
      <c r="AB17" s="97" t="str">
        <v>No Partnership / No Expansion</v>
      </c>
    </row>
    <row r="18" spans="9:28" ht="12.75" x14ac:dyDescent="0.35">
      <c r="I18" s="155" t="s">
        <v>45</v>
      </c>
      <c r="J18" s="155"/>
      <c r="K18" s="117"/>
      <c r="M18" s="117"/>
      <c r="O18" s="128"/>
      <c r="P18" s="126"/>
      <c r="Z18" s="96">
        <v>0.4</v>
      </c>
      <c r="AA18" s="97">
        <v>5.1127017960362959</v>
      </c>
      <c r="AB18" s="97" t="str">
        <v>No Partnership / No Expansion</v>
      </c>
    </row>
    <row r="19" spans="9:28" ht="12.75" x14ac:dyDescent="0.35">
      <c r="K19" s="117"/>
      <c r="M19" s="117"/>
      <c r="O19" s="128"/>
      <c r="P19" s="126"/>
      <c r="Z19" s="96">
        <v>0.5</v>
      </c>
      <c r="AA19" s="97">
        <v>4.3975745768153072</v>
      </c>
      <c r="AB19" s="97" t="str">
        <v>No Partnership / No Expansion</v>
      </c>
    </row>
    <row r="20" spans="9:28" ht="12.75" x14ac:dyDescent="0.35">
      <c r="I20" s="120" t="s">
        <v>31</v>
      </c>
      <c r="J20" s="122">
        <v>0.25</v>
      </c>
      <c r="K20" s="120" t="s">
        <v>30</v>
      </c>
      <c r="L20" s="122">
        <v>0.5</v>
      </c>
      <c r="M20" s="120" t="s">
        <v>30</v>
      </c>
      <c r="N20" s="122">
        <v>0.5</v>
      </c>
      <c r="O20" s="128">
        <f>1-EXP(-P20*$E$2)</f>
        <v>0.3123137259455524</v>
      </c>
      <c r="P20" s="126">
        <v>11.232676261827974</v>
      </c>
      <c r="Z20" s="96">
        <v>0.6</v>
      </c>
      <c r="AA20" s="97">
        <v>3.9983854783467208</v>
      </c>
      <c r="AB20" s="97" t="str">
        <v>Joint Venture</v>
      </c>
    </row>
    <row r="21" spans="9:28" ht="12.75" x14ac:dyDescent="0.35">
      <c r="I21" s="117">
        <f>L10*K11+L20*K21+L30*K31</f>
        <v>0.24804954234057702</v>
      </c>
      <c r="K21" s="117">
        <f>O17*N17+O20*N20+O23*N23</f>
        <v>0.27632743852302177</v>
      </c>
      <c r="M21" s="117"/>
      <c r="O21" s="128"/>
      <c r="P21" s="126"/>
      <c r="Z21" s="96">
        <v>0.7</v>
      </c>
      <c r="AA21" s="97">
        <v>3.7035487348723994</v>
      </c>
      <c r="AB21" s="97" t="str">
        <v>Joint Venture</v>
      </c>
    </row>
    <row r="22" spans="9:28" ht="12.75" x14ac:dyDescent="0.35">
      <c r="I22" s="117"/>
      <c r="K22" s="117"/>
      <c r="M22" s="123"/>
      <c r="O22" s="128"/>
      <c r="P22" s="126"/>
      <c r="Z22" s="96">
        <v>0.8</v>
      </c>
      <c r="AA22" s="97">
        <v>3.4626165612886459</v>
      </c>
      <c r="AB22" s="97" t="str">
        <v>Joint Venture</v>
      </c>
    </row>
    <row r="23" spans="9:28" ht="12.75" x14ac:dyDescent="0.35">
      <c r="I23" s="117"/>
      <c r="K23" s="117"/>
      <c r="M23" s="122" t="s">
        <v>29</v>
      </c>
      <c r="N23" s="122">
        <v>0.25</v>
      </c>
      <c r="O23" s="128">
        <f>1-EXP(-P23*$E$2)</f>
        <v>0</v>
      </c>
      <c r="P23" s="126">
        <v>0</v>
      </c>
      <c r="Z23" s="96">
        <v>0.9</v>
      </c>
      <c r="AA23" s="97">
        <v>3.2608462442309394</v>
      </c>
      <c r="AB23" s="97" t="str">
        <v>Joint Venture</v>
      </c>
    </row>
    <row r="24" spans="9:28" ht="12.75" x14ac:dyDescent="0.35">
      <c r="I24" s="117"/>
      <c r="K24" s="117"/>
      <c r="O24" s="128"/>
      <c r="P24" s="126"/>
      <c r="Z24" s="96">
        <v>1</v>
      </c>
      <c r="AA24" s="97">
        <v>3.0886142162136752</v>
      </c>
      <c r="AB24" s="97" t="str">
        <v>Joint Venture</v>
      </c>
    </row>
    <row r="25" spans="9:28" x14ac:dyDescent="0.35">
      <c r="I25" s="117"/>
      <c r="K25" s="117"/>
      <c r="M25" s="155" t="s">
        <v>42</v>
      </c>
      <c r="N25" s="155"/>
      <c r="O25" s="128"/>
      <c r="P25" s="126"/>
    </row>
    <row r="26" spans="9:28" x14ac:dyDescent="0.35">
      <c r="I26" s="117"/>
      <c r="K26" s="117"/>
      <c r="O26" s="128"/>
      <c r="P26" s="126"/>
    </row>
    <row r="27" spans="9:28" x14ac:dyDescent="0.35">
      <c r="I27" s="117"/>
      <c r="K27" s="117"/>
      <c r="M27" s="120" t="s">
        <v>31</v>
      </c>
      <c r="N27" s="122">
        <v>0.25</v>
      </c>
      <c r="O27" s="128">
        <f>1-EXP(-P27*$E$2)</f>
        <v>0.29316876302887829</v>
      </c>
      <c r="P27" s="126">
        <v>10.408900337724177</v>
      </c>
    </row>
    <row r="28" spans="9:28" x14ac:dyDescent="0.35">
      <c r="I28" s="117"/>
      <c r="K28" s="117"/>
      <c r="M28" s="117"/>
      <c r="O28" s="128"/>
      <c r="P28" s="126"/>
    </row>
    <row r="29" spans="9:28" x14ac:dyDescent="0.35">
      <c r="I29" s="117"/>
      <c r="K29" s="123"/>
      <c r="M29" s="117"/>
      <c r="O29" s="128"/>
      <c r="P29" s="126"/>
    </row>
    <row r="30" spans="9:28" x14ac:dyDescent="0.35">
      <c r="I30" s="117"/>
      <c r="K30" s="122" t="s">
        <v>29</v>
      </c>
      <c r="L30" s="122">
        <v>0.25</v>
      </c>
      <c r="M30" s="120" t="s">
        <v>30</v>
      </c>
      <c r="N30" s="122">
        <v>0.5</v>
      </c>
      <c r="O30" s="128">
        <f>1-EXP(-P30*$E$2)</f>
        <v>0.17984732607204634</v>
      </c>
      <c r="P30" s="126">
        <v>5.9479430501281021</v>
      </c>
    </row>
    <row r="31" spans="9:28" x14ac:dyDescent="0.35">
      <c r="I31" s="117"/>
      <c r="K31" s="97">
        <f>O27*N27+O30*N30+O33*N33</f>
        <v>0.16321585379324274</v>
      </c>
      <c r="M31" s="117"/>
      <c r="O31" s="128"/>
      <c r="P31" s="126"/>
    </row>
    <row r="32" spans="9:28" x14ac:dyDescent="0.35">
      <c r="I32" s="117"/>
      <c r="M32" s="123"/>
      <c r="O32" s="128"/>
      <c r="P32" s="126"/>
    </row>
    <row r="33" spans="9:16" x14ac:dyDescent="0.35">
      <c r="I33" s="117"/>
      <c r="M33" s="122" t="s">
        <v>29</v>
      </c>
      <c r="N33" s="122">
        <v>0.25</v>
      </c>
      <c r="O33" s="128">
        <f>1-EXP(-P33*$E$2)</f>
        <v>0</v>
      </c>
      <c r="P33" s="126">
        <v>0</v>
      </c>
    </row>
    <row r="34" spans="9:16" x14ac:dyDescent="0.35">
      <c r="I34" s="117"/>
      <c r="K34" s="155"/>
      <c r="L34" s="155"/>
      <c r="O34" s="128"/>
      <c r="P34" s="126"/>
    </row>
    <row r="35" spans="9:16" x14ac:dyDescent="0.35">
      <c r="I35" s="117"/>
      <c r="K35" s="124"/>
      <c r="L35" s="124"/>
      <c r="O35" s="128"/>
      <c r="P35" s="126"/>
    </row>
    <row r="36" spans="9:16" x14ac:dyDescent="0.35">
      <c r="I36" s="117"/>
      <c r="M36" s="155" t="s">
        <v>42</v>
      </c>
      <c r="N36" s="155"/>
      <c r="O36" s="128"/>
      <c r="P36" s="126"/>
    </row>
    <row r="37" spans="9:16" x14ac:dyDescent="0.35">
      <c r="I37" s="117"/>
      <c r="O37" s="128"/>
      <c r="P37" s="126"/>
    </row>
    <row r="38" spans="9:16" x14ac:dyDescent="0.35">
      <c r="I38" s="117"/>
      <c r="M38" s="120" t="s">
        <v>31</v>
      </c>
      <c r="N38" s="122">
        <v>0.25</v>
      </c>
      <c r="O38" s="128">
        <f>1-EXP(-P38*$E$2)</f>
        <v>0.52708758847711112</v>
      </c>
      <c r="P38" s="126">
        <v>22.465352523655948</v>
      </c>
    </row>
    <row r="39" spans="9:16" x14ac:dyDescent="0.35">
      <c r="I39" s="117"/>
      <c r="K39" s="155" t="s">
        <v>33</v>
      </c>
      <c r="L39" s="155"/>
      <c r="M39" s="117"/>
      <c r="O39" s="128"/>
      <c r="P39" s="126"/>
    </row>
    <row r="40" spans="9:16" x14ac:dyDescent="0.35">
      <c r="I40" s="117"/>
      <c r="M40" s="117"/>
      <c r="O40" s="128"/>
      <c r="P40" s="126"/>
    </row>
    <row r="41" spans="9:16" x14ac:dyDescent="0.35">
      <c r="I41" s="117"/>
      <c r="K41" s="120" t="s">
        <v>31</v>
      </c>
      <c r="L41" s="122">
        <v>0.25</v>
      </c>
      <c r="M41" s="120" t="s">
        <v>30</v>
      </c>
      <c r="N41" s="122">
        <v>0.5</v>
      </c>
      <c r="O41" s="128">
        <f>1-EXP(-P41*$E$2)</f>
        <v>0.37376412240019319</v>
      </c>
      <c r="P41" s="126">
        <v>14.040845327284968</v>
      </c>
    </row>
    <row r="42" spans="9:16" x14ac:dyDescent="0.35">
      <c r="I42" s="117"/>
      <c r="K42" s="117">
        <f>O38*N38+O41*N41+O44*N44</f>
        <v>0.34099350426244762</v>
      </c>
      <c r="M42" s="117"/>
      <c r="O42" s="128"/>
      <c r="P42" s="126"/>
    </row>
    <row r="43" spans="9:16" x14ac:dyDescent="0.35">
      <c r="I43" s="117"/>
      <c r="K43" s="117"/>
      <c r="M43" s="123"/>
      <c r="O43" s="128"/>
      <c r="P43" s="126"/>
    </row>
    <row r="44" spans="9:16" x14ac:dyDescent="0.35">
      <c r="I44" s="117"/>
      <c r="K44" s="117"/>
      <c r="M44" s="122" t="s">
        <v>29</v>
      </c>
      <c r="N44" s="122">
        <v>0.25</v>
      </c>
      <c r="O44" s="128">
        <f>1-EXP(-P44*$E$2)</f>
        <v>8.9358183772292987E-2</v>
      </c>
      <c r="P44" s="126">
        <v>2.8081690654569935</v>
      </c>
    </row>
    <row r="45" spans="9:16" x14ac:dyDescent="0.35">
      <c r="I45" s="117"/>
      <c r="K45" s="117"/>
      <c r="O45" s="128"/>
      <c r="P45" s="126"/>
    </row>
    <row r="46" spans="9:16" x14ac:dyDescent="0.35">
      <c r="I46" s="117"/>
      <c r="K46" s="117"/>
      <c r="M46" s="155" t="s">
        <v>42</v>
      </c>
      <c r="N46" s="155"/>
      <c r="O46" s="128"/>
      <c r="P46" s="126"/>
    </row>
    <row r="47" spans="9:16" x14ac:dyDescent="0.35">
      <c r="I47" s="117"/>
      <c r="K47" s="117"/>
      <c r="O47" s="128"/>
      <c r="P47" s="126"/>
    </row>
    <row r="48" spans="9:16" x14ac:dyDescent="0.35">
      <c r="I48" s="117"/>
      <c r="K48" s="117"/>
      <c r="M48" s="120" t="s">
        <v>31</v>
      </c>
      <c r="N48" s="122">
        <v>0.25</v>
      </c>
      <c r="O48" s="128">
        <f>1-EXP(-P48*$E$2)</f>
        <v>0.52708758847711112</v>
      </c>
      <c r="P48" s="126">
        <v>22.465352523655948</v>
      </c>
    </row>
    <row r="49" spans="5:16" x14ac:dyDescent="0.35">
      <c r="I49" s="117"/>
      <c r="K49" s="117"/>
      <c r="M49" s="117"/>
      <c r="O49" s="128"/>
      <c r="P49" s="126"/>
    </row>
    <row r="50" spans="5:16" x14ac:dyDescent="0.35">
      <c r="F50" s="156" t="s">
        <v>7</v>
      </c>
      <c r="G50" s="156"/>
      <c r="H50" s="157"/>
      <c r="I50" s="117"/>
      <c r="K50" s="117"/>
      <c r="M50" s="117"/>
      <c r="O50" s="128"/>
      <c r="P50" s="126"/>
    </row>
    <row r="51" spans="5:16" x14ac:dyDescent="0.35">
      <c r="E51" s="121"/>
      <c r="F51" s="120" t="s">
        <v>84</v>
      </c>
      <c r="G51" s="122">
        <f>J20*I21+J51*I52+J82*I83</f>
        <v>0.30545960098169533</v>
      </c>
      <c r="H51" s="122"/>
      <c r="I51" s="120" t="s">
        <v>30</v>
      </c>
      <c r="J51" s="122">
        <v>0.5</v>
      </c>
      <c r="K51" s="120" t="s">
        <v>30</v>
      </c>
      <c r="L51" s="122">
        <v>0.5</v>
      </c>
      <c r="M51" s="120" t="s">
        <v>30</v>
      </c>
      <c r="N51" s="122">
        <v>0.5</v>
      </c>
      <c r="O51" s="128">
        <f>1-EXP(-P51*$E$2)</f>
        <v>0.37376412240019319</v>
      </c>
      <c r="P51" s="126">
        <v>14.040845327284968</v>
      </c>
    </row>
    <row r="52" spans="5:16" x14ac:dyDescent="0.35">
      <c r="E52" s="121"/>
      <c r="F52" s="97" t="s">
        <v>87</v>
      </c>
      <c r="G52" s="126">
        <f>-LN(-G51+1)/$E$2</f>
        <v>10.935148456403384</v>
      </c>
      <c r="I52" s="117">
        <f>L41*K42+L51*K52+L61*K62</f>
        <v>0.30666535908990122</v>
      </c>
      <c r="K52" s="117">
        <f>O48*N48+O51*N51+O54*N54</f>
        <v>0.34099350426244762</v>
      </c>
      <c r="M52" s="117"/>
      <c r="O52" s="128"/>
      <c r="P52" s="126"/>
    </row>
    <row r="53" spans="5:16" x14ac:dyDescent="0.35">
      <c r="E53" s="121"/>
      <c r="I53" s="117"/>
      <c r="K53" s="117"/>
      <c r="M53" s="123"/>
      <c r="O53" s="128"/>
      <c r="P53" s="126"/>
    </row>
    <row r="54" spans="5:16" x14ac:dyDescent="0.35">
      <c r="E54" s="121"/>
      <c r="I54" s="117"/>
      <c r="K54" s="117"/>
      <c r="M54" s="122" t="s">
        <v>29</v>
      </c>
      <c r="N54" s="122">
        <v>0.25</v>
      </c>
      <c r="O54" s="128">
        <f>1-EXP(-P54*$E$2)</f>
        <v>8.9358183772292987E-2</v>
      </c>
      <c r="P54" s="126">
        <v>2.8081690654569935</v>
      </c>
    </row>
    <row r="55" spans="5:16" x14ac:dyDescent="0.35">
      <c r="E55" s="121"/>
      <c r="I55" s="117"/>
      <c r="K55" s="117"/>
      <c r="O55" s="128"/>
      <c r="P55" s="126"/>
    </row>
    <row r="56" spans="5:16" x14ac:dyDescent="0.35">
      <c r="E56" s="121"/>
      <c r="I56" s="117"/>
      <c r="K56" s="117"/>
      <c r="M56" s="155" t="s">
        <v>42</v>
      </c>
      <c r="N56" s="155"/>
      <c r="O56" s="128"/>
      <c r="P56" s="126"/>
    </row>
    <row r="57" spans="5:16" x14ac:dyDescent="0.35">
      <c r="E57" s="121"/>
      <c r="I57" s="117"/>
      <c r="K57" s="117"/>
      <c r="O57" s="128"/>
      <c r="P57" s="126"/>
    </row>
    <row r="58" spans="5:16" x14ac:dyDescent="0.35">
      <c r="E58" s="121"/>
      <c r="I58" s="117"/>
      <c r="K58" s="117"/>
      <c r="M58" s="120" t="s">
        <v>31</v>
      </c>
      <c r="N58" s="122">
        <v>0.25</v>
      </c>
      <c r="O58" s="128">
        <f>1-EXP(-P58*$E$2)</f>
        <v>0.32734959144882769</v>
      </c>
      <c r="P58" s="126">
        <v>11.895886100256202</v>
      </c>
    </row>
    <row r="59" spans="5:16" x14ac:dyDescent="0.35">
      <c r="E59" s="121"/>
      <c r="I59" s="117"/>
      <c r="K59" s="117"/>
      <c r="M59" s="117"/>
      <c r="O59" s="128"/>
      <c r="P59" s="126"/>
    </row>
    <row r="60" spans="5:16" x14ac:dyDescent="0.35">
      <c r="E60" s="121"/>
      <c r="I60" s="117"/>
      <c r="K60" s="123"/>
      <c r="M60" s="117"/>
      <c r="O60" s="128"/>
      <c r="P60" s="126"/>
    </row>
    <row r="61" spans="5:16" x14ac:dyDescent="0.35">
      <c r="E61" s="121"/>
      <c r="I61" s="117"/>
      <c r="K61" s="122" t="s">
        <v>29</v>
      </c>
      <c r="L61" s="122">
        <v>0.25</v>
      </c>
      <c r="M61" s="120" t="s">
        <v>30</v>
      </c>
      <c r="N61" s="122">
        <v>0.5</v>
      </c>
      <c r="O61" s="128">
        <f>1-EXP(-P61*$E$2)</f>
        <v>0.21950813385669055</v>
      </c>
      <c r="P61" s="126">
        <v>7.434928812660127</v>
      </c>
    </row>
    <row r="62" spans="5:16" x14ac:dyDescent="0.35">
      <c r="E62" s="121"/>
      <c r="I62" s="117"/>
      <c r="K62" s="97">
        <f>O58*N58+O61*N61+O64*N64</f>
        <v>0.203680923572262</v>
      </c>
      <c r="M62" s="117"/>
      <c r="O62" s="128"/>
      <c r="P62" s="126"/>
    </row>
    <row r="63" spans="5:16" x14ac:dyDescent="0.35">
      <c r="E63" s="121"/>
      <c r="I63" s="117"/>
      <c r="M63" s="123"/>
      <c r="O63" s="128"/>
      <c r="P63" s="126"/>
    </row>
    <row r="64" spans="5:16" x14ac:dyDescent="0.35">
      <c r="E64" s="121"/>
      <c r="I64" s="117"/>
      <c r="M64" s="122" t="s">
        <v>29</v>
      </c>
      <c r="N64" s="122">
        <v>0.25</v>
      </c>
      <c r="O64" s="128">
        <f>1-EXP(-P64*$E$2)</f>
        <v>4.8357835126839221E-2</v>
      </c>
      <c r="P64" s="126">
        <v>1.4869857625320253</v>
      </c>
    </row>
    <row r="65" spans="5:16" x14ac:dyDescent="0.35">
      <c r="E65" s="121"/>
      <c r="I65" s="117"/>
      <c r="O65" s="128"/>
      <c r="P65" s="126"/>
    </row>
    <row r="66" spans="5:16" x14ac:dyDescent="0.35">
      <c r="E66" s="121"/>
      <c r="I66" s="117"/>
      <c r="O66" s="128"/>
      <c r="P66" s="126"/>
    </row>
    <row r="67" spans="5:16" x14ac:dyDescent="0.35">
      <c r="E67" s="121"/>
      <c r="I67" s="117"/>
      <c r="M67" s="155" t="s">
        <v>42</v>
      </c>
      <c r="N67" s="155"/>
      <c r="O67" s="128"/>
      <c r="P67" s="126"/>
    </row>
    <row r="68" spans="5:16" x14ac:dyDescent="0.35">
      <c r="E68" s="121"/>
      <c r="I68" s="117"/>
      <c r="O68" s="128"/>
      <c r="P68" s="126"/>
    </row>
    <row r="69" spans="5:16" x14ac:dyDescent="0.35">
      <c r="E69" s="121"/>
      <c r="I69" s="117"/>
      <c r="M69" s="120" t="s">
        <v>31</v>
      </c>
      <c r="N69" s="122">
        <v>0.25</v>
      </c>
      <c r="O69" s="128">
        <f>1-EXP(-P69*$E$2)</f>
        <v>0.5693461826541717</v>
      </c>
      <c r="P69" s="126">
        <v>25.273521589112942</v>
      </c>
    </row>
    <row r="70" spans="5:16" x14ac:dyDescent="0.35">
      <c r="E70" s="121"/>
      <c r="I70" s="117"/>
      <c r="K70" s="155" t="s">
        <v>33</v>
      </c>
      <c r="L70" s="155"/>
      <c r="M70" s="117"/>
      <c r="O70" s="128"/>
      <c r="P70" s="126"/>
    </row>
    <row r="71" spans="5:16" x14ac:dyDescent="0.35">
      <c r="E71" s="121"/>
      <c r="I71" s="117"/>
      <c r="M71" s="117"/>
      <c r="O71" s="128"/>
      <c r="P71" s="126"/>
    </row>
    <row r="72" spans="5:16" x14ac:dyDescent="0.35">
      <c r="E72" s="121"/>
      <c r="I72" s="117"/>
      <c r="K72" s="120" t="s">
        <v>31</v>
      </c>
      <c r="L72" s="122">
        <v>0.25</v>
      </c>
      <c r="M72" s="120" t="s">
        <v>30</v>
      </c>
      <c r="N72" s="122">
        <v>0.5</v>
      </c>
      <c r="O72" s="128">
        <f>1-EXP(-P72*$E$2)</f>
        <v>0.42972342303555988</v>
      </c>
      <c r="P72" s="126">
        <v>16.849014392741964</v>
      </c>
    </row>
    <row r="73" spans="5:16" x14ac:dyDescent="0.35">
      <c r="E73" s="121"/>
      <c r="I73" s="117"/>
      <c r="K73" s="117">
        <f>O69*N69+O72*N72+O75*N75</f>
        <v>0.39988112781569862</v>
      </c>
      <c r="M73" s="117"/>
      <c r="O73" s="128"/>
      <c r="P73" s="126"/>
    </row>
    <row r="74" spans="5:16" x14ac:dyDescent="0.35">
      <c r="E74" s="121"/>
      <c r="I74" s="117"/>
      <c r="K74" s="117"/>
      <c r="M74" s="123"/>
      <c r="O74" s="128"/>
      <c r="P74" s="126"/>
    </row>
    <row r="75" spans="5:16" x14ac:dyDescent="0.35">
      <c r="E75" s="121"/>
      <c r="I75" s="117"/>
      <c r="K75" s="117"/>
      <c r="M75" s="122" t="s">
        <v>29</v>
      </c>
      <c r="N75" s="122">
        <v>0.25</v>
      </c>
      <c r="O75" s="128">
        <f>1-EXP(-P75*$E$2)</f>
        <v>0.17073148253750303</v>
      </c>
      <c r="P75" s="126">
        <v>5.616338130913987</v>
      </c>
    </row>
    <row r="76" spans="5:16" x14ac:dyDescent="0.35">
      <c r="E76" s="121"/>
      <c r="I76" s="117"/>
      <c r="K76" s="117"/>
      <c r="O76" s="128"/>
      <c r="P76" s="126"/>
    </row>
    <row r="77" spans="5:16" x14ac:dyDescent="0.35">
      <c r="E77" s="121"/>
      <c r="I77" s="117"/>
      <c r="K77" s="117"/>
      <c r="M77" s="155" t="s">
        <v>42</v>
      </c>
      <c r="N77" s="155"/>
      <c r="O77" s="128"/>
      <c r="P77" s="126"/>
    </row>
    <row r="78" spans="5:16" x14ac:dyDescent="0.35">
      <c r="E78" s="121"/>
      <c r="I78" s="117"/>
      <c r="K78" s="117"/>
      <c r="O78" s="128"/>
      <c r="P78" s="126"/>
    </row>
    <row r="79" spans="5:16" x14ac:dyDescent="0.35">
      <c r="E79" s="121"/>
      <c r="I79" s="117"/>
      <c r="K79" s="117"/>
      <c r="M79" s="120" t="s">
        <v>31</v>
      </c>
      <c r="N79" s="122">
        <v>0.25</v>
      </c>
      <c r="O79" s="128">
        <f>1-EXP(-P79*$E$2)</f>
        <v>0.5693461826541717</v>
      </c>
      <c r="P79" s="126">
        <v>25.273521589112942</v>
      </c>
    </row>
    <row r="80" spans="5:16" x14ac:dyDescent="0.35">
      <c r="E80" s="121"/>
      <c r="I80" s="117"/>
      <c r="K80" s="117"/>
      <c r="M80" s="117"/>
      <c r="O80" s="128"/>
      <c r="P80" s="126"/>
    </row>
    <row r="81" spans="5:16" x14ac:dyDescent="0.35">
      <c r="E81" s="121"/>
      <c r="I81" s="123"/>
      <c r="K81" s="117"/>
      <c r="M81" s="117"/>
      <c r="O81" s="128"/>
      <c r="P81" s="126"/>
    </row>
    <row r="82" spans="5:16" x14ac:dyDescent="0.35">
      <c r="E82" s="121"/>
      <c r="I82" s="122" t="s">
        <v>29</v>
      </c>
      <c r="J82" s="122">
        <v>0.25</v>
      </c>
      <c r="K82" s="120" t="s">
        <v>30</v>
      </c>
      <c r="L82" s="122">
        <v>0.5</v>
      </c>
      <c r="M82" s="120" t="s">
        <v>30</v>
      </c>
      <c r="N82" s="122">
        <v>0.5</v>
      </c>
      <c r="O82" s="128">
        <f>1-EXP(-P82*$E$2)</f>
        <v>0.42972342303555988</v>
      </c>
      <c r="P82" s="126">
        <v>16.849014392741964</v>
      </c>
    </row>
    <row r="83" spans="5:16" x14ac:dyDescent="0.35">
      <c r="E83" s="121"/>
      <c r="I83" s="97">
        <f>L72*K73+L82*K83+L92*K93</f>
        <v>0.36045814340640187</v>
      </c>
      <c r="K83" s="117">
        <f>O79*N79+O82*N82+O85*N85</f>
        <v>0.39988112781569862</v>
      </c>
      <c r="M83" s="117"/>
      <c r="O83" s="128"/>
      <c r="P83" s="126"/>
    </row>
    <row r="84" spans="5:16" x14ac:dyDescent="0.35">
      <c r="E84" s="121"/>
      <c r="K84" s="117"/>
      <c r="M84" s="123"/>
      <c r="O84" s="128"/>
      <c r="P84" s="126"/>
    </row>
    <row r="85" spans="5:16" x14ac:dyDescent="0.35">
      <c r="E85" s="121"/>
      <c r="K85" s="117"/>
      <c r="M85" s="122" t="s">
        <v>29</v>
      </c>
      <c r="N85" s="122">
        <v>0.25</v>
      </c>
      <c r="O85" s="128">
        <f>1-EXP(-P85*$E$2)</f>
        <v>0.17073148253750303</v>
      </c>
      <c r="P85" s="126">
        <v>5.616338130913987</v>
      </c>
    </row>
    <row r="86" spans="5:16" x14ac:dyDescent="0.35">
      <c r="E86" s="121"/>
      <c r="K86" s="117"/>
      <c r="O86" s="128"/>
      <c r="P86" s="126"/>
    </row>
    <row r="87" spans="5:16" x14ac:dyDescent="0.35">
      <c r="E87" s="121"/>
      <c r="K87" s="117"/>
      <c r="M87" s="155" t="s">
        <v>42</v>
      </c>
      <c r="N87" s="155"/>
      <c r="O87" s="128"/>
      <c r="P87" s="126"/>
    </row>
    <row r="88" spans="5:16" x14ac:dyDescent="0.35">
      <c r="E88" s="121"/>
      <c r="K88" s="117"/>
      <c r="O88" s="128"/>
      <c r="P88" s="126"/>
    </row>
    <row r="89" spans="5:16" x14ac:dyDescent="0.35">
      <c r="E89" s="121"/>
      <c r="K89" s="117"/>
      <c r="M89" s="120" t="s">
        <v>31</v>
      </c>
      <c r="N89" s="122">
        <v>0.25</v>
      </c>
      <c r="O89" s="128">
        <f>1-EXP(-P89*$E$2)</f>
        <v>0.35987750900354631</v>
      </c>
      <c r="P89" s="126">
        <v>13.38287186278823</v>
      </c>
    </row>
    <row r="90" spans="5:16" x14ac:dyDescent="0.35">
      <c r="E90" s="121"/>
      <c r="K90" s="117"/>
      <c r="M90" s="117"/>
      <c r="O90" s="128"/>
      <c r="P90" s="126"/>
    </row>
    <row r="91" spans="5:16" x14ac:dyDescent="0.35">
      <c r="E91" s="121"/>
      <c r="K91" s="123"/>
      <c r="M91" s="117"/>
      <c r="O91" s="128"/>
      <c r="P91" s="126"/>
    </row>
    <row r="92" spans="5:16" x14ac:dyDescent="0.35">
      <c r="E92" s="121"/>
      <c r="K92" s="122" t="s">
        <v>29</v>
      </c>
      <c r="L92" s="122">
        <v>0.25</v>
      </c>
      <c r="M92" s="120" t="s">
        <v>30</v>
      </c>
      <c r="N92" s="122">
        <v>0.5</v>
      </c>
      <c r="O92" s="128">
        <f>1-EXP(-P92*$E$2)</f>
        <v>0.2572510308374879</v>
      </c>
      <c r="P92" s="126">
        <v>8.9219145751921545</v>
      </c>
    </row>
    <row r="93" spans="5:16" x14ac:dyDescent="0.35">
      <c r="E93" s="121"/>
      <c r="K93" s="97">
        <f>O89*N89+O92*N92+O95*N95</f>
        <v>0.24218919017851151</v>
      </c>
      <c r="M93" s="117"/>
      <c r="O93" s="128"/>
      <c r="P93" s="126"/>
    </row>
    <row r="94" spans="5:16" x14ac:dyDescent="0.35">
      <c r="E94" s="121"/>
      <c r="M94" s="123"/>
      <c r="O94" s="128"/>
      <c r="P94" s="126"/>
    </row>
    <row r="95" spans="5:16" x14ac:dyDescent="0.35">
      <c r="E95" s="121"/>
      <c r="M95" s="122" t="s">
        <v>29</v>
      </c>
      <c r="N95" s="122">
        <v>0.25</v>
      </c>
      <c r="O95" s="128">
        <f>1-EXP(-P95*$E$2)</f>
        <v>9.4377190035523917E-2</v>
      </c>
      <c r="P95" s="126">
        <v>2.9739715250640519</v>
      </c>
    </row>
    <row r="96" spans="5:16" x14ac:dyDescent="0.35">
      <c r="E96" s="121"/>
      <c r="P96" s="126"/>
    </row>
    <row r="97" spans="5:14" x14ac:dyDescent="0.35">
      <c r="E97" s="121"/>
    </row>
    <row r="98" spans="5:14" x14ac:dyDescent="0.35">
      <c r="E98" s="121"/>
    </row>
    <row r="99" spans="5:14" x14ac:dyDescent="0.35">
      <c r="E99" s="121"/>
    </row>
    <row r="100" spans="5:14" x14ac:dyDescent="0.35">
      <c r="E100" s="121"/>
      <c r="M100" s="127" t="s">
        <v>84</v>
      </c>
      <c r="N100" s="127" t="s">
        <v>88</v>
      </c>
    </row>
    <row r="101" spans="5:14" x14ac:dyDescent="0.35">
      <c r="E101" s="121"/>
      <c r="K101" s="155" t="s">
        <v>33</v>
      </c>
      <c r="L101" s="155"/>
    </row>
    <row r="102" spans="5:14" x14ac:dyDescent="0.35">
      <c r="E102" s="121"/>
    </row>
    <row r="103" spans="5:14" x14ac:dyDescent="0.35">
      <c r="E103" s="121"/>
      <c r="K103" s="120" t="s">
        <v>31</v>
      </c>
      <c r="L103" s="122">
        <v>0.25</v>
      </c>
      <c r="M103" s="128">
        <f>1-EXP(-N103*$E$2)</f>
        <v>0.8372309766422309</v>
      </c>
      <c r="N103" s="126">
        <v>54.462693531999285</v>
      </c>
    </row>
    <row r="104" spans="5:14" x14ac:dyDescent="0.35">
      <c r="E104" s="121"/>
      <c r="I104" s="155" t="s">
        <v>42</v>
      </c>
      <c r="J104" s="155"/>
      <c r="K104" s="117"/>
      <c r="M104" s="128"/>
      <c r="N104" s="126"/>
    </row>
    <row r="105" spans="5:14" x14ac:dyDescent="0.35">
      <c r="E105" s="121"/>
      <c r="K105" s="117"/>
      <c r="M105" s="128"/>
      <c r="N105" s="126"/>
    </row>
    <row r="106" spans="5:14" x14ac:dyDescent="0.35">
      <c r="E106" s="121"/>
      <c r="I106" s="120" t="s">
        <v>31</v>
      </c>
      <c r="J106" s="122">
        <v>0.25</v>
      </c>
      <c r="K106" s="120" t="s">
        <v>30</v>
      </c>
      <c r="L106" s="122">
        <v>0.5</v>
      </c>
      <c r="M106" s="128">
        <f>1-EXP(-N106*$E$2)</f>
        <v>0.49294621654678528</v>
      </c>
      <c r="N106" s="126">
        <v>20.374145977663837</v>
      </c>
    </row>
    <row r="107" spans="5:14" x14ac:dyDescent="0.35">
      <c r="E107" s="121"/>
      <c r="I107" s="117">
        <f>M103*L103+M106*L106+M109*L109</f>
        <v>0.47110711463063237</v>
      </c>
      <c r="K107" s="117"/>
      <c r="M107" s="128"/>
      <c r="N107" s="126"/>
    </row>
    <row r="108" spans="5:14" x14ac:dyDescent="0.35">
      <c r="E108" s="121"/>
      <c r="I108" s="117"/>
      <c r="K108" s="123"/>
      <c r="M108" s="128"/>
      <c r="N108" s="126"/>
    </row>
    <row r="109" spans="5:14" x14ac:dyDescent="0.35">
      <c r="E109" s="121"/>
      <c r="I109" s="117"/>
      <c r="K109" s="122" t="s">
        <v>29</v>
      </c>
      <c r="L109" s="122">
        <v>0.25</v>
      </c>
      <c r="M109" s="128">
        <f>1-EXP(-N109*$E$2)</f>
        <v>6.1305048786727823E-2</v>
      </c>
      <c r="N109" s="126">
        <v>1.897941544251001</v>
      </c>
    </row>
    <row r="110" spans="5:14" x14ac:dyDescent="0.35">
      <c r="E110" s="121"/>
      <c r="I110" s="117"/>
      <c r="M110" s="128"/>
      <c r="N110" s="126"/>
    </row>
    <row r="111" spans="5:14" x14ac:dyDescent="0.35">
      <c r="E111" s="121"/>
      <c r="I111" s="117"/>
      <c r="K111" s="155" t="s">
        <v>33</v>
      </c>
      <c r="L111" s="155"/>
      <c r="M111" s="128"/>
      <c r="N111" s="126"/>
    </row>
    <row r="112" spans="5:14" x14ac:dyDescent="0.35">
      <c r="E112" s="121"/>
      <c r="I112" s="117"/>
      <c r="M112" s="128"/>
      <c r="N112" s="126"/>
    </row>
    <row r="113" spans="5:14" x14ac:dyDescent="0.35">
      <c r="E113" s="121"/>
      <c r="I113" s="117"/>
      <c r="K113" s="120" t="s">
        <v>31</v>
      </c>
      <c r="L113" s="122">
        <v>0.25</v>
      </c>
      <c r="M113" s="128">
        <f>1-EXP(-N113*$E$2)</f>
        <v>0.6382960121518384</v>
      </c>
      <c r="N113" s="126">
        <v>30.507873443782131</v>
      </c>
    </row>
    <row r="114" spans="5:14" x14ac:dyDescent="0.35">
      <c r="E114" s="121"/>
      <c r="I114" s="117"/>
      <c r="K114" s="117"/>
      <c r="M114" s="128"/>
      <c r="N114" s="126"/>
    </row>
    <row r="115" spans="5:14" x14ac:dyDescent="0.35">
      <c r="E115" s="121"/>
      <c r="F115" s="156" t="s">
        <v>8</v>
      </c>
      <c r="G115" s="156"/>
      <c r="H115" s="157"/>
      <c r="I115" s="117"/>
      <c r="K115" s="117"/>
      <c r="M115" s="128"/>
      <c r="N115" s="126"/>
    </row>
    <row r="116" spans="5:14" x14ac:dyDescent="0.35">
      <c r="E116" s="121"/>
      <c r="F116" s="120" t="s">
        <v>84</v>
      </c>
      <c r="G116" s="122">
        <f>J106*I107+J116*I117+J126*I127</f>
        <v>0.17139354061252784</v>
      </c>
      <c r="H116" s="122"/>
      <c r="I116" s="120" t="s">
        <v>30</v>
      </c>
      <c r="J116" s="122">
        <v>0.5</v>
      </c>
      <c r="K116" s="120" t="s">
        <v>30</v>
      </c>
      <c r="L116" s="122">
        <v>0.5</v>
      </c>
      <c r="M116" s="128">
        <f>1-EXP(-N116*$E$2)</f>
        <v>0.2578563935383904</v>
      </c>
      <c r="N116" s="126">
        <v>8.9463754450642767</v>
      </c>
    </row>
    <row r="117" spans="5:14" x14ac:dyDescent="0.35">
      <c r="E117" s="121"/>
      <c r="F117" s="97" t="s">
        <v>87</v>
      </c>
      <c r="G117" s="126">
        <f>-LN(-G116+1)/$E$2</f>
        <v>5.6402986147669862</v>
      </c>
      <c r="I117" s="117">
        <f>M113*L113+M116*L116+M119*L119</f>
        <v>0.26182208335083174</v>
      </c>
      <c r="K117" s="117"/>
      <c r="M117" s="128"/>
      <c r="N117" s="126"/>
    </row>
    <row r="118" spans="5:14" x14ac:dyDescent="0.35">
      <c r="E118" s="121"/>
      <c r="I118" s="117"/>
      <c r="K118" s="123"/>
      <c r="M118" s="128"/>
      <c r="N118" s="126"/>
    </row>
    <row r="119" spans="5:14" x14ac:dyDescent="0.35">
      <c r="E119" s="121"/>
      <c r="I119" s="117"/>
      <c r="K119" s="122" t="s">
        <v>29</v>
      </c>
      <c r="L119" s="122">
        <v>0.25</v>
      </c>
      <c r="M119" s="128">
        <f>1-EXP(-N119*$E$2)</f>
        <v>-0.10672046582529227</v>
      </c>
      <c r="N119" s="126">
        <v>-3.0420332032869943</v>
      </c>
    </row>
    <row r="120" spans="5:14" x14ac:dyDescent="0.35">
      <c r="E120" s="121"/>
      <c r="I120" s="117"/>
      <c r="M120" s="128"/>
      <c r="N120" s="126"/>
    </row>
    <row r="121" spans="5:14" x14ac:dyDescent="0.35">
      <c r="E121" s="121"/>
      <c r="I121" s="117"/>
      <c r="K121" s="155" t="s">
        <v>33</v>
      </c>
      <c r="L121" s="155"/>
      <c r="M121" s="128"/>
      <c r="N121" s="126"/>
    </row>
    <row r="122" spans="5:14" x14ac:dyDescent="0.35">
      <c r="E122" s="121"/>
      <c r="I122" s="117"/>
      <c r="M122" s="128"/>
      <c r="N122" s="126"/>
    </row>
    <row r="123" spans="5:14" x14ac:dyDescent="0.35">
      <c r="E123" s="121"/>
      <c r="I123" s="117"/>
      <c r="K123" s="120" t="s">
        <v>31</v>
      </c>
      <c r="L123" s="122">
        <v>0.25</v>
      </c>
      <c r="M123" s="128">
        <f>1-EXP(-N123*$E$2)</f>
        <v>-8.4363929293292506E-2</v>
      </c>
      <c r="N123" s="126">
        <v>-2.4298072441115934</v>
      </c>
    </row>
    <row r="124" spans="5:14" x14ac:dyDescent="0.35">
      <c r="E124" s="121"/>
      <c r="I124" s="117"/>
      <c r="K124" s="117"/>
      <c r="M124" s="128"/>
      <c r="N124" s="126"/>
    </row>
    <row r="125" spans="5:14" x14ac:dyDescent="0.35">
      <c r="E125" s="121"/>
      <c r="I125" s="123"/>
      <c r="K125" s="117"/>
      <c r="M125" s="128"/>
      <c r="N125" s="126"/>
    </row>
    <row r="126" spans="5:14" x14ac:dyDescent="0.35">
      <c r="E126" s="121"/>
      <c r="I126" s="122" t="s">
        <v>29</v>
      </c>
      <c r="J126" s="122">
        <v>0.25</v>
      </c>
      <c r="K126" s="120" t="s">
        <v>30</v>
      </c>
      <c r="L126" s="122">
        <v>0.5</v>
      </c>
      <c r="M126" s="128">
        <f>1-EXP(-N126*$E$2)</f>
        <v>-0.32772859054015502</v>
      </c>
      <c r="N126" s="126">
        <v>-8.5040896672095663</v>
      </c>
    </row>
    <row r="127" spans="5:14" x14ac:dyDescent="0.35">
      <c r="E127" s="121"/>
      <c r="I127" s="97">
        <f>M123*L123+M126*L126+M129*L129</f>
        <v>-0.30917711888218447</v>
      </c>
      <c r="K127" s="117"/>
      <c r="M127" s="128"/>
      <c r="N127" s="126"/>
    </row>
    <row r="128" spans="5:14" x14ac:dyDescent="0.35">
      <c r="E128" s="121"/>
      <c r="K128" s="123"/>
      <c r="M128" s="128"/>
      <c r="N128" s="126"/>
    </row>
    <row r="129" spans="5:16" x14ac:dyDescent="0.35">
      <c r="E129" s="121"/>
      <c r="K129" s="122" t="s">
        <v>29</v>
      </c>
      <c r="L129" s="122">
        <v>0.25</v>
      </c>
      <c r="M129" s="128">
        <f>1-EXP(-N129*$E$2)</f>
        <v>-0.49688736515513532</v>
      </c>
      <c r="N129" s="126">
        <v>-12.10163586688383</v>
      </c>
    </row>
    <row r="130" spans="5:16" x14ac:dyDescent="0.35">
      <c r="E130" s="121"/>
    </row>
    <row r="131" spans="5:16" x14ac:dyDescent="0.35">
      <c r="E131" s="121"/>
    </row>
    <row r="132" spans="5:16" x14ac:dyDescent="0.35">
      <c r="E132" s="121"/>
    </row>
    <row r="133" spans="5:16" x14ac:dyDescent="0.35">
      <c r="E133" s="121"/>
    </row>
    <row r="134" spans="5:16" x14ac:dyDescent="0.35">
      <c r="E134" s="121"/>
      <c r="O134" s="127" t="s">
        <v>84</v>
      </c>
      <c r="P134" s="127" t="s">
        <v>88</v>
      </c>
    </row>
    <row r="135" spans="5:16" x14ac:dyDescent="0.35">
      <c r="E135" s="121"/>
      <c r="M135" s="155" t="s">
        <v>42</v>
      </c>
      <c r="N135" s="155"/>
    </row>
    <row r="136" spans="5:16" x14ac:dyDescent="0.35">
      <c r="E136" s="121"/>
    </row>
    <row r="137" spans="5:16" x14ac:dyDescent="0.35">
      <c r="E137" s="121"/>
      <c r="M137" s="120" t="s">
        <v>31</v>
      </c>
      <c r="N137" s="122">
        <v>0.25</v>
      </c>
      <c r="O137" s="128">
        <f>1-EXP(-P137*$E$2)</f>
        <v>0.63883823351259683</v>
      </c>
      <c r="P137" s="126">
        <v>30.552879432172091</v>
      </c>
    </row>
    <row r="138" spans="5:16" x14ac:dyDescent="0.35">
      <c r="E138" s="121"/>
      <c r="K138" s="155" t="s">
        <v>33</v>
      </c>
      <c r="L138" s="155"/>
      <c r="M138" s="117"/>
      <c r="O138" s="128"/>
      <c r="P138" s="126"/>
    </row>
    <row r="139" spans="5:16" x14ac:dyDescent="0.35">
      <c r="E139" s="121"/>
      <c r="M139" s="117"/>
      <c r="O139" s="128"/>
      <c r="P139" s="126"/>
    </row>
    <row r="140" spans="5:16" x14ac:dyDescent="0.35">
      <c r="E140" s="121"/>
      <c r="K140" s="120" t="s">
        <v>31</v>
      </c>
      <c r="L140" s="122">
        <v>0.25</v>
      </c>
      <c r="M140" s="120" t="s">
        <v>30</v>
      </c>
      <c r="N140" s="122">
        <v>0.5</v>
      </c>
      <c r="O140" s="128">
        <f>1-EXP(-P140*$E$2)</f>
        <v>0.47086851360869486</v>
      </c>
      <c r="P140" s="126">
        <v>19.09554964510756</v>
      </c>
    </row>
    <row r="141" spans="5:16" x14ac:dyDescent="0.35">
      <c r="E141" s="121"/>
      <c r="K141" s="117">
        <f>O137*N137+O140*N140+O143*N143</f>
        <v>0.42502724872615916</v>
      </c>
      <c r="M141" s="117"/>
      <c r="O141" s="128"/>
      <c r="P141" s="126"/>
    </row>
    <row r="142" spans="5:16" x14ac:dyDescent="0.35">
      <c r="E142" s="121"/>
      <c r="K142" s="117"/>
      <c r="M142" s="123"/>
      <c r="O142" s="128"/>
      <c r="P142" s="126"/>
    </row>
    <row r="143" spans="5:16" x14ac:dyDescent="0.35">
      <c r="E143" s="121"/>
      <c r="K143" s="117"/>
      <c r="M143" s="122" t="s">
        <v>29</v>
      </c>
      <c r="N143" s="122">
        <v>0.25</v>
      </c>
      <c r="O143" s="128">
        <f>1-EXP(-P143*$E$2)</f>
        <v>0.11953373417465019</v>
      </c>
      <c r="P143" s="126">
        <v>3.8191099290215114</v>
      </c>
    </row>
    <row r="144" spans="5:16" x14ac:dyDescent="0.35">
      <c r="E144" s="121"/>
      <c r="K144" s="117"/>
      <c r="O144" s="128"/>
      <c r="P144" s="126"/>
    </row>
    <row r="145" spans="2:16" x14ac:dyDescent="0.35">
      <c r="B145" s="158" t="str">
        <f>_xlfn.XLOOKUP(C146,C7:C10,B7:B10)</f>
        <v>No Partnership / No Expansion</v>
      </c>
      <c r="C145" s="158"/>
      <c r="D145" s="158"/>
      <c r="E145" s="159"/>
      <c r="K145" s="117"/>
      <c r="M145" s="155" t="s">
        <v>42</v>
      </c>
      <c r="N145" s="155"/>
      <c r="O145" s="128"/>
      <c r="P145" s="126"/>
    </row>
    <row r="146" spans="2:16" x14ac:dyDescent="0.35">
      <c r="B146" s="129" t="s">
        <v>89</v>
      </c>
      <c r="C146" s="130">
        <f>MAX(G52,G117,G182,G247)</f>
        <v>10.935148456403384</v>
      </c>
      <c r="D146" s="122"/>
      <c r="E146" s="125"/>
      <c r="K146" s="117"/>
      <c r="O146" s="128"/>
      <c r="P146" s="126"/>
    </row>
    <row r="147" spans="2:16" x14ac:dyDescent="0.35">
      <c r="E147" s="121"/>
      <c r="K147" s="117"/>
      <c r="M147" s="120" t="s">
        <v>31</v>
      </c>
      <c r="N147" s="122">
        <v>0.25</v>
      </c>
      <c r="O147" s="128">
        <f>1-EXP(-P147*$E$2)</f>
        <v>0.49743437201770402</v>
      </c>
      <c r="P147" s="126">
        <v>20.640871338806591</v>
      </c>
    </row>
    <row r="148" spans="2:16" x14ac:dyDescent="0.35">
      <c r="E148" s="121"/>
      <c r="I148" s="155" t="s">
        <v>38</v>
      </c>
      <c r="J148" s="155"/>
      <c r="K148" s="117"/>
      <c r="M148" s="117"/>
      <c r="O148" s="128"/>
      <c r="P148" s="126"/>
    </row>
    <row r="149" spans="2:16" x14ac:dyDescent="0.35">
      <c r="E149" s="121"/>
      <c r="K149" s="117"/>
      <c r="M149" s="117"/>
      <c r="O149" s="128"/>
      <c r="P149" s="126"/>
    </row>
    <row r="150" spans="2:16" x14ac:dyDescent="0.35">
      <c r="E150" s="121"/>
      <c r="I150" s="120" t="s">
        <v>31</v>
      </c>
      <c r="J150" s="122">
        <v>0.25</v>
      </c>
      <c r="K150" s="120" t="s">
        <v>30</v>
      </c>
      <c r="L150" s="122">
        <v>0.5</v>
      </c>
      <c r="M150" s="120" t="s">
        <v>30</v>
      </c>
      <c r="N150" s="122">
        <v>0.5</v>
      </c>
      <c r="O150" s="128">
        <f>1-EXP(-P150*$E$2)</f>
        <v>0.34950271379071784</v>
      </c>
      <c r="P150" s="126">
        <v>12.900544586754121</v>
      </c>
    </row>
    <row r="151" spans="2:16" x14ac:dyDescent="0.35">
      <c r="E151" s="121"/>
      <c r="I151" s="117">
        <f>L140*K141+L150*K151+L160*K161</f>
        <v>0.3030915472464551</v>
      </c>
      <c r="K151" s="117">
        <f>O147*N147+O150*N150+O153*N153</f>
        <v>0.31971222494267526</v>
      </c>
      <c r="M151" s="117"/>
      <c r="O151" s="128"/>
      <c r="P151" s="126"/>
    </row>
    <row r="152" spans="2:16" x14ac:dyDescent="0.35">
      <c r="E152" s="121"/>
      <c r="I152" s="117"/>
      <c r="K152" s="117"/>
      <c r="M152" s="123"/>
      <c r="O152" s="128"/>
      <c r="P152" s="126"/>
    </row>
    <row r="153" spans="2:16" x14ac:dyDescent="0.35">
      <c r="E153" s="121"/>
      <c r="I153" s="117"/>
      <c r="K153" s="117"/>
      <c r="M153" s="122" t="s">
        <v>29</v>
      </c>
      <c r="N153" s="122">
        <v>0.25</v>
      </c>
      <c r="O153" s="128">
        <f>1-EXP(-P153*$E$2)</f>
        <v>8.2409100171561556E-2</v>
      </c>
      <c r="P153" s="126">
        <v>2.5801089173508274</v>
      </c>
    </row>
    <row r="154" spans="2:16" x14ac:dyDescent="0.35">
      <c r="E154" s="121"/>
      <c r="I154" s="117"/>
      <c r="K154" s="117"/>
      <c r="O154" s="128"/>
      <c r="P154" s="126"/>
    </row>
    <row r="155" spans="2:16" x14ac:dyDescent="0.35">
      <c r="E155" s="121"/>
      <c r="I155" s="117"/>
      <c r="K155" s="117"/>
      <c r="M155" s="155" t="s">
        <v>42</v>
      </c>
      <c r="N155" s="155"/>
      <c r="O155" s="128"/>
      <c r="P155" s="126"/>
    </row>
    <row r="156" spans="2:16" x14ac:dyDescent="0.35">
      <c r="E156" s="121"/>
      <c r="I156" s="117"/>
      <c r="K156" s="117"/>
      <c r="O156" s="128"/>
      <c r="P156" s="126"/>
    </row>
    <row r="157" spans="2:16" x14ac:dyDescent="0.35">
      <c r="E157" s="121"/>
      <c r="I157" s="117"/>
      <c r="K157" s="117"/>
      <c r="M157" s="120" t="s">
        <v>31</v>
      </c>
      <c r="N157" s="122">
        <v>0.25</v>
      </c>
      <c r="O157" s="128">
        <f>1-EXP(-P157*$E$2)</f>
        <v>0.24105970581343095</v>
      </c>
      <c r="P157" s="126">
        <v>8.2749650539942969</v>
      </c>
    </row>
    <row r="158" spans="2:16" x14ac:dyDescent="0.35">
      <c r="E158" s="121"/>
      <c r="I158" s="117"/>
      <c r="K158" s="117"/>
      <c r="M158" s="117"/>
      <c r="O158" s="128"/>
      <c r="P158" s="126"/>
    </row>
    <row r="159" spans="2:16" x14ac:dyDescent="0.35">
      <c r="E159" s="121"/>
      <c r="I159" s="117"/>
      <c r="K159" s="123"/>
      <c r="M159" s="117"/>
      <c r="O159" s="128"/>
      <c r="P159" s="126"/>
    </row>
    <row r="160" spans="2:16" x14ac:dyDescent="0.35">
      <c r="E160" s="121"/>
      <c r="I160" s="117"/>
      <c r="K160" s="122" t="s">
        <v>29</v>
      </c>
      <c r="L160" s="122">
        <v>0.25</v>
      </c>
      <c r="M160" s="120" t="s">
        <v>30</v>
      </c>
      <c r="N160" s="122">
        <v>0.5</v>
      </c>
      <c r="O160" s="128">
        <f>1-EXP(-P160*$E$2)</f>
        <v>0.15835343154692361</v>
      </c>
      <c r="P160" s="126">
        <v>5.1718531587464343</v>
      </c>
    </row>
    <row r="161" spans="5:16" x14ac:dyDescent="0.35">
      <c r="E161" s="121"/>
      <c r="I161" s="117"/>
      <c r="K161" s="97">
        <f>O157*N157+O160*N160+O163*N163</f>
        <v>0.14791449037431087</v>
      </c>
      <c r="M161" s="117"/>
      <c r="O161" s="128"/>
      <c r="P161" s="126"/>
    </row>
    <row r="162" spans="5:16" x14ac:dyDescent="0.35">
      <c r="E162" s="121"/>
      <c r="I162" s="117"/>
      <c r="M162" s="123"/>
      <c r="O162" s="128"/>
      <c r="P162" s="126"/>
    </row>
    <row r="163" spans="5:16" x14ac:dyDescent="0.35">
      <c r="E163" s="121"/>
      <c r="I163" s="117"/>
      <c r="M163" s="122" t="s">
        <v>29</v>
      </c>
      <c r="N163" s="122">
        <v>0.25</v>
      </c>
      <c r="O163" s="128">
        <f>1-EXP(-P163*$E$2)</f>
        <v>3.3891392589965319E-2</v>
      </c>
      <c r="P163" s="126">
        <v>1.0343706317492869</v>
      </c>
    </row>
    <row r="164" spans="5:16" x14ac:dyDescent="0.35">
      <c r="E164" s="121"/>
      <c r="I164" s="117"/>
      <c r="K164" s="155"/>
      <c r="L164" s="155"/>
      <c r="O164" s="128"/>
      <c r="P164" s="126"/>
    </row>
    <row r="165" spans="5:16" x14ac:dyDescent="0.35">
      <c r="E165" s="121"/>
      <c r="I165" s="117"/>
      <c r="K165" s="124"/>
      <c r="L165" s="124"/>
      <c r="O165" s="128"/>
      <c r="P165" s="126"/>
    </row>
    <row r="166" spans="5:16" x14ac:dyDescent="0.35">
      <c r="E166" s="121"/>
      <c r="I166" s="117"/>
      <c r="M166" s="155" t="s">
        <v>42</v>
      </c>
      <c r="N166" s="155"/>
      <c r="O166" s="128"/>
      <c r="P166" s="126"/>
    </row>
    <row r="167" spans="5:16" x14ac:dyDescent="0.35">
      <c r="E167" s="121"/>
      <c r="I167" s="117"/>
      <c r="O167" s="128"/>
      <c r="P167" s="126"/>
    </row>
    <row r="168" spans="5:16" x14ac:dyDescent="0.35">
      <c r="E168" s="121"/>
      <c r="I168" s="117"/>
      <c r="M168" s="120" t="s">
        <v>31</v>
      </c>
      <c r="N168" s="122">
        <v>0.25</v>
      </c>
      <c r="O168" s="128">
        <f>1-EXP(-P168*$E$2)</f>
        <v>0.63883823351259683</v>
      </c>
      <c r="P168" s="126">
        <v>30.552879432172091</v>
      </c>
    </row>
    <row r="169" spans="5:16" x14ac:dyDescent="0.35">
      <c r="E169" s="121"/>
      <c r="I169" s="117"/>
      <c r="K169" s="155" t="s">
        <v>33</v>
      </c>
      <c r="L169" s="155"/>
      <c r="M169" s="117"/>
      <c r="O169" s="128"/>
      <c r="P169" s="126"/>
    </row>
    <row r="170" spans="5:16" x14ac:dyDescent="0.35">
      <c r="E170" s="121"/>
      <c r="I170" s="117"/>
      <c r="M170" s="117"/>
      <c r="O170" s="128"/>
      <c r="P170" s="126"/>
    </row>
    <row r="171" spans="5:16" x14ac:dyDescent="0.35">
      <c r="E171" s="121"/>
      <c r="I171" s="117"/>
      <c r="K171" s="120" t="s">
        <v>31</v>
      </c>
      <c r="L171" s="122">
        <v>0.25</v>
      </c>
      <c r="M171" s="120" t="s">
        <v>30</v>
      </c>
      <c r="N171" s="122">
        <v>0.5</v>
      </c>
      <c r="O171" s="128">
        <f>1-EXP(-P171*$E$2)</f>
        <v>0.47086851360869486</v>
      </c>
      <c r="P171" s="126">
        <v>19.09554964510756</v>
      </c>
    </row>
    <row r="172" spans="5:16" x14ac:dyDescent="0.35">
      <c r="E172" s="121"/>
      <c r="I172" s="117"/>
      <c r="K172" s="117">
        <f>O168*N168+O171*N171+O174*N174</f>
        <v>0.42502724872615916</v>
      </c>
      <c r="M172" s="117"/>
      <c r="O172" s="128"/>
      <c r="P172" s="126"/>
    </row>
    <row r="173" spans="5:16" x14ac:dyDescent="0.35">
      <c r="E173" s="121"/>
      <c r="I173" s="117"/>
      <c r="K173" s="117"/>
      <c r="M173" s="123"/>
      <c r="O173" s="128"/>
      <c r="P173" s="126"/>
    </row>
    <row r="174" spans="5:16" x14ac:dyDescent="0.35">
      <c r="E174" s="121"/>
      <c r="I174" s="117"/>
      <c r="K174" s="117"/>
      <c r="M174" s="122" t="s">
        <v>29</v>
      </c>
      <c r="N174" s="122">
        <v>0.25</v>
      </c>
      <c r="O174" s="128">
        <f>1-EXP(-P174*$E$2)</f>
        <v>0.11953373417465019</v>
      </c>
      <c r="P174" s="126">
        <v>3.8191099290215114</v>
      </c>
    </row>
    <row r="175" spans="5:16" x14ac:dyDescent="0.35">
      <c r="E175" s="121"/>
      <c r="I175" s="117"/>
      <c r="K175" s="117"/>
      <c r="O175" s="128"/>
      <c r="P175" s="126"/>
    </row>
    <row r="176" spans="5:16" x14ac:dyDescent="0.35">
      <c r="E176" s="121"/>
      <c r="I176" s="117"/>
      <c r="K176" s="117"/>
      <c r="M176" s="155" t="s">
        <v>42</v>
      </c>
      <c r="N176" s="155"/>
      <c r="O176" s="128"/>
      <c r="P176" s="126"/>
    </row>
    <row r="177" spans="5:16" x14ac:dyDescent="0.35">
      <c r="E177" s="121"/>
      <c r="I177" s="117"/>
      <c r="K177" s="117"/>
      <c r="O177" s="128"/>
      <c r="P177" s="126"/>
    </row>
    <row r="178" spans="5:16" x14ac:dyDescent="0.35">
      <c r="E178" s="121"/>
      <c r="I178" s="117"/>
      <c r="K178" s="117"/>
      <c r="M178" s="120" t="s">
        <v>31</v>
      </c>
      <c r="N178" s="122">
        <v>0.25</v>
      </c>
      <c r="O178" s="128">
        <f>1-EXP(-P178*$E$2)</f>
        <v>0.46977151347263058</v>
      </c>
      <c r="P178" s="126">
        <v>19.033417760409925</v>
      </c>
    </row>
    <row r="179" spans="5:16" x14ac:dyDescent="0.35">
      <c r="E179" s="121"/>
      <c r="I179" s="117"/>
      <c r="K179" s="117"/>
      <c r="M179" s="117"/>
      <c r="O179" s="128"/>
      <c r="P179" s="126"/>
    </row>
    <row r="180" spans="5:16" x14ac:dyDescent="0.35">
      <c r="E180" s="121"/>
      <c r="F180" s="156" t="s">
        <v>9</v>
      </c>
      <c r="G180" s="156"/>
      <c r="H180" s="157"/>
      <c r="I180" s="117"/>
      <c r="K180" s="117"/>
      <c r="M180" s="117"/>
      <c r="O180" s="128"/>
      <c r="P180" s="126"/>
    </row>
    <row r="181" spans="5:16" x14ac:dyDescent="0.35">
      <c r="E181" s="121"/>
      <c r="F181" s="120" t="s">
        <v>84</v>
      </c>
      <c r="G181" s="122">
        <f>J150*I151+J181*I182+J212*I213</f>
        <v>0.27590368490627992</v>
      </c>
      <c r="H181" s="122"/>
      <c r="I181" s="120" t="s">
        <v>30</v>
      </c>
      <c r="J181" s="122">
        <v>0.5</v>
      </c>
      <c r="K181" s="120" t="s">
        <v>30</v>
      </c>
      <c r="L181" s="122">
        <v>0.5</v>
      </c>
      <c r="M181" s="120" t="s">
        <v>30</v>
      </c>
      <c r="N181" s="122">
        <v>0.5</v>
      </c>
      <c r="O181" s="128">
        <f>1-EXP(-P181*$E$2)</f>
        <v>0.32734959144882769</v>
      </c>
      <c r="P181" s="126">
        <v>11.895886100256202</v>
      </c>
    </row>
    <row r="182" spans="5:16" x14ac:dyDescent="0.35">
      <c r="E182" s="121"/>
      <c r="F182" s="97" t="s">
        <v>87</v>
      </c>
      <c r="G182" s="126">
        <f>-LN(-G181+1)/$E$2</f>
        <v>9.6849259064092639</v>
      </c>
      <c r="I182" s="117">
        <f>L171*K172+L181*K182+L191*K192</f>
        <v>0.2906401168206269</v>
      </c>
      <c r="K182" s="117">
        <f>O178*N178+O181*N181+O184*N184</f>
        <v>0.30017834982121572</v>
      </c>
      <c r="M182" s="117"/>
      <c r="O182" s="128"/>
      <c r="P182" s="126"/>
    </row>
    <row r="183" spans="5:16" x14ac:dyDescent="0.35">
      <c r="E183" s="121"/>
      <c r="I183" s="117"/>
      <c r="K183" s="117"/>
      <c r="M183" s="123"/>
      <c r="O183" s="128"/>
      <c r="P183" s="126"/>
    </row>
    <row r="184" spans="5:16" x14ac:dyDescent="0.35">
      <c r="E184" s="121"/>
      <c r="I184" s="117"/>
      <c r="K184" s="117"/>
      <c r="M184" s="122" t="s">
        <v>29</v>
      </c>
      <c r="N184" s="122">
        <v>0.25</v>
      </c>
      <c r="O184" s="128">
        <f>1-EXP(-P184*$E$2)</f>
        <v>7.6242702914576799E-2</v>
      </c>
      <c r="P184" s="126">
        <v>2.3791772200512398</v>
      </c>
    </row>
    <row r="185" spans="5:16" x14ac:dyDescent="0.35">
      <c r="E185" s="121"/>
      <c r="I185" s="117"/>
      <c r="K185" s="117"/>
      <c r="O185" s="128"/>
      <c r="P185" s="126"/>
    </row>
    <row r="186" spans="5:16" x14ac:dyDescent="0.35">
      <c r="E186" s="121"/>
      <c r="I186" s="117"/>
      <c r="K186" s="117"/>
      <c r="M186" s="155" t="s">
        <v>42</v>
      </c>
      <c r="N186" s="155"/>
      <c r="O186" s="128"/>
      <c r="P186" s="126"/>
    </row>
    <row r="187" spans="5:16" x14ac:dyDescent="0.35">
      <c r="E187" s="121"/>
      <c r="I187" s="117"/>
      <c r="K187" s="117"/>
      <c r="O187" s="128"/>
      <c r="P187" s="126"/>
    </row>
    <row r="188" spans="5:16" x14ac:dyDescent="0.35">
      <c r="E188" s="121"/>
      <c r="I188" s="117"/>
      <c r="K188" s="117"/>
      <c r="M188" s="120" t="s">
        <v>31</v>
      </c>
      <c r="N188" s="122">
        <v>0.25</v>
      </c>
      <c r="O188" s="128">
        <f>1-EXP(-P188*$E$2)</f>
        <v>0.22413667622866595</v>
      </c>
      <c r="P188" s="126">
        <v>7.613367104163971</v>
      </c>
    </row>
    <row r="189" spans="5:16" x14ac:dyDescent="0.35">
      <c r="E189" s="121"/>
      <c r="I189" s="117"/>
      <c r="K189" s="117"/>
      <c r="M189" s="117"/>
      <c r="O189" s="128"/>
      <c r="P189" s="126"/>
    </row>
    <row r="190" spans="5:16" x14ac:dyDescent="0.35">
      <c r="E190" s="121"/>
      <c r="I190" s="117"/>
      <c r="K190" s="123"/>
      <c r="M190" s="117"/>
      <c r="O190" s="128"/>
      <c r="P190" s="126"/>
    </row>
    <row r="191" spans="5:16" x14ac:dyDescent="0.35">
      <c r="E191" s="121"/>
      <c r="I191" s="117"/>
      <c r="K191" s="122" t="s">
        <v>29</v>
      </c>
      <c r="L191" s="122">
        <v>0.25</v>
      </c>
      <c r="M191" s="120" t="s">
        <v>30</v>
      </c>
      <c r="N191" s="122">
        <v>0.5</v>
      </c>
      <c r="O191" s="128">
        <f>1-EXP(-P191*$E$2)</f>
        <v>0.1466724560814332</v>
      </c>
      <c r="P191" s="126">
        <v>4.7583544401024813</v>
      </c>
    </row>
    <row r="192" spans="5:16" x14ac:dyDescent="0.35">
      <c r="E192" s="121"/>
      <c r="I192" s="117"/>
      <c r="K192" s="97">
        <f>O188*N188+O191*N191+O194*N194</f>
        <v>0.13717651891391722</v>
      </c>
      <c r="M192" s="117"/>
      <c r="O192" s="128"/>
      <c r="P192" s="126"/>
    </row>
    <row r="193" spans="5:16" x14ac:dyDescent="0.35">
      <c r="E193" s="121"/>
      <c r="I193" s="117"/>
      <c r="M193" s="123"/>
      <c r="O193" s="128"/>
      <c r="P193" s="126"/>
    </row>
    <row r="194" spans="5:16" x14ac:dyDescent="0.35">
      <c r="E194" s="121"/>
      <c r="I194" s="117"/>
      <c r="M194" s="122" t="s">
        <v>29</v>
      </c>
      <c r="N194" s="122">
        <v>0.25</v>
      </c>
      <c r="O194" s="128">
        <f>1-EXP(-P194*$E$2)</f>
        <v>3.1224487264136513E-2</v>
      </c>
      <c r="P194" s="126">
        <v>0.95167088802049649</v>
      </c>
    </row>
    <row r="195" spans="5:16" x14ac:dyDescent="0.35">
      <c r="E195" s="121"/>
      <c r="I195" s="117"/>
      <c r="O195" s="128"/>
      <c r="P195" s="126"/>
    </row>
    <row r="196" spans="5:16" x14ac:dyDescent="0.35">
      <c r="E196" s="121"/>
      <c r="I196" s="117"/>
      <c r="O196" s="128"/>
      <c r="P196" s="126"/>
    </row>
    <row r="197" spans="5:16" x14ac:dyDescent="0.35">
      <c r="E197" s="121"/>
      <c r="I197" s="117"/>
      <c r="M197" s="155" t="s">
        <v>42</v>
      </c>
      <c r="N197" s="155"/>
      <c r="O197" s="128"/>
      <c r="P197" s="126"/>
    </row>
    <row r="198" spans="5:16" x14ac:dyDescent="0.35">
      <c r="E198" s="121"/>
      <c r="I198" s="117"/>
      <c r="O198" s="128"/>
      <c r="P198" s="126"/>
    </row>
    <row r="199" spans="5:16" x14ac:dyDescent="0.35">
      <c r="E199" s="121"/>
      <c r="I199" s="117"/>
      <c r="M199" s="120" t="s">
        <v>31</v>
      </c>
      <c r="N199" s="122">
        <v>0.25</v>
      </c>
      <c r="O199" s="128">
        <f>1-EXP(-P199*$E$2)</f>
        <v>0.58043631983554078</v>
      </c>
      <c r="P199" s="126">
        <v>26.05619893325089</v>
      </c>
    </row>
    <row r="200" spans="5:16" x14ac:dyDescent="0.35">
      <c r="E200" s="121"/>
      <c r="I200" s="117"/>
      <c r="K200" s="155" t="s">
        <v>33</v>
      </c>
      <c r="L200" s="155"/>
      <c r="M200" s="117"/>
      <c r="O200" s="128"/>
      <c r="P200" s="126"/>
    </row>
    <row r="201" spans="5:16" x14ac:dyDescent="0.35">
      <c r="E201" s="121"/>
      <c r="I201" s="117"/>
      <c r="M201" s="117"/>
      <c r="O201" s="128"/>
      <c r="P201" s="126"/>
    </row>
    <row r="202" spans="5:16" x14ac:dyDescent="0.35">
      <c r="E202" s="121"/>
      <c r="I202" s="117"/>
      <c r="K202" s="120" t="s">
        <v>31</v>
      </c>
      <c r="L202" s="122">
        <v>0.25</v>
      </c>
      <c r="M202" s="120" t="s">
        <v>30</v>
      </c>
      <c r="N202" s="122">
        <v>0.5</v>
      </c>
      <c r="O202" s="128">
        <f>1-EXP(-P202*$E$2)</f>
        <v>0.41890293912371979</v>
      </c>
      <c r="P202" s="126">
        <v>16.285124333281807</v>
      </c>
    </row>
    <row r="203" spans="5:16" x14ac:dyDescent="0.35">
      <c r="E203" s="121"/>
      <c r="I203" s="117"/>
      <c r="K203" s="117">
        <f>O199*N199+O202*N202+O205*N205</f>
        <v>0.38028096420251728</v>
      </c>
      <c r="M203" s="117"/>
      <c r="O203" s="128"/>
      <c r="P203" s="126"/>
    </row>
    <row r="204" spans="5:16" x14ac:dyDescent="0.35">
      <c r="E204" s="121"/>
      <c r="I204" s="117"/>
      <c r="K204" s="117"/>
      <c r="M204" s="123"/>
      <c r="O204" s="128"/>
      <c r="P204" s="126"/>
    </row>
    <row r="205" spans="5:16" x14ac:dyDescent="0.35">
      <c r="E205" s="121"/>
      <c r="I205" s="117"/>
      <c r="K205" s="117"/>
      <c r="M205" s="122" t="s">
        <v>29</v>
      </c>
      <c r="N205" s="122">
        <v>0.25</v>
      </c>
      <c r="O205" s="128">
        <f>1-EXP(-P205*$E$2)</f>
        <v>0.10288165872708865</v>
      </c>
      <c r="P205" s="126">
        <v>3.2570248666563595</v>
      </c>
    </row>
    <row r="206" spans="5:16" x14ac:dyDescent="0.35">
      <c r="E206" s="121"/>
      <c r="I206" s="117"/>
      <c r="K206" s="117"/>
      <c r="O206" s="128"/>
      <c r="P206" s="126"/>
    </row>
    <row r="207" spans="5:16" x14ac:dyDescent="0.35">
      <c r="E207" s="121"/>
      <c r="I207" s="117"/>
      <c r="K207" s="117"/>
      <c r="M207" s="155" t="s">
        <v>42</v>
      </c>
      <c r="N207" s="155"/>
      <c r="O207" s="128"/>
      <c r="P207" s="126"/>
    </row>
    <row r="208" spans="5:16" x14ac:dyDescent="0.35">
      <c r="E208" s="121"/>
      <c r="I208" s="117"/>
      <c r="K208" s="117"/>
      <c r="O208" s="128"/>
      <c r="P208" s="126"/>
    </row>
    <row r="209" spans="5:16" x14ac:dyDescent="0.35">
      <c r="E209" s="121"/>
      <c r="I209" s="117"/>
      <c r="K209" s="117"/>
      <c r="M209" s="120" t="s">
        <v>31</v>
      </c>
      <c r="N209" s="122">
        <v>0.25</v>
      </c>
      <c r="O209" s="128">
        <f>1-EXP(-P209*$E$2)</f>
        <v>0.3276965234439716</v>
      </c>
      <c r="P209" s="126">
        <v>11.911363151477678</v>
      </c>
    </row>
    <row r="210" spans="5:16" x14ac:dyDescent="0.35">
      <c r="E210" s="121"/>
      <c r="I210" s="117"/>
      <c r="K210" s="117"/>
      <c r="M210" s="117"/>
      <c r="O210" s="128"/>
      <c r="P210" s="126"/>
    </row>
    <row r="211" spans="5:16" x14ac:dyDescent="0.35">
      <c r="E211" s="121"/>
      <c r="I211" s="123"/>
      <c r="K211" s="117"/>
      <c r="M211" s="117"/>
      <c r="O211" s="128"/>
      <c r="P211" s="126"/>
    </row>
    <row r="212" spans="5:16" x14ac:dyDescent="0.35">
      <c r="E212" s="121"/>
      <c r="I212" s="122" t="s">
        <v>29</v>
      </c>
      <c r="J212" s="122">
        <v>0.25</v>
      </c>
      <c r="K212" s="120" t="s">
        <v>30</v>
      </c>
      <c r="L212" s="122">
        <v>0.5</v>
      </c>
      <c r="M212" s="120" t="s">
        <v>30</v>
      </c>
      <c r="N212" s="122">
        <v>0.5</v>
      </c>
      <c r="O212" s="128">
        <f>1-EXP(-P212*$E$2)</f>
        <v>0.21975975396746006</v>
      </c>
      <c r="P212" s="126">
        <v>7.444601969673549</v>
      </c>
    </row>
    <row r="213" spans="5:16" x14ac:dyDescent="0.35">
      <c r="E213" s="121"/>
      <c r="I213" s="97">
        <f>L202*K203+L212*K213+L222*K223</f>
        <v>0.21924295873741084</v>
      </c>
      <c r="K213" s="117">
        <f>O209*N209+O212*N212+O215*N215</f>
        <v>0.20390880843855058</v>
      </c>
      <c r="M213" s="117"/>
      <c r="O213" s="128"/>
      <c r="P213" s="126"/>
    </row>
    <row r="214" spans="5:16" x14ac:dyDescent="0.35">
      <c r="E214" s="121"/>
      <c r="K214" s="117"/>
      <c r="M214" s="123"/>
      <c r="O214" s="128"/>
      <c r="P214" s="126"/>
    </row>
    <row r="215" spans="5:16" x14ac:dyDescent="0.35">
      <c r="E215" s="121"/>
      <c r="K215" s="117"/>
      <c r="M215" s="122" t="s">
        <v>29</v>
      </c>
      <c r="N215" s="122">
        <v>0.25</v>
      </c>
      <c r="O215" s="128">
        <f>1-EXP(-P215*$E$2)</f>
        <v>4.841920237531061E-2</v>
      </c>
      <c r="P215" s="126">
        <v>1.4889203939347093</v>
      </c>
    </row>
    <row r="216" spans="5:16" x14ac:dyDescent="0.35">
      <c r="E216" s="121"/>
      <c r="K216" s="117"/>
      <c r="O216" s="128"/>
      <c r="P216" s="126"/>
    </row>
    <row r="217" spans="5:16" x14ac:dyDescent="0.35">
      <c r="E217" s="121"/>
      <c r="K217" s="117"/>
      <c r="M217" s="155" t="s">
        <v>42</v>
      </c>
      <c r="N217" s="155"/>
      <c r="O217" s="128"/>
      <c r="P217" s="126"/>
    </row>
    <row r="218" spans="5:16" x14ac:dyDescent="0.35">
      <c r="E218" s="121"/>
      <c r="K218" s="117"/>
      <c r="O218" s="128"/>
      <c r="P218" s="126"/>
    </row>
    <row r="219" spans="5:16" x14ac:dyDescent="0.35">
      <c r="E219" s="121"/>
      <c r="K219" s="117"/>
      <c r="M219" s="120" t="s">
        <v>31</v>
      </c>
      <c r="N219" s="122">
        <v>0.25</v>
      </c>
      <c r="O219" s="128">
        <f>1-EXP(-P219*$E$2)</f>
        <v>0.1468485311680664</v>
      </c>
      <c r="P219" s="126">
        <v>4.7645452605910714</v>
      </c>
    </row>
    <row r="220" spans="5:16" x14ac:dyDescent="0.35">
      <c r="E220" s="121"/>
      <c r="K220" s="117"/>
      <c r="M220" s="117"/>
      <c r="O220" s="128"/>
      <c r="P220" s="126"/>
    </row>
    <row r="221" spans="5:16" x14ac:dyDescent="0.35">
      <c r="E221" s="121"/>
      <c r="K221" s="123"/>
      <c r="M221" s="117"/>
      <c r="O221" s="128"/>
      <c r="P221" s="126"/>
    </row>
    <row r="222" spans="5:16" x14ac:dyDescent="0.35">
      <c r="E222" s="121"/>
      <c r="K222" s="122" t="s">
        <v>29</v>
      </c>
      <c r="L222" s="122">
        <v>0.25</v>
      </c>
      <c r="M222" s="120" t="s">
        <v>30</v>
      </c>
      <c r="N222" s="122">
        <v>0.5</v>
      </c>
      <c r="O222" s="128">
        <f>1-EXP(-P222*$E$2)</f>
        <v>9.4493985591959873E-2</v>
      </c>
      <c r="P222" s="126">
        <v>2.9778407878694191</v>
      </c>
    </row>
    <row r="223" spans="5:16" x14ac:dyDescent="0.35">
      <c r="E223" s="121"/>
      <c r="K223" s="97">
        <f>O219*N219+O222*N222+O225*N225</f>
        <v>8.8873253870024926E-2</v>
      </c>
      <c r="M223" s="117"/>
      <c r="O223" s="128"/>
      <c r="P223" s="126"/>
    </row>
    <row r="224" spans="5:16" x14ac:dyDescent="0.35">
      <c r="E224" s="121"/>
      <c r="M224" s="123"/>
      <c r="O224" s="128"/>
      <c r="P224" s="126"/>
    </row>
    <row r="225" spans="5:16" x14ac:dyDescent="0.35">
      <c r="E225" s="121"/>
      <c r="M225" s="122" t="s">
        <v>29</v>
      </c>
      <c r="N225" s="122">
        <v>0.25</v>
      </c>
      <c r="O225" s="128">
        <f>1-EXP(-P225*$E$2)</f>
        <v>1.9656513128113562E-2</v>
      </c>
      <c r="P225" s="126">
        <v>0.59556815757388404</v>
      </c>
    </row>
    <row r="226" spans="5:16" x14ac:dyDescent="0.35">
      <c r="E226" s="121"/>
    </row>
    <row r="227" spans="5:16" x14ac:dyDescent="0.35">
      <c r="E227" s="121"/>
    </row>
    <row r="228" spans="5:16" x14ac:dyDescent="0.35">
      <c r="E228" s="121"/>
    </row>
    <row r="229" spans="5:16" x14ac:dyDescent="0.35">
      <c r="E229" s="121"/>
    </row>
    <row r="230" spans="5:16" x14ac:dyDescent="0.35">
      <c r="E230" s="121"/>
      <c r="M230" s="127" t="s">
        <v>84</v>
      </c>
      <c r="N230" s="127" t="s">
        <v>88</v>
      </c>
    </row>
    <row r="231" spans="5:16" x14ac:dyDescent="0.35">
      <c r="E231" s="121"/>
      <c r="K231" s="155" t="s">
        <v>33</v>
      </c>
      <c r="L231" s="155"/>
    </row>
    <row r="232" spans="5:16" x14ac:dyDescent="0.35">
      <c r="E232" s="121"/>
    </row>
    <row r="233" spans="5:16" x14ac:dyDescent="0.35">
      <c r="E233" s="121"/>
      <c r="K233" s="120" t="s">
        <v>31</v>
      </c>
      <c r="L233" s="122">
        <v>0.25</v>
      </c>
      <c r="M233" s="128">
        <f>1-EXP(-N233*$E$2)</f>
        <v>0.33483119206064238</v>
      </c>
      <c r="N233" s="126">
        <v>12.231432720435327</v>
      </c>
    </row>
    <row r="234" spans="5:16" x14ac:dyDescent="0.35">
      <c r="E234" s="121"/>
      <c r="I234" s="155" t="s">
        <v>38</v>
      </c>
      <c r="J234" s="155"/>
      <c r="K234" s="117"/>
      <c r="M234" s="128"/>
      <c r="N234" s="126"/>
    </row>
    <row r="235" spans="5:16" x14ac:dyDescent="0.35">
      <c r="E235" s="121"/>
      <c r="K235" s="117"/>
      <c r="M235" s="128"/>
      <c r="N235" s="126"/>
    </row>
    <row r="236" spans="5:16" x14ac:dyDescent="0.35">
      <c r="E236" s="121"/>
      <c r="I236" s="120" t="s">
        <v>31</v>
      </c>
      <c r="J236" s="122">
        <v>0.25</v>
      </c>
      <c r="K236" s="120" t="s">
        <v>30</v>
      </c>
      <c r="L236" s="122">
        <v>0.5</v>
      </c>
      <c r="M236" s="128">
        <f>1-EXP(-N236*$E$2)</f>
        <v>0.16916556363013302</v>
      </c>
      <c r="N236" s="126">
        <v>5.5597421456524234</v>
      </c>
    </row>
    <row r="237" spans="5:16" x14ac:dyDescent="0.35">
      <c r="E237" s="121"/>
      <c r="I237" s="117">
        <f>M233*L233+M236*L236+M239*L239</f>
        <v>0.18615281192767963</v>
      </c>
      <c r="K237" s="117"/>
      <c r="M237" s="128"/>
      <c r="N237" s="126"/>
    </row>
    <row r="238" spans="5:16" x14ac:dyDescent="0.35">
      <c r="E238" s="121"/>
      <c r="I238" s="117"/>
      <c r="K238" s="123"/>
      <c r="M238" s="128"/>
      <c r="N238" s="126"/>
    </row>
    <row r="239" spans="5:16" x14ac:dyDescent="0.35">
      <c r="E239" s="121"/>
      <c r="I239" s="117"/>
      <c r="K239" s="122" t="s">
        <v>29</v>
      </c>
      <c r="L239" s="122">
        <v>0.25</v>
      </c>
      <c r="M239" s="128">
        <f>1-EXP(-N239*$E$2)</f>
        <v>7.1448928389810096E-2</v>
      </c>
      <c r="N239" s="126">
        <v>2.2238968582609728</v>
      </c>
    </row>
    <row r="240" spans="5:16" x14ac:dyDescent="0.35">
      <c r="E240" s="121"/>
      <c r="I240" s="117"/>
      <c r="M240" s="128"/>
      <c r="N240" s="126"/>
    </row>
    <row r="241" spans="5:14" x14ac:dyDescent="0.35">
      <c r="E241" s="121"/>
      <c r="I241" s="117"/>
      <c r="K241" s="155" t="s">
        <v>33</v>
      </c>
      <c r="L241" s="155"/>
      <c r="M241" s="128"/>
      <c r="N241" s="126"/>
    </row>
    <row r="242" spans="5:14" x14ac:dyDescent="0.35">
      <c r="E242" s="121"/>
      <c r="I242" s="117"/>
      <c r="M242" s="128"/>
      <c r="N242" s="126"/>
    </row>
    <row r="243" spans="5:14" x14ac:dyDescent="0.35">
      <c r="E243" s="121"/>
      <c r="I243" s="117"/>
      <c r="K243" s="120" t="s">
        <v>31</v>
      </c>
      <c r="L243" s="122">
        <v>0.25</v>
      </c>
      <c r="M243" s="128">
        <f>1-EXP(-N243*$E$2)</f>
        <v>0.31279108928278931</v>
      </c>
      <c r="N243" s="126">
        <v>11.253508250842374</v>
      </c>
    </row>
    <row r="244" spans="5:14" x14ac:dyDescent="0.35">
      <c r="E244" s="121"/>
      <c r="I244" s="117"/>
      <c r="K244" s="117"/>
      <c r="M244" s="128"/>
      <c r="N244" s="126"/>
    </row>
    <row r="245" spans="5:14" x14ac:dyDescent="0.35">
      <c r="E245" s="121"/>
      <c r="F245" s="156" t="s">
        <v>10</v>
      </c>
      <c r="G245" s="156"/>
      <c r="H245" s="157"/>
      <c r="I245" s="117"/>
      <c r="K245" s="117"/>
      <c r="M245" s="128"/>
      <c r="N245" s="126"/>
    </row>
    <row r="246" spans="5:14" x14ac:dyDescent="0.35">
      <c r="F246" s="120" t="s">
        <v>84</v>
      </c>
      <c r="G246" s="122">
        <f>J236*I237+J246*I247+J256*I257</f>
        <v>0.16140899695035346</v>
      </c>
      <c r="H246" s="122"/>
      <c r="I246" s="120" t="s">
        <v>30</v>
      </c>
      <c r="J246" s="122">
        <v>0.5</v>
      </c>
      <c r="K246" s="120" t="s">
        <v>30</v>
      </c>
      <c r="L246" s="122">
        <v>0.5</v>
      </c>
      <c r="M246" s="128">
        <f>1-EXP(-N246*$E$2)</f>
        <v>0.15676340396775701</v>
      </c>
      <c r="N246" s="126">
        <v>5.115231023110173</v>
      </c>
    </row>
    <row r="247" spans="5:14" x14ac:dyDescent="0.35">
      <c r="F247" s="97" t="s">
        <v>87</v>
      </c>
      <c r="G247" s="126">
        <f>-LN(-G246+1)/$E$2</f>
        <v>5.2809651851730637</v>
      </c>
      <c r="I247" s="117">
        <f>M243*L243+M246*L246+M249*L249</f>
        <v>0.17306178357051075</v>
      </c>
      <c r="K247" s="117"/>
      <c r="M247" s="128"/>
      <c r="N247" s="126"/>
    </row>
    <row r="248" spans="5:14" x14ac:dyDescent="0.35">
      <c r="I248" s="117"/>
      <c r="K248" s="123"/>
      <c r="M248" s="128"/>
      <c r="N248" s="126"/>
    </row>
    <row r="249" spans="5:14" x14ac:dyDescent="0.35">
      <c r="I249" s="117"/>
      <c r="K249" s="122" t="s">
        <v>29</v>
      </c>
      <c r="L249" s="122">
        <v>0.25</v>
      </c>
      <c r="M249" s="128">
        <f>1-EXP(-N249*$E$2)</f>
        <v>6.5929237063739654E-2</v>
      </c>
      <c r="N249" s="126">
        <v>2.0460924092440669</v>
      </c>
    </row>
    <row r="250" spans="5:14" x14ac:dyDescent="0.35">
      <c r="I250" s="117"/>
      <c r="M250" s="128"/>
      <c r="N250" s="126"/>
    </row>
    <row r="251" spans="5:14" x14ac:dyDescent="0.35">
      <c r="I251" s="117"/>
      <c r="K251" s="155" t="s">
        <v>33</v>
      </c>
      <c r="L251" s="155"/>
      <c r="M251" s="128"/>
      <c r="N251" s="126"/>
    </row>
    <row r="252" spans="5:14" x14ac:dyDescent="0.35">
      <c r="I252" s="117"/>
      <c r="M252" s="128"/>
      <c r="N252" s="126"/>
    </row>
    <row r="253" spans="5:14" x14ac:dyDescent="0.35">
      <c r="I253" s="117"/>
      <c r="K253" s="120" t="s">
        <v>31</v>
      </c>
      <c r="L253" s="122">
        <v>0.25</v>
      </c>
      <c r="M253" s="128">
        <f>1-EXP(-N253*$E$2)</f>
        <v>0.209233946542421</v>
      </c>
      <c r="N253" s="126">
        <v>7.0425934633111771</v>
      </c>
    </row>
    <row r="254" spans="5:14" x14ac:dyDescent="0.35">
      <c r="I254" s="117"/>
      <c r="K254" s="117"/>
      <c r="M254" s="128"/>
      <c r="N254" s="126"/>
    </row>
    <row r="255" spans="5:14" x14ac:dyDescent="0.35">
      <c r="I255" s="123"/>
      <c r="K255" s="117"/>
      <c r="M255" s="128"/>
      <c r="N255" s="126"/>
    </row>
    <row r="256" spans="5:14" x14ac:dyDescent="0.35">
      <c r="I256" s="122" t="s">
        <v>29</v>
      </c>
      <c r="J256" s="122">
        <v>0.25</v>
      </c>
      <c r="K256" s="120" t="s">
        <v>30</v>
      </c>
      <c r="L256" s="122">
        <v>0.5</v>
      </c>
      <c r="M256" s="128">
        <f>1-EXP(-N256*$E$2)</f>
        <v>0.10121008708084589</v>
      </c>
      <c r="N256" s="126">
        <v>3.2011788469596318</v>
      </c>
    </row>
    <row r="257" spans="9:14" x14ac:dyDescent="0.35">
      <c r="I257" s="97">
        <f>M253*L253+M256*L256+M259*L259</f>
        <v>0.11335960873271275</v>
      </c>
      <c r="K257" s="117"/>
      <c r="M257" s="128"/>
      <c r="N257" s="126"/>
    </row>
    <row r="258" spans="9:14" x14ac:dyDescent="0.35">
      <c r="K258" s="123"/>
      <c r="M258" s="128"/>
      <c r="N258" s="126"/>
    </row>
    <row r="259" spans="9:14" x14ac:dyDescent="0.35">
      <c r="K259" s="122" t="s">
        <v>29</v>
      </c>
      <c r="L259" s="122">
        <v>0.25</v>
      </c>
      <c r="M259" s="128">
        <f>1-EXP(-N259*$E$2)</f>
        <v>4.1784314226738228E-2</v>
      </c>
      <c r="N259" s="126">
        <v>1.2804715387838521</v>
      </c>
    </row>
  </sheetData>
  <mergeCells count="44">
    <mergeCell ref="I234:J234"/>
    <mergeCell ref="K241:L241"/>
    <mergeCell ref="F245:H245"/>
    <mergeCell ref="K251:L251"/>
    <mergeCell ref="C1:D1"/>
    <mergeCell ref="C2:D2"/>
    <mergeCell ref="K231:L231"/>
    <mergeCell ref="F180:H180"/>
    <mergeCell ref="F115:H115"/>
    <mergeCell ref="K121:L121"/>
    <mergeCell ref="B145:E145"/>
    <mergeCell ref="B5:C5"/>
    <mergeCell ref="I148:J148"/>
    <mergeCell ref="K70:L70"/>
    <mergeCell ref="F50:H50"/>
    <mergeCell ref="K34:L34"/>
    <mergeCell ref="M186:N186"/>
    <mergeCell ref="M197:N197"/>
    <mergeCell ref="K200:L200"/>
    <mergeCell ref="M207:N207"/>
    <mergeCell ref="M217:N217"/>
    <mergeCell ref="M155:N155"/>
    <mergeCell ref="K164:L164"/>
    <mergeCell ref="M166:N166"/>
    <mergeCell ref="K169:L169"/>
    <mergeCell ref="M176:N176"/>
    <mergeCell ref="M145:N145"/>
    <mergeCell ref="M67:N67"/>
    <mergeCell ref="M77:N77"/>
    <mergeCell ref="M87:N87"/>
    <mergeCell ref="K101:L101"/>
    <mergeCell ref="K111:L111"/>
    <mergeCell ref="M56:N56"/>
    <mergeCell ref="M135:N135"/>
    <mergeCell ref="K138:L138"/>
    <mergeCell ref="I104:J104"/>
    <mergeCell ref="M36:N36"/>
    <mergeCell ref="K39:L39"/>
    <mergeCell ref="M46:N46"/>
    <mergeCell ref="M5:N5"/>
    <mergeCell ref="K8:L8"/>
    <mergeCell ref="M15:N15"/>
    <mergeCell ref="I18:J18"/>
    <mergeCell ref="M25:N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15DC-98E9-4841-95A9-C57D4BBD1232}">
  <dimension ref="A1:P259"/>
  <sheetViews>
    <sheetView tabSelected="1" zoomScale="70" zoomScaleNormal="70" workbookViewId="0">
      <selection activeCell="B28" sqref="B28"/>
    </sheetView>
  </sheetViews>
  <sheetFormatPr defaultColWidth="8.86328125" defaultRowHeight="12.4" x14ac:dyDescent="0.35"/>
  <cols>
    <col min="1" max="1" width="8.86328125" style="97"/>
    <col min="2" max="2" width="25.6640625" style="97" bestFit="1" customWidth="1"/>
    <col min="3" max="3" width="8.86328125" style="97"/>
    <col min="4" max="4" width="8.86328125" style="97" customWidth="1"/>
    <col min="5" max="7" width="8.86328125" style="97"/>
    <col min="8" max="8" width="15.46484375" style="97" customWidth="1"/>
    <col min="9" max="9" width="8.86328125" style="97"/>
    <col min="10" max="10" width="15.1328125" style="97" customWidth="1"/>
    <col min="11" max="11" width="8.86328125" style="97"/>
    <col min="12" max="12" width="10.1328125" style="97" customWidth="1"/>
    <col min="13" max="16384" width="8.86328125" style="97"/>
  </cols>
  <sheetData>
    <row r="1" spans="1:15" x14ac:dyDescent="0.35">
      <c r="C1" s="155"/>
      <c r="D1" s="155"/>
    </row>
    <row r="2" spans="1:15" x14ac:dyDescent="0.35">
      <c r="C2" s="155"/>
      <c r="D2" s="155"/>
    </row>
    <row r="4" spans="1:15" x14ac:dyDescent="0.35">
      <c r="O4" s="127" t="s">
        <v>85</v>
      </c>
    </row>
    <row r="5" spans="1:15" x14ac:dyDescent="0.35">
      <c r="B5" s="160" t="s">
        <v>86</v>
      </c>
      <c r="C5" s="160"/>
      <c r="M5" s="155" t="s">
        <v>42</v>
      </c>
      <c r="N5" s="155"/>
    </row>
    <row r="6" spans="1:15" x14ac:dyDescent="0.35">
      <c r="B6" s="102" t="s">
        <v>83</v>
      </c>
      <c r="C6" s="102" t="s">
        <v>87</v>
      </c>
    </row>
    <row r="7" spans="1:15" x14ac:dyDescent="0.35">
      <c r="B7" s="102" t="s">
        <v>7</v>
      </c>
      <c r="C7" s="131">
        <f>G52</f>
        <v>11.769897888697319</v>
      </c>
      <c r="M7" s="120" t="s">
        <v>31</v>
      </c>
      <c r="N7" s="122">
        <v>0.25</v>
      </c>
      <c r="O7" s="126">
        <v>19.657183458198954</v>
      </c>
    </row>
    <row r="8" spans="1:15" x14ac:dyDescent="0.35">
      <c r="B8" s="102" t="s">
        <v>8</v>
      </c>
      <c r="C8" s="131">
        <f>G117</f>
        <v>9.7679054279631732</v>
      </c>
      <c r="K8" s="155" t="s">
        <v>33</v>
      </c>
      <c r="L8" s="155"/>
      <c r="M8" s="117"/>
      <c r="O8" s="126"/>
    </row>
    <row r="9" spans="1:15" x14ac:dyDescent="0.35">
      <c r="B9" s="102" t="s">
        <v>9</v>
      </c>
      <c r="C9" s="131">
        <f>G182</f>
        <v>10.658525808052511</v>
      </c>
      <c r="M9" s="117"/>
      <c r="O9" s="126"/>
    </row>
    <row r="10" spans="1:15" x14ac:dyDescent="0.35">
      <c r="B10" s="102" t="s">
        <v>10</v>
      </c>
      <c r="C10" s="131">
        <f>G247</f>
        <v>5.4600226236643126</v>
      </c>
      <c r="K10" s="120" t="s">
        <v>31</v>
      </c>
      <c r="L10" s="122">
        <v>0.25</v>
      </c>
      <c r="M10" s="120" t="s">
        <v>30</v>
      </c>
      <c r="N10" s="122">
        <v>0.5</v>
      </c>
      <c r="O10" s="126">
        <v>11.232676261827974</v>
      </c>
    </row>
    <row r="11" spans="1:15" x14ac:dyDescent="0.35">
      <c r="K11" s="133">
        <f>O7*N7+O10*N10+O13*N13</f>
        <v>10.530633995463726</v>
      </c>
      <c r="M11" s="117"/>
      <c r="O11" s="126"/>
    </row>
    <row r="12" spans="1:15" x14ac:dyDescent="0.35">
      <c r="K12" s="117"/>
      <c r="M12" s="123"/>
      <c r="O12" s="126"/>
    </row>
    <row r="13" spans="1:15" x14ac:dyDescent="0.35">
      <c r="K13" s="117"/>
      <c r="M13" s="122" t="s">
        <v>29</v>
      </c>
      <c r="N13" s="122">
        <v>0.25</v>
      </c>
      <c r="O13" s="126">
        <v>0</v>
      </c>
    </row>
    <row r="14" spans="1:15" x14ac:dyDescent="0.35">
      <c r="K14" s="117"/>
      <c r="O14" s="126"/>
    </row>
    <row r="15" spans="1:15" x14ac:dyDescent="0.35">
      <c r="A15" s="134" t="s">
        <v>82</v>
      </c>
      <c r="B15" s="134" t="s">
        <v>83</v>
      </c>
      <c r="K15" s="117"/>
      <c r="M15" s="155" t="s">
        <v>42</v>
      </c>
      <c r="N15" s="155"/>
      <c r="O15" s="126"/>
    </row>
    <row r="16" spans="1:15" x14ac:dyDescent="0.35">
      <c r="A16" s="131">
        <f>MAX(G52,G117,G182,G247)</f>
        <v>11.769897888697319</v>
      </c>
      <c r="B16" s="102" t="str">
        <f>_xlfn.XLOOKUP(C146,C7:C10,B7:B10)</f>
        <v>No Partnership / No Expansion</v>
      </c>
      <c r="K16" s="117"/>
      <c r="O16" s="126"/>
    </row>
    <row r="17" spans="9:15" x14ac:dyDescent="0.35">
      <c r="K17" s="117"/>
      <c r="M17" s="120" t="s">
        <v>31</v>
      </c>
      <c r="N17" s="122">
        <v>0.25</v>
      </c>
      <c r="O17" s="126">
        <v>19.657183458198954</v>
      </c>
    </row>
    <row r="18" spans="9:15" x14ac:dyDescent="0.35">
      <c r="I18" s="155" t="s">
        <v>45</v>
      </c>
      <c r="J18" s="155"/>
      <c r="K18" s="117"/>
      <c r="M18" s="117"/>
      <c r="O18" s="126"/>
    </row>
    <row r="19" spans="9:15" x14ac:dyDescent="0.35">
      <c r="K19" s="117"/>
      <c r="M19" s="117"/>
      <c r="O19" s="126"/>
    </row>
    <row r="20" spans="9:15" x14ac:dyDescent="0.35">
      <c r="I20" s="120" t="s">
        <v>31</v>
      </c>
      <c r="J20" s="122">
        <v>0.25</v>
      </c>
      <c r="K20" s="120" t="s">
        <v>30</v>
      </c>
      <c r="L20" s="122">
        <v>0.5</v>
      </c>
      <c r="M20" s="120" t="s">
        <v>30</v>
      </c>
      <c r="N20" s="122">
        <v>0.5</v>
      </c>
      <c r="O20" s="126">
        <v>11.232676261827974</v>
      </c>
    </row>
    <row r="21" spans="9:15" x14ac:dyDescent="0.35">
      <c r="I21" s="117">
        <f>L10*K11+L20*K21+L30*K31</f>
        <v>9.2920246489715694</v>
      </c>
      <c r="K21" s="133">
        <f>O17*N17+O20*N20+O23*N23</f>
        <v>10.530633995463726</v>
      </c>
      <c r="M21" s="117"/>
      <c r="O21" s="126"/>
    </row>
    <row r="22" spans="9:15" x14ac:dyDescent="0.35">
      <c r="I22" s="117"/>
      <c r="K22" s="117"/>
      <c r="M22" s="123"/>
      <c r="O22" s="126"/>
    </row>
    <row r="23" spans="9:15" x14ac:dyDescent="0.35">
      <c r="I23" s="117"/>
      <c r="K23" s="117"/>
      <c r="M23" s="122" t="s">
        <v>29</v>
      </c>
      <c r="N23" s="122">
        <v>0.25</v>
      </c>
      <c r="O23" s="126">
        <v>0</v>
      </c>
    </row>
    <row r="24" spans="9:15" x14ac:dyDescent="0.35">
      <c r="I24" s="117"/>
      <c r="K24" s="117"/>
      <c r="O24" s="126"/>
    </row>
    <row r="25" spans="9:15" x14ac:dyDescent="0.35">
      <c r="I25" s="117"/>
      <c r="K25" s="117"/>
      <c r="M25" s="155" t="s">
        <v>42</v>
      </c>
      <c r="N25" s="155"/>
      <c r="O25" s="126"/>
    </row>
    <row r="26" spans="9:15" x14ac:dyDescent="0.35">
      <c r="I26" s="117"/>
      <c r="K26" s="117"/>
      <c r="O26" s="126"/>
    </row>
    <row r="27" spans="9:15" x14ac:dyDescent="0.35">
      <c r="I27" s="117"/>
      <c r="K27" s="117"/>
      <c r="M27" s="120" t="s">
        <v>31</v>
      </c>
      <c r="N27" s="122">
        <v>0.25</v>
      </c>
      <c r="O27" s="126">
        <v>10.408900337724177</v>
      </c>
    </row>
    <row r="28" spans="9:15" x14ac:dyDescent="0.35">
      <c r="I28" s="117"/>
      <c r="K28" s="117"/>
      <c r="M28" s="117"/>
      <c r="O28" s="126"/>
    </row>
    <row r="29" spans="9:15" x14ac:dyDescent="0.35">
      <c r="I29" s="117"/>
      <c r="K29" s="123"/>
      <c r="M29" s="117"/>
      <c r="O29" s="126"/>
    </row>
    <row r="30" spans="9:15" x14ac:dyDescent="0.35">
      <c r="I30" s="117"/>
      <c r="K30" s="122" t="s">
        <v>29</v>
      </c>
      <c r="L30" s="122">
        <v>0.25</v>
      </c>
      <c r="M30" s="120" t="s">
        <v>30</v>
      </c>
      <c r="N30" s="122">
        <v>0.5</v>
      </c>
      <c r="O30" s="126">
        <v>5.9479430501281021</v>
      </c>
    </row>
    <row r="31" spans="9:15" x14ac:dyDescent="0.35">
      <c r="I31" s="117"/>
      <c r="K31" s="133">
        <f>O27*N27+O30*N30+O33*N33</f>
        <v>5.5761966094950957</v>
      </c>
      <c r="M31" s="117"/>
      <c r="O31" s="126"/>
    </row>
    <row r="32" spans="9:15" x14ac:dyDescent="0.35">
      <c r="I32" s="117"/>
      <c r="M32" s="123"/>
      <c r="O32" s="126"/>
    </row>
    <row r="33" spans="9:15" x14ac:dyDescent="0.35">
      <c r="I33" s="117"/>
      <c r="M33" s="122" t="s">
        <v>29</v>
      </c>
      <c r="N33" s="122">
        <v>0.25</v>
      </c>
      <c r="O33" s="126">
        <v>0</v>
      </c>
    </row>
    <row r="34" spans="9:15" x14ac:dyDescent="0.35">
      <c r="I34" s="117"/>
      <c r="K34" s="155"/>
      <c r="L34" s="155"/>
      <c r="O34" s="126"/>
    </row>
    <row r="35" spans="9:15" x14ac:dyDescent="0.35">
      <c r="I35" s="117"/>
      <c r="K35" s="124"/>
      <c r="L35" s="124"/>
      <c r="O35" s="126"/>
    </row>
    <row r="36" spans="9:15" x14ac:dyDescent="0.35">
      <c r="I36" s="117"/>
      <c r="M36" s="155" t="s">
        <v>42</v>
      </c>
      <c r="N36" s="155"/>
      <c r="O36" s="126"/>
    </row>
    <row r="37" spans="9:15" x14ac:dyDescent="0.35">
      <c r="I37" s="117"/>
      <c r="O37" s="126"/>
    </row>
    <row r="38" spans="9:15" x14ac:dyDescent="0.35">
      <c r="I38" s="117"/>
      <c r="M38" s="120" t="s">
        <v>31</v>
      </c>
      <c r="N38" s="122">
        <v>0.25</v>
      </c>
      <c r="O38" s="126">
        <v>22.465352523655948</v>
      </c>
    </row>
    <row r="39" spans="9:15" x14ac:dyDescent="0.35">
      <c r="I39" s="117"/>
      <c r="K39" s="155" t="s">
        <v>33</v>
      </c>
      <c r="L39" s="155"/>
      <c r="M39" s="117"/>
      <c r="O39" s="126"/>
    </row>
    <row r="40" spans="9:15" x14ac:dyDescent="0.35">
      <c r="I40" s="117"/>
      <c r="M40" s="117"/>
      <c r="O40" s="126"/>
    </row>
    <row r="41" spans="9:15" x14ac:dyDescent="0.35">
      <c r="I41" s="117"/>
      <c r="K41" s="120" t="s">
        <v>31</v>
      </c>
      <c r="L41" s="122">
        <v>0.25</v>
      </c>
      <c r="M41" s="120" t="s">
        <v>30</v>
      </c>
      <c r="N41" s="122">
        <v>0.5</v>
      </c>
      <c r="O41" s="126">
        <v>14.040845327284968</v>
      </c>
    </row>
    <row r="42" spans="9:15" x14ac:dyDescent="0.35">
      <c r="I42" s="117"/>
      <c r="K42" s="133">
        <f>O38*N38+O41*N41+O44*N44</f>
        <v>13.33880306092072</v>
      </c>
      <c r="M42" s="117"/>
      <c r="O42" s="126"/>
    </row>
    <row r="43" spans="9:15" x14ac:dyDescent="0.35">
      <c r="I43" s="117"/>
      <c r="K43" s="117"/>
      <c r="M43" s="123"/>
      <c r="O43" s="126"/>
    </row>
    <row r="44" spans="9:15" x14ac:dyDescent="0.35">
      <c r="I44" s="117"/>
      <c r="K44" s="117"/>
      <c r="M44" s="122" t="s">
        <v>29</v>
      </c>
      <c r="N44" s="122">
        <v>0.25</v>
      </c>
      <c r="O44" s="126">
        <v>2.8081690654569935</v>
      </c>
    </row>
    <row r="45" spans="9:15" x14ac:dyDescent="0.35">
      <c r="I45" s="117"/>
      <c r="K45" s="117"/>
      <c r="O45" s="126"/>
    </row>
    <row r="46" spans="9:15" x14ac:dyDescent="0.35">
      <c r="I46" s="117"/>
      <c r="K46" s="117"/>
      <c r="M46" s="155" t="s">
        <v>42</v>
      </c>
      <c r="N46" s="155"/>
      <c r="O46" s="126"/>
    </row>
    <row r="47" spans="9:15" x14ac:dyDescent="0.35">
      <c r="I47" s="117"/>
      <c r="K47" s="117"/>
      <c r="O47" s="126"/>
    </row>
    <row r="48" spans="9:15" x14ac:dyDescent="0.35">
      <c r="I48" s="117"/>
      <c r="K48" s="117"/>
      <c r="M48" s="120" t="s">
        <v>31</v>
      </c>
      <c r="N48" s="122">
        <v>0.25</v>
      </c>
      <c r="O48" s="126">
        <v>22.465352523655948</v>
      </c>
    </row>
    <row r="49" spans="5:15" x14ac:dyDescent="0.35">
      <c r="I49" s="117"/>
      <c r="K49" s="117"/>
      <c r="M49" s="117"/>
      <c r="O49" s="126"/>
    </row>
    <row r="50" spans="5:15" x14ac:dyDescent="0.35">
      <c r="F50" s="156" t="s">
        <v>7</v>
      </c>
      <c r="G50" s="156"/>
      <c r="H50" s="157"/>
      <c r="I50" s="117"/>
      <c r="K50" s="117"/>
      <c r="M50" s="117"/>
      <c r="O50" s="126"/>
    </row>
    <row r="51" spans="5:15" x14ac:dyDescent="0.35">
      <c r="E51" s="121"/>
      <c r="F51" s="120"/>
      <c r="G51" s="122"/>
      <c r="H51" s="122"/>
      <c r="I51" s="120" t="s">
        <v>30</v>
      </c>
      <c r="J51" s="122">
        <v>0.5</v>
      </c>
      <c r="K51" s="120" t="s">
        <v>30</v>
      </c>
      <c r="L51" s="122">
        <v>0.5</v>
      </c>
      <c r="M51" s="120" t="s">
        <v>30</v>
      </c>
      <c r="N51" s="122">
        <v>0.5</v>
      </c>
      <c r="O51" s="126">
        <v>14.040845327284968</v>
      </c>
    </row>
    <row r="52" spans="5:15" x14ac:dyDescent="0.35">
      <c r="E52" s="121"/>
      <c r="F52" s="97" t="s">
        <v>87</v>
      </c>
      <c r="G52" s="126">
        <f>J20*I21+J51*I52+J82*I83</f>
        <v>11.769897888697319</v>
      </c>
      <c r="I52" s="117">
        <f>L41*K42+L51*K52+L61*K62</f>
        <v>11.76989788869732</v>
      </c>
      <c r="K52" s="133">
        <f>O48*N48+O51*N51+O54*N54</f>
        <v>13.33880306092072</v>
      </c>
      <c r="M52" s="117"/>
      <c r="O52" s="126"/>
    </row>
    <row r="53" spans="5:15" x14ac:dyDescent="0.35">
      <c r="E53" s="121"/>
      <c r="I53" s="117"/>
      <c r="K53" s="117"/>
      <c r="M53" s="123"/>
      <c r="O53" s="126"/>
    </row>
    <row r="54" spans="5:15" x14ac:dyDescent="0.35">
      <c r="E54" s="121"/>
      <c r="I54" s="117"/>
      <c r="K54" s="117"/>
      <c r="M54" s="122" t="s">
        <v>29</v>
      </c>
      <c r="N54" s="122">
        <v>0.25</v>
      </c>
      <c r="O54" s="126">
        <v>2.8081690654569935</v>
      </c>
    </row>
    <row r="55" spans="5:15" x14ac:dyDescent="0.35">
      <c r="E55" s="121"/>
      <c r="I55" s="117"/>
      <c r="K55" s="117"/>
      <c r="O55" s="126"/>
    </row>
    <row r="56" spans="5:15" x14ac:dyDescent="0.35">
      <c r="E56" s="121"/>
      <c r="I56" s="117"/>
      <c r="K56" s="117"/>
      <c r="M56" s="155" t="s">
        <v>42</v>
      </c>
      <c r="N56" s="155"/>
      <c r="O56" s="126"/>
    </row>
    <row r="57" spans="5:15" x14ac:dyDescent="0.35">
      <c r="E57" s="121"/>
      <c r="I57" s="117"/>
      <c r="K57" s="117"/>
      <c r="O57" s="126"/>
    </row>
    <row r="58" spans="5:15" x14ac:dyDescent="0.35">
      <c r="E58" s="121"/>
      <c r="I58" s="117"/>
      <c r="K58" s="117"/>
      <c r="M58" s="120" t="s">
        <v>31</v>
      </c>
      <c r="N58" s="122">
        <v>0.25</v>
      </c>
      <c r="O58" s="126">
        <v>11.895886100256202</v>
      </c>
    </row>
    <row r="59" spans="5:15" x14ac:dyDescent="0.35">
      <c r="E59" s="121"/>
      <c r="I59" s="117"/>
      <c r="K59" s="117"/>
      <c r="M59" s="117"/>
      <c r="O59" s="126"/>
    </row>
    <row r="60" spans="5:15" x14ac:dyDescent="0.35">
      <c r="E60" s="121"/>
      <c r="I60" s="117"/>
      <c r="K60" s="123"/>
      <c r="M60" s="117"/>
      <c r="O60" s="126"/>
    </row>
    <row r="61" spans="5:15" x14ac:dyDescent="0.35">
      <c r="E61" s="121"/>
      <c r="I61" s="117"/>
      <c r="K61" s="122" t="s">
        <v>29</v>
      </c>
      <c r="L61" s="122">
        <v>0.25</v>
      </c>
      <c r="M61" s="120" t="s">
        <v>30</v>
      </c>
      <c r="N61" s="122">
        <v>0.5</v>
      </c>
      <c r="O61" s="126">
        <v>7.434928812660127</v>
      </c>
    </row>
    <row r="62" spans="5:15" x14ac:dyDescent="0.35">
      <c r="E62" s="121"/>
      <c r="I62" s="117"/>
      <c r="K62" s="133">
        <f>O58*N58+O61*N61+O64*N64</f>
        <v>7.0631823720271205</v>
      </c>
      <c r="M62" s="117"/>
      <c r="O62" s="126"/>
    </row>
    <row r="63" spans="5:15" x14ac:dyDescent="0.35">
      <c r="E63" s="121"/>
      <c r="I63" s="117"/>
      <c r="M63" s="123"/>
      <c r="O63" s="126"/>
    </row>
    <row r="64" spans="5:15" x14ac:dyDescent="0.35">
      <c r="E64" s="121"/>
      <c r="I64" s="117"/>
      <c r="M64" s="122" t="s">
        <v>29</v>
      </c>
      <c r="N64" s="122">
        <v>0.25</v>
      </c>
      <c r="O64" s="126">
        <v>1.4869857625320253</v>
      </c>
    </row>
    <row r="65" spans="5:15" x14ac:dyDescent="0.35">
      <c r="E65" s="121"/>
      <c r="I65" s="117"/>
      <c r="O65" s="126"/>
    </row>
    <row r="66" spans="5:15" x14ac:dyDescent="0.35">
      <c r="E66" s="121"/>
      <c r="I66" s="117"/>
      <c r="O66" s="126"/>
    </row>
    <row r="67" spans="5:15" x14ac:dyDescent="0.35">
      <c r="E67" s="121"/>
      <c r="I67" s="117"/>
      <c r="M67" s="155" t="s">
        <v>42</v>
      </c>
      <c r="N67" s="155"/>
      <c r="O67" s="126"/>
    </row>
    <row r="68" spans="5:15" x14ac:dyDescent="0.35">
      <c r="E68" s="121"/>
      <c r="I68" s="117"/>
      <c r="O68" s="126"/>
    </row>
    <row r="69" spans="5:15" x14ac:dyDescent="0.35">
      <c r="E69" s="121"/>
      <c r="I69" s="117"/>
      <c r="M69" s="120" t="s">
        <v>31</v>
      </c>
      <c r="N69" s="122">
        <v>0.25</v>
      </c>
      <c r="O69" s="126">
        <v>25.273521589112942</v>
      </c>
    </row>
    <row r="70" spans="5:15" x14ac:dyDescent="0.35">
      <c r="E70" s="121"/>
      <c r="I70" s="117"/>
      <c r="K70" s="155" t="s">
        <v>33</v>
      </c>
      <c r="L70" s="155"/>
      <c r="M70" s="117"/>
      <c r="O70" s="126"/>
    </row>
    <row r="71" spans="5:15" x14ac:dyDescent="0.35">
      <c r="E71" s="121"/>
      <c r="I71" s="117"/>
      <c r="M71" s="117"/>
      <c r="O71" s="126"/>
    </row>
    <row r="72" spans="5:15" x14ac:dyDescent="0.35">
      <c r="E72" s="121"/>
      <c r="I72" s="117"/>
      <c r="K72" s="120" t="s">
        <v>31</v>
      </c>
      <c r="L72" s="122">
        <v>0.25</v>
      </c>
      <c r="M72" s="120" t="s">
        <v>30</v>
      </c>
      <c r="N72" s="122">
        <v>0.5</v>
      </c>
      <c r="O72" s="126">
        <v>16.849014392741964</v>
      </c>
    </row>
    <row r="73" spans="5:15" x14ac:dyDescent="0.35">
      <c r="E73" s="121"/>
      <c r="I73" s="117"/>
      <c r="K73" s="133">
        <f>O69*N69+O72*N72+O75*N75</f>
        <v>16.146972126377715</v>
      </c>
      <c r="M73" s="117"/>
      <c r="O73" s="126"/>
    </row>
    <row r="74" spans="5:15" x14ac:dyDescent="0.35">
      <c r="E74" s="121"/>
      <c r="I74" s="117"/>
      <c r="K74" s="117"/>
      <c r="M74" s="123"/>
      <c r="O74" s="126"/>
    </row>
    <row r="75" spans="5:15" x14ac:dyDescent="0.35">
      <c r="E75" s="121"/>
      <c r="I75" s="117"/>
      <c r="K75" s="117"/>
      <c r="M75" s="122" t="s">
        <v>29</v>
      </c>
      <c r="N75" s="122">
        <v>0.25</v>
      </c>
      <c r="O75" s="126">
        <v>5.616338130913987</v>
      </c>
    </row>
    <row r="76" spans="5:15" x14ac:dyDescent="0.35">
      <c r="E76" s="121"/>
      <c r="I76" s="117"/>
      <c r="K76" s="117"/>
      <c r="O76" s="126"/>
    </row>
    <row r="77" spans="5:15" x14ac:dyDescent="0.35">
      <c r="E77" s="121"/>
      <c r="I77" s="117"/>
      <c r="K77" s="117"/>
      <c r="M77" s="155" t="s">
        <v>42</v>
      </c>
      <c r="N77" s="155"/>
      <c r="O77" s="126"/>
    </row>
    <row r="78" spans="5:15" x14ac:dyDescent="0.35">
      <c r="E78" s="121"/>
      <c r="I78" s="117"/>
      <c r="K78" s="117"/>
      <c r="O78" s="126"/>
    </row>
    <row r="79" spans="5:15" x14ac:dyDescent="0.35">
      <c r="E79" s="121"/>
      <c r="I79" s="117"/>
      <c r="K79" s="117"/>
      <c r="M79" s="120" t="s">
        <v>31</v>
      </c>
      <c r="N79" s="122">
        <v>0.25</v>
      </c>
      <c r="O79" s="126">
        <v>25.273521589112942</v>
      </c>
    </row>
    <row r="80" spans="5:15" x14ac:dyDescent="0.35">
      <c r="E80" s="121"/>
      <c r="I80" s="117"/>
      <c r="K80" s="117"/>
      <c r="M80" s="117"/>
      <c r="O80" s="126"/>
    </row>
    <row r="81" spans="5:16" x14ac:dyDescent="0.35">
      <c r="E81" s="121"/>
      <c r="I81" s="123"/>
      <c r="K81" s="117"/>
      <c r="M81" s="117"/>
      <c r="O81" s="126"/>
    </row>
    <row r="82" spans="5:16" x14ac:dyDescent="0.35">
      <c r="E82" s="121"/>
      <c r="I82" s="122" t="s">
        <v>29</v>
      </c>
      <c r="J82" s="122">
        <v>0.25</v>
      </c>
      <c r="K82" s="120" t="s">
        <v>30</v>
      </c>
      <c r="L82" s="122">
        <v>0.5</v>
      </c>
      <c r="M82" s="120" t="s">
        <v>30</v>
      </c>
      <c r="N82" s="122">
        <v>0.5</v>
      </c>
      <c r="O82" s="126">
        <v>16.849014392741964</v>
      </c>
    </row>
    <row r="83" spans="5:16" x14ac:dyDescent="0.35">
      <c r="E83" s="121"/>
      <c r="I83" s="97">
        <f>L72*K73+L82*K83+L92*K93</f>
        <v>14.247771128423071</v>
      </c>
      <c r="K83" s="133">
        <f>O79*N79+O82*N82+O85*N85</f>
        <v>16.146972126377715</v>
      </c>
      <c r="M83" s="117"/>
      <c r="O83" s="126"/>
    </row>
    <row r="84" spans="5:16" x14ac:dyDescent="0.35">
      <c r="E84" s="121"/>
      <c r="K84" s="117"/>
      <c r="M84" s="123"/>
      <c r="O84" s="126"/>
    </row>
    <row r="85" spans="5:16" x14ac:dyDescent="0.35">
      <c r="E85" s="121"/>
      <c r="K85" s="117"/>
      <c r="M85" s="122" t="s">
        <v>29</v>
      </c>
      <c r="N85" s="122">
        <v>0.25</v>
      </c>
      <c r="O85" s="126">
        <v>5.616338130913987</v>
      </c>
    </row>
    <row r="86" spans="5:16" x14ac:dyDescent="0.35">
      <c r="E86" s="121"/>
      <c r="K86" s="117"/>
      <c r="O86" s="126"/>
    </row>
    <row r="87" spans="5:16" x14ac:dyDescent="0.35">
      <c r="E87" s="121"/>
      <c r="K87" s="117"/>
      <c r="M87" s="155" t="s">
        <v>42</v>
      </c>
      <c r="N87" s="155"/>
      <c r="O87" s="126"/>
    </row>
    <row r="88" spans="5:16" x14ac:dyDescent="0.35">
      <c r="E88" s="121"/>
      <c r="K88" s="117"/>
      <c r="O88" s="126"/>
    </row>
    <row r="89" spans="5:16" x14ac:dyDescent="0.35">
      <c r="E89" s="121"/>
      <c r="K89" s="117"/>
      <c r="M89" s="120" t="s">
        <v>31</v>
      </c>
      <c r="N89" s="122">
        <v>0.25</v>
      </c>
      <c r="O89" s="126">
        <v>13.38287186278823</v>
      </c>
    </row>
    <row r="90" spans="5:16" x14ac:dyDescent="0.35">
      <c r="E90" s="121"/>
      <c r="K90" s="117"/>
      <c r="M90" s="117"/>
      <c r="O90" s="126"/>
    </row>
    <row r="91" spans="5:16" x14ac:dyDescent="0.35">
      <c r="E91" s="121"/>
      <c r="K91" s="123"/>
      <c r="M91" s="117"/>
      <c r="O91" s="126"/>
    </row>
    <row r="92" spans="5:16" x14ac:dyDescent="0.35">
      <c r="E92" s="121"/>
      <c r="K92" s="122" t="s">
        <v>29</v>
      </c>
      <c r="L92" s="122">
        <v>0.25</v>
      </c>
      <c r="M92" s="120" t="s">
        <v>30</v>
      </c>
      <c r="N92" s="122">
        <v>0.5</v>
      </c>
      <c r="O92" s="126">
        <v>8.9219145751921545</v>
      </c>
    </row>
    <row r="93" spans="5:16" x14ac:dyDescent="0.35">
      <c r="E93" s="121"/>
      <c r="K93" s="133">
        <f>O89*N89+O92*N92+O95*N95</f>
        <v>8.5501681345591471</v>
      </c>
      <c r="M93" s="117"/>
      <c r="O93" s="126"/>
    </row>
    <row r="94" spans="5:16" x14ac:dyDescent="0.35">
      <c r="E94" s="121"/>
      <c r="M94" s="123"/>
      <c r="O94" s="126"/>
    </row>
    <row r="95" spans="5:16" x14ac:dyDescent="0.35">
      <c r="E95" s="121"/>
      <c r="M95" s="122" t="s">
        <v>29</v>
      </c>
      <c r="N95" s="122">
        <v>0.25</v>
      </c>
      <c r="O95" s="126">
        <v>2.9739715250640519</v>
      </c>
    </row>
    <row r="96" spans="5:16" x14ac:dyDescent="0.35">
      <c r="E96" s="121"/>
      <c r="P96" s="126"/>
    </row>
    <row r="97" spans="5:14" x14ac:dyDescent="0.35">
      <c r="E97" s="121"/>
    </row>
    <row r="98" spans="5:14" x14ac:dyDescent="0.35">
      <c r="E98" s="121"/>
    </row>
    <row r="99" spans="5:14" x14ac:dyDescent="0.35">
      <c r="E99" s="121"/>
    </row>
    <row r="100" spans="5:14" x14ac:dyDescent="0.35">
      <c r="E100" s="121"/>
      <c r="M100" s="127" t="s">
        <v>88</v>
      </c>
      <c r="N100" s="127"/>
    </row>
    <row r="101" spans="5:14" x14ac:dyDescent="0.35">
      <c r="E101" s="121"/>
      <c r="K101" s="155" t="s">
        <v>33</v>
      </c>
      <c r="L101" s="155"/>
    </row>
    <row r="102" spans="5:14" x14ac:dyDescent="0.35">
      <c r="E102" s="121"/>
    </row>
    <row r="103" spans="5:14" x14ac:dyDescent="0.35">
      <c r="E103" s="121"/>
      <c r="K103" s="120" t="s">
        <v>31</v>
      </c>
      <c r="L103" s="122">
        <v>0.25</v>
      </c>
      <c r="M103" s="126">
        <v>54.462693531999285</v>
      </c>
      <c r="N103" s="126"/>
    </row>
    <row r="104" spans="5:14" x14ac:dyDescent="0.35">
      <c r="E104" s="121"/>
      <c r="I104" s="155" t="s">
        <v>42</v>
      </c>
      <c r="J104" s="155"/>
      <c r="K104" s="117"/>
      <c r="M104" s="126"/>
      <c r="N104" s="126"/>
    </row>
    <row r="105" spans="5:14" x14ac:dyDescent="0.35">
      <c r="E105" s="121"/>
      <c r="K105" s="117"/>
      <c r="M105" s="126"/>
      <c r="N105" s="126"/>
    </row>
    <row r="106" spans="5:14" x14ac:dyDescent="0.35">
      <c r="E106" s="121"/>
      <c r="I106" s="120" t="s">
        <v>31</v>
      </c>
      <c r="J106" s="122">
        <v>0.25</v>
      </c>
      <c r="K106" s="120" t="s">
        <v>30</v>
      </c>
      <c r="L106" s="122">
        <v>0.5</v>
      </c>
      <c r="M106" s="126">
        <v>20.374145977663837</v>
      </c>
      <c r="N106" s="126"/>
    </row>
    <row r="107" spans="5:14" x14ac:dyDescent="0.35">
      <c r="E107" s="121"/>
      <c r="I107" s="117">
        <f>M103*L103+M106*L106+M109*L109</f>
        <v>24.277231757894487</v>
      </c>
      <c r="K107" s="117"/>
      <c r="M107" s="126"/>
      <c r="N107" s="126"/>
    </row>
    <row r="108" spans="5:14" x14ac:dyDescent="0.35">
      <c r="E108" s="121"/>
      <c r="I108" s="117"/>
      <c r="K108" s="123"/>
      <c r="M108" s="126"/>
      <c r="N108" s="126"/>
    </row>
    <row r="109" spans="5:14" x14ac:dyDescent="0.35">
      <c r="E109" s="121"/>
      <c r="I109" s="117"/>
      <c r="K109" s="122" t="s">
        <v>29</v>
      </c>
      <c r="L109" s="122">
        <v>0.25</v>
      </c>
      <c r="M109" s="126">
        <v>1.897941544251001</v>
      </c>
      <c r="N109" s="126"/>
    </row>
    <row r="110" spans="5:14" x14ac:dyDescent="0.35">
      <c r="E110" s="121"/>
      <c r="I110" s="117"/>
      <c r="M110" s="126"/>
      <c r="N110" s="126"/>
    </row>
    <row r="111" spans="5:14" x14ac:dyDescent="0.35">
      <c r="E111" s="121"/>
      <c r="I111" s="117"/>
      <c r="K111" s="155" t="s">
        <v>33</v>
      </c>
      <c r="L111" s="155"/>
      <c r="M111" s="126"/>
      <c r="N111" s="126"/>
    </row>
    <row r="112" spans="5:14" x14ac:dyDescent="0.35">
      <c r="E112" s="121"/>
      <c r="I112" s="117"/>
      <c r="M112" s="126"/>
      <c r="N112" s="126"/>
    </row>
    <row r="113" spans="5:14" x14ac:dyDescent="0.35">
      <c r="E113" s="121"/>
      <c r="I113" s="117"/>
      <c r="K113" s="120" t="s">
        <v>31</v>
      </c>
      <c r="L113" s="122">
        <v>0.25</v>
      </c>
      <c r="M113" s="126">
        <v>30.507873443782131</v>
      </c>
      <c r="N113" s="126"/>
    </row>
    <row r="114" spans="5:14" x14ac:dyDescent="0.35">
      <c r="E114" s="121"/>
      <c r="I114" s="117"/>
      <c r="K114" s="117"/>
      <c r="M114" s="126"/>
      <c r="N114" s="126"/>
    </row>
    <row r="115" spans="5:14" x14ac:dyDescent="0.35">
      <c r="E115" s="121"/>
      <c r="F115" s="156" t="s">
        <v>8</v>
      </c>
      <c r="G115" s="156"/>
      <c r="H115" s="157"/>
      <c r="I115" s="117"/>
      <c r="K115" s="117"/>
      <c r="M115" s="126"/>
      <c r="N115" s="126"/>
    </row>
    <row r="116" spans="5:14" x14ac:dyDescent="0.35">
      <c r="E116" s="121"/>
      <c r="F116" s="120"/>
      <c r="G116" s="122"/>
      <c r="H116" s="122"/>
      <c r="I116" s="120" t="s">
        <v>30</v>
      </c>
      <c r="J116" s="122">
        <v>0.5</v>
      </c>
      <c r="K116" s="120" t="s">
        <v>30</v>
      </c>
      <c r="L116" s="122">
        <v>0.5</v>
      </c>
      <c r="M116" s="126">
        <v>8.9463754450642767</v>
      </c>
      <c r="N116" s="126"/>
    </row>
    <row r="117" spans="5:14" x14ac:dyDescent="0.35">
      <c r="E117" s="121"/>
      <c r="F117" s="97" t="s">
        <v>87</v>
      </c>
      <c r="G117" s="126">
        <f>J106*I107+J116*I117+J126*I127</f>
        <v>9.7679054279631732</v>
      </c>
      <c r="I117" s="117">
        <f>M113*L113+M116*L116+M119*L119</f>
        <v>11.339647782655923</v>
      </c>
      <c r="K117" s="117"/>
      <c r="M117" s="126"/>
      <c r="N117" s="126"/>
    </row>
    <row r="118" spans="5:14" x14ac:dyDescent="0.35">
      <c r="E118" s="121"/>
      <c r="I118" s="117"/>
      <c r="K118" s="123"/>
      <c r="M118" s="126"/>
      <c r="N118" s="126"/>
    </row>
    <row r="119" spans="5:14" x14ac:dyDescent="0.35">
      <c r="E119" s="121"/>
      <c r="I119" s="117"/>
      <c r="K119" s="122" t="s">
        <v>29</v>
      </c>
      <c r="L119" s="122">
        <v>0.25</v>
      </c>
      <c r="M119" s="126">
        <v>-3.0420332032869943</v>
      </c>
      <c r="N119" s="126"/>
    </row>
    <row r="120" spans="5:14" x14ac:dyDescent="0.35">
      <c r="E120" s="121"/>
      <c r="I120" s="117"/>
      <c r="M120" s="126"/>
      <c r="N120" s="126"/>
    </row>
    <row r="121" spans="5:14" x14ac:dyDescent="0.35">
      <c r="E121" s="121"/>
      <c r="I121" s="117"/>
      <c r="K121" s="155" t="s">
        <v>33</v>
      </c>
      <c r="L121" s="155"/>
      <c r="M121" s="126"/>
      <c r="N121" s="126"/>
    </row>
    <row r="122" spans="5:14" x14ac:dyDescent="0.35">
      <c r="E122" s="121"/>
      <c r="I122" s="117"/>
      <c r="M122" s="126"/>
      <c r="N122" s="126"/>
    </row>
    <row r="123" spans="5:14" x14ac:dyDescent="0.35">
      <c r="E123" s="121"/>
      <c r="I123" s="117"/>
      <c r="K123" s="120" t="s">
        <v>31</v>
      </c>
      <c r="L123" s="122">
        <v>0.25</v>
      </c>
      <c r="M123" s="126">
        <v>-2.4298072441115934</v>
      </c>
      <c r="N123" s="126"/>
    </row>
    <row r="124" spans="5:14" x14ac:dyDescent="0.35">
      <c r="E124" s="121"/>
      <c r="I124" s="117"/>
      <c r="K124" s="117"/>
      <c r="M124" s="126"/>
      <c r="N124" s="126"/>
    </row>
    <row r="125" spans="5:14" x14ac:dyDescent="0.35">
      <c r="E125" s="121"/>
      <c r="I125" s="123"/>
      <c r="K125" s="117"/>
      <c r="M125" s="126"/>
      <c r="N125" s="126"/>
    </row>
    <row r="126" spans="5:14" x14ac:dyDescent="0.35">
      <c r="E126" s="121"/>
      <c r="I126" s="122" t="s">
        <v>29</v>
      </c>
      <c r="J126" s="122">
        <v>0.25</v>
      </c>
      <c r="K126" s="120" t="s">
        <v>30</v>
      </c>
      <c r="L126" s="122">
        <v>0.5</v>
      </c>
      <c r="M126" s="126">
        <v>-8.5040896672095663</v>
      </c>
      <c r="N126" s="126"/>
    </row>
    <row r="127" spans="5:14" x14ac:dyDescent="0.35">
      <c r="E127" s="121"/>
      <c r="I127" s="97">
        <f>M123*L123+M126*L126+M129*L129</f>
        <v>-7.8849056113536395</v>
      </c>
      <c r="K127" s="117"/>
      <c r="M127" s="126"/>
      <c r="N127" s="126"/>
    </row>
    <row r="128" spans="5:14" x14ac:dyDescent="0.35">
      <c r="E128" s="121"/>
      <c r="K128" s="123"/>
      <c r="M128" s="126"/>
      <c r="N128" s="126"/>
    </row>
    <row r="129" spans="5:16" x14ac:dyDescent="0.35">
      <c r="E129" s="121"/>
      <c r="K129" s="122" t="s">
        <v>29</v>
      </c>
      <c r="L129" s="122">
        <v>0.25</v>
      </c>
      <c r="M129" s="126">
        <v>-12.10163586688383</v>
      </c>
      <c r="N129" s="126"/>
    </row>
    <row r="130" spans="5:16" x14ac:dyDescent="0.35">
      <c r="E130" s="121"/>
    </row>
    <row r="131" spans="5:16" x14ac:dyDescent="0.35">
      <c r="E131" s="121"/>
    </row>
    <row r="132" spans="5:16" x14ac:dyDescent="0.35">
      <c r="E132" s="121"/>
    </row>
    <row r="133" spans="5:16" x14ac:dyDescent="0.35">
      <c r="E133" s="121"/>
    </row>
    <row r="134" spans="5:16" x14ac:dyDescent="0.35">
      <c r="E134" s="121"/>
      <c r="O134" s="127" t="s">
        <v>88</v>
      </c>
      <c r="P134" s="127"/>
    </row>
    <row r="135" spans="5:16" x14ac:dyDescent="0.35">
      <c r="E135" s="121"/>
      <c r="M135" s="155" t="s">
        <v>42</v>
      </c>
      <c r="N135" s="155"/>
    </row>
    <row r="136" spans="5:16" x14ac:dyDescent="0.35">
      <c r="E136" s="121"/>
    </row>
    <row r="137" spans="5:16" x14ac:dyDescent="0.35">
      <c r="E137" s="121"/>
      <c r="M137" s="120" t="s">
        <v>31</v>
      </c>
      <c r="N137" s="122">
        <v>0.25</v>
      </c>
      <c r="O137" s="126">
        <v>30.552879432172091</v>
      </c>
      <c r="P137" s="126"/>
    </row>
    <row r="138" spans="5:16" x14ac:dyDescent="0.35">
      <c r="E138" s="121"/>
      <c r="K138" s="155" t="s">
        <v>33</v>
      </c>
      <c r="L138" s="155"/>
      <c r="M138" s="117"/>
      <c r="O138" s="126"/>
      <c r="P138" s="126"/>
    </row>
    <row r="139" spans="5:16" x14ac:dyDescent="0.35">
      <c r="E139" s="121"/>
      <c r="M139" s="117"/>
      <c r="O139" s="126"/>
      <c r="P139" s="126"/>
    </row>
    <row r="140" spans="5:16" x14ac:dyDescent="0.35">
      <c r="E140" s="121"/>
      <c r="K140" s="120" t="s">
        <v>31</v>
      </c>
      <c r="L140" s="122">
        <v>0.25</v>
      </c>
      <c r="M140" s="120" t="s">
        <v>30</v>
      </c>
      <c r="N140" s="122">
        <v>0.5</v>
      </c>
      <c r="O140" s="126">
        <v>19.09554964510756</v>
      </c>
      <c r="P140" s="126"/>
    </row>
    <row r="141" spans="5:16" x14ac:dyDescent="0.35">
      <c r="E141" s="121"/>
      <c r="K141" s="117">
        <f>O137*N137+O140*N140+O143*N143</f>
        <v>18.14077216285218</v>
      </c>
      <c r="M141" s="117"/>
      <c r="O141" s="126"/>
      <c r="P141" s="126"/>
    </row>
    <row r="142" spans="5:16" x14ac:dyDescent="0.35">
      <c r="E142" s="121"/>
      <c r="K142" s="117"/>
      <c r="M142" s="123"/>
      <c r="O142" s="126"/>
      <c r="P142" s="126"/>
    </row>
    <row r="143" spans="5:16" x14ac:dyDescent="0.35">
      <c r="E143" s="121"/>
      <c r="K143" s="117"/>
      <c r="M143" s="122" t="s">
        <v>29</v>
      </c>
      <c r="N143" s="122">
        <v>0.25</v>
      </c>
      <c r="O143" s="126">
        <v>3.8191099290215114</v>
      </c>
      <c r="P143" s="126"/>
    </row>
    <row r="144" spans="5:16" x14ac:dyDescent="0.35">
      <c r="E144" s="121"/>
      <c r="K144" s="117"/>
      <c r="O144" s="126"/>
      <c r="P144" s="126"/>
    </row>
    <row r="145" spans="2:16" x14ac:dyDescent="0.35">
      <c r="B145" s="158" t="str">
        <f>_xlfn.XLOOKUP(C146,C7:C10,B7:B10)</f>
        <v>No Partnership / No Expansion</v>
      </c>
      <c r="C145" s="158"/>
      <c r="D145" s="158"/>
      <c r="E145" s="159"/>
      <c r="K145" s="117"/>
      <c r="M145" s="155" t="s">
        <v>42</v>
      </c>
      <c r="N145" s="155"/>
      <c r="O145" s="126"/>
      <c r="P145" s="126"/>
    </row>
    <row r="146" spans="2:16" x14ac:dyDescent="0.35">
      <c r="B146" s="129" t="s">
        <v>89</v>
      </c>
      <c r="C146" s="130">
        <f>MAX(G52,G117,G182,G247)</f>
        <v>11.769897888697319</v>
      </c>
      <c r="D146" s="122"/>
      <c r="E146" s="125"/>
      <c r="K146" s="117"/>
      <c r="O146" s="126"/>
      <c r="P146" s="126"/>
    </row>
    <row r="147" spans="2:16" x14ac:dyDescent="0.35">
      <c r="E147" s="121"/>
      <c r="K147" s="117"/>
      <c r="M147" s="120" t="s">
        <v>31</v>
      </c>
      <c r="N147" s="122">
        <v>0.25</v>
      </c>
      <c r="O147" s="126">
        <v>20.640871338806591</v>
      </c>
      <c r="P147" s="126"/>
    </row>
    <row r="148" spans="2:16" x14ac:dyDescent="0.35">
      <c r="E148" s="121"/>
      <c r="I148" s="155" t="s">
        <v>38</v>
      </c>
      <c r="J148" s="155"/>
      <c r="K148" s="117"/>
      <c r="M148" s="117"/>
      <c r="O148" s="126"/>
      <c r="P148" s="126"/>
    </row>
    <row r="149" spans="2:16" x14ac:dyDescent="0.35">
      <c r="E149" s="121"/>
      <c r="K149" s="117"/>
      <c r="M149" s="117"/>
      <c r="O149" s="126"/>
      <c r="P149" s="126"/>
    </row>
    <row r="150" spans="2:16" x14ac:dyDescent="0.35">
      <c r="E150" s="121"/>
      <c r="I150" s="120" t="s">
        <v>31</v>
      </c>
      <c r="J150" s="122">
        <v>0.25</v>
      </c>
      <c r="K150" s="120" t="s">
        <v>30</v>
      </c>
      <c r="L150" s="122">
        <v>0.5</v>
      </c>
      <c r="M150" s="120" t="s">
        <v>30</v>
      </c>
      <c r="N150" s="122">
        <v>0.5</v>
      </c>
      <c r="O150" s="126">
        <v>12.900544586754121</v>
      </c>
      <c r="P150" s="126"/>
    </row>
    <row r="151" spans="2:16" x14ac:dyDescent="0.35">
      <c r="E151" s="121"/>
      <c r="I151" s="117">
        <f>L140*K141+L150*K151+L160*K161</f>
        <v>11.891266844623532</v>
      </c>
      <c r="K151" s="117">
        <f>O147*N147+O150*N150+O153*N153</f>
        <v>12.255517357416416</v>
      </c>
      <c r="M151" s="117"/>
      <c r="O151" s="126"/>
      <c r="P151" s="126"/>
    </row>
    <row r="152" spans="2:16" x14ac:dyDescent="0.35">
      <c r="E152" s="121"/>
      <c r="I152" s="117"/>
      <c r="K152" s="117"/>
      <c r="M152" s="123"/>
      <c r="O152" s="126"/>
      <c r="P152" s="126"/>
    </row>
    <row r="153" spans="2:16" x14ac:dyDescent="0.35">
      <c r="E153" s="121"/>
      <c r="I153" s="117"/>
      <c r="K153" s="117"/>
      <c r="M153" s="122" t="s">
        <v>29</v>
      </c>
      <c r="N153" s="122">
        <v>0.25</v>
      </c>
      <c r="O153" s="126">
        <v>2.5801089173508274</v>
      </c>
      <c r="P153" s="126"/>
    </row>
    <row r="154" spans="2:16" x14ac:dyDescent="0.35">
      <c r="E154" s="121"/>
      <c r="I154" s="117"/>
      <c r="K154" s="117"/>
      <c r="O154" s="126"/>
      <c r="P154" s="126"/>
    </row>
    <row r="155" spans="2:16" x14ac:dyDescent="0.35">
      <c r="E155" s="121"/>
      <c r="I155" s="117"/>
      <c r="K155" s="117"/>
      <c r="M155" s="155" t="s">
        <v>42</v>
      </c>
      <c r="N155" s="155"/>
      <c r="O155" s="126"/>
      <c r="P155" s="126"/>
    </row>
    <row r="156" spans="2:16" x14ac:dyDescent="0.35">
      <c r="E156" s="121"/>
      <c r="I156" s="117"/>
      <c r="K156" s="117"/>
      <c r="O156" s="126"/>
      <c r="P156" s="126"/>
    </row>
    <row r="157" spans="2:16" x14ac:dyDescent="0.35">
      <c r="E157" s="121"/>
      <c r="I157" s="117"/>
      <c r="K157" s="117"/>
      <c r="M157" s="120" t="s">
        <v>31</v>
      </c>
      <c r="N157" s="122">
        <v>0.25</v>
      </c>
      <c r="O157" s="126">
        <v>8.2749650539942969</v>
      </c>
      <c r="P157" s="126"/>
    </row>
    <row r="158" spans="2:16" x14ac:dyDescent="0.35">
      <c r="E158" s="121"/>
      <c r="I158" s="117"/>
      <c r="K158" s="117"/>
      <c r="M158" s="117"/>
      <c r="O158" s="126"/>
      <c r="P158" s="126"/>
    </row>
    <row r="159" spans="2:16" x14ac:dyDescent="0.35">
      <c r="E159" s="121"/>
      <c r="I159" s="117"/>
      <c r="K159" s="123"/>
      <c r="M159" s="117"/>
      <c r="O159" s="126"/>
      <c r="P159" s="126"/>
    </row>
    <row r="160" spans="2:16" x14ac:dyDescent="0.35">
      <c r="E160" s="121"/>
      <c r="I160" s="117"/>
      <c r="K160" s="122" t="s">
        <v>29</v>
      </c>
      <c r="L160" s="122">
        <v>0.25</v>
      </c>
      <c r="M160" s="120" t="s">
        <v>30</v>
      </c>
      <c r="N160" s="122">
        <v>0.5</v>
      </c>
      <c r="O160" s="126">
        <v>5.1718531587464343</v>
      </c>
      <c r="P160" s="126"/>
    </row>
    <row r="161" spans="5:16" x14ac:dyDescent="0.35">
      <c r="E161" s="121"/>
      <c r="I161" s="117"/>
      <c r="K161" s="97">
        <f>O157*N157+O160*N160+O163*N163</f>
        <v>4.9132605008091135</v>
      </c>
      <c r="M161" s="117"/>
      <c r="O161" s="126"/>
      <c r="P161" s="126"/>
    </row>
    <row r="162" spans="5:16" x14ac:dyDescent="0.35">
      <c r="E162" s="121"/>
      <c r="I162" s="117"/>
      <c r="M162" s="123"/>
      <c r="O162" s="126"/>
      <c r="P162" s="126"/>
    </row>
    <row r="163" spans="5:16" x14ac:dyDescent="0.35">
      <c r="E163" s="121"/>
      <c r="I163" s="117"/>
      <c r="M163" s="122" t="s">
        <v>29</v>
      </c>
      <c r="N163" s="122">
        <v>0.25</v>
      </c>
      <c r="O163" s="126">
        <v>1.0343706317492869</v>
      </c>
      <c r="P163" s="126"/>
    </row>
    <row r="164" spans="5:16" x14ac:dyDescent="0.35">
      <c r="E164" s="121"/>
      <c r="I164" s="117"/>
      <c r="K164" s="155"/>
      <c r="L164" s="155"/>
      <c r="O164" s="126"/>
      <c r="P164" s="126"/>
    </row>
    <row r="165" spans="5:16" x14ac:dyDescent="0.35">
      <c r="E165" s="121"/>
      <c r="I165" s="117"/>
      <c r="K165" s="124"/>
      <c r="L165" s="124"/>
      <c r="O165" s="126"/>
      <c r="P165" s="126"/>
    </row>
    <row r="166" spans="5:16" x14ac:dyDescent="0.35">
      <c r="E166" s="121"/>
      <c r="I166" s="117"/>
      <c r="M166" s="155" t="s">
        <v>42</v>
      </c>
      <c r="N166" s="155"/>
      <c r="O166" s="126"/>
      <c r="P166" s="126"/>
    </row>
    <row r="167" spans="5:16" x14ac:dyDescent="0.35">
      <c r="E167" s="121"/>
      <c r="I167" s="117"/>
      <c r="O167" s="126"/>
      <c r="P167" s="126"/>
    </row>
    <row r="168" spans="5:16" x14ac:dyDescent="0.35">
      <c r="E168" s="121"/>
      <c r="I168" s="117"/>
      <c r="M168" s="120" t="s">
        <v>31</v>
      </c>
      <c r="N168" s="122">
        <v>0.25</v>
      </c>
      <c r="O168" s="126">
        <v>30.552879432172091</v>
      </c>
      <c r="P168" s="126"/>
    </row>
    <row r="169" spans="5:16" x14ac:dyDescent="0.35">
      <c r="E169" s="121"/>
      <c r="I169" s="117"/>
      <c r="K169" s="155" t="s">
        <v>33</v>
      </c>
      <c r="L169" s="155"/>
      <c r="M169" s="117"/>
      <c r="O169" s="126"/>
      <c r="P169" s="126"/>
    </row>
    <row r="170" spans="5:16" x14ac:dyDescent="0.35">
      <c r="E170" s="121"/>
      <c r="I170" s="117"/>
      <c r="M170" s="117"/>
      <c r="O170" s="126"/>
      <c r="P170" s="126"/>
    </row>
    <row r="171" spans="5:16" x14ac:dyDescent="0.35">
      <c r="E171" s="121"/>
      <c r="I171" s="117"/>
      <c r="K171" s="120" t="s">
        <v>31</v>
      </c>
      <c r="L171" s="122">
        <v>0.25</v>
      </c>
      <c r="M171" s="120" t="s">
        <v>30</v>
      </c>
      <c r="N171" s="122">
        <v>0.5</v>
      </c>
      <c r="O171" s="126">
        <v>19.09554964510756</v>
      </c>
      <c r="P171" s="126"/>
    </row>
    <row r="172" spans="5:16" x14ac:dyDescent="0.35">
      <c r="E172" s="121"/>
      <c r="I172" s="117"/>
      <c r="K172" s="117">
        <f>O168*N168+O171*N171+O174*N174</f>
        <v>18.14077216285218</v>
      </c>
      <c r="M172" s="117"/>
      <c r="O172" s="126"/>
      <c r="P172" s="126"/>
    </row>
    <row r="173" spans="5:16" x14ac:dyDescent="0.35">
      <c r="E173" s="121"/>
      <c r="I173" s="117"/>
      <c r="K173" s="117"/>
      <c r="M173" s="123"/>
      <c r="O173" s="126"/>
      <c r="P173" s="126"/>
    </row>
    <row r="174" spans="5:16" x14ac:dyDescent="0.35">
      <c r="E174" s="121"/>
      <c r="I174" s="117"/>
      <c r="K174" s="117"/>
      <c r="M174" s="122" t="s">
        <v>29</v>
      </c>
      <c r="N174" s="122">
        <v>0.25</v>
      </c>
      <c r="O174" s="126">
        <v>3.8191099290215114</v>
      </c>
      <c r="P174" s="126"/>
    </row>
    <row r="175" spans="5:16" x14ac:dyDescent="0.35">
      <c r="E175" s="121"/>
      <c r="I175" s="117"/>
      <c r="K175" s="117"/>
      <c r="O175" s="126"/>
      <c r="P175" s="126"/>
    </row>
    <row r="176" spans="5:16" x14ac:dyDescent="0.35">
      <c r="E176" s="121"/>
      <c r="I176" s="117"/>
      <c r="K176" s="117"/>
      <c r="M176" s="155" t="s">
        <v>42</v>
      </c>
      <c r="N176" s="155"/>
      <c r="O176" s="126"/>
      <c r="P176" s="126"/>
    </row>
    <row r="177" spans="5:16" x14ac:dyDescent="0.35">
      <c r="E177" s="121"/>
      <c r="I177" s="117"/>
      <c r="K177" s="117"/>
      <c r="O177" s="126"/>
      <c r="P177" s="126"/>
    </row>
    <row r="178" spans="5:16" x14ac:dyDescent="0.35">
      <c r="E178" s="121"/>
      <c r="I178" s="117"/>
      <c r="K178" s="117"/>
      <c r="M178" s="120" t="s">
        <v>31</v>
      </c>
      <c r="N178" s="122">
        <v>0.25</v>
      </c>
      <c r="O178" s="126">
        <v>19.033417760409925</v>
      </c>
      <c r="P178" s="126"/>
    </row>
    <row r="179" spans="5:16" x14ac:dyDescent="0.35">
      <c r="E179" s="121"/>
      <c r="I179" s="117"/>
      <c r="K179" s="117"/>
      <c r="M179" s="117"/>
      <c r="O179" s="126"/>
      <c r="P179" s="126"/>
    </row>
    <row r="180" spans="5:16" x14ac:dyDescent="0.35">
      <c r="E180" s="121"/>
      <c r="F180" s="156" t="s">
        <v>9</v>
      </c>
      <c r="G180" s="156"/>
      <c r="H180" s="157"/>
      <c r="I180" s="117"/>
      <c r="K180" s="117"/>
      <c r="M180" s="117"/>
      <c r="O180" s="126"/>
      <c r="P180" s="126"/>
    </row>
    <row r="181" spans="5:16" x14ac:dyDescent="0.35">
      <c r="E181" s="121"/>
      <c r="F181" s="120"/>
      <c r="G181" s="122"/>
      <c r="H181" s="122"/>
      <c r="I181" s="120" t="s">
        <v>30</v>
      </c>
      <c r="J181" s="122">
        <v>0.5</v>
      </c>
      <c r="K181" s="120" t="s">
        <v>30</v>
      </c>
      <c r="L181" s="122">
        <v>0.5</v>
      </c>
      <c r="M181" s="120" t="s">
        <v>30</v>
      </c>
      <c r="N181" s="122">
        <v>0.5</v>
      </c>
      <c r="O181" s="126">
        <v>11.895886100256202</v>
      </c>
      <c r="P181" s="126"/>
    </row>
    <row r="182" spans="5:16" x14ac:dyDescent="0.35">
      <c r="E182" s="121"/>
      <c r="F182" s="97" t="s">
        <v>87</v>
      </c>
      <c r="G182" s="126">
        <f>J150*I151+J181*I182+J212*I213</f>
        <v>10.658525808052511</v>
      </c>
      <c r="I182" s="117">
        <f>L171*K172+L181*K182+L191*K192</f>
        <v>11.31584811785908</v>
      </c>
      <c r="K182" s="117">
        <f>O178*N178+O181*N181+O184*N184</f>
        <v>11.301091795243392</v>
      </c>
      <c r="M182" s="117"/>
      <c r="O182" s="126"/>
      <c r="P182" s="126"/>
    </row>
    <row r="183" spans="5:16" x14ac:dyDescent="0.35">
      <c r="E183" s="121"/>
      <c r="I183" s="117"/>
      <c r="K183" s="117"/>
      <c r="M183" s="123"/>
      <c r="O183" s="126"/>
      <c r="P183" s="126"/>
    </row>
    <row r="184" spans="5:16" x14ac:dyDescent="0.35">
      <c r="E184" s="121"/>
      <c r="I184" s="117"/>
      <c r="K184" s="117"/>
      <c r="M184" s="122" t="s">
        <v>29</v>
      </c>
      <c r="N184" s="122">
        <v>0.25</v>
      </c>
      <c r="O184" s="126">
        <v>2.3791772200512398</v>
      </c>
      <c r="P184" s="126"/>
    </row>
    <row r="185" spans="5:16" x14ac:dyDescent="0.35">
      <c r="E185" s="121"/>
      <c r="I185" s="117"/>
      <c r="K185" s="117"/>
      <c r="O185" s="126"/>
      <c r="P185" s="126"/>
    </row>
    <row r="186" spans="5:16" x14ac:dyDescent="0.35">
      <c r="E186" s="121"/>
      <c r="I186" s="117"/>
      <c r="K186" s="117"/>
      <c r="M186" s="155" t="s">
        <v>42</v>
      </c>
      <c r="N186" s="155"/>
      <c r="O186" s="126"/>
      <c r="P186" s="126"/>
    </row>
    <row r="187" spans="5:16" x14ac:dyDescent="0.35">
      <c r="E187" s="121"/>
      <c r="I187" s="117"/>
      <c r="K187" s="117"/>
      <c r="O187" s="126"/>
      <c r="P187" s="126"/>
    </row>
    <row r="188" spans="5:16" x14ac:dyDescent="0.35">
      <c r="E188" s="121"/>
      <c r="I188" s="117"/>
      <c r="K188" s="117"/>
      <c r="M188" s="120" t="s">
        <v>31</v>
      </c>
      <c r="N188" s="122">
        <v>0.25</v>
      </c>
      <c r="O188" s="126">
        <v>7.613367104163971</v>
      </c>
      <c r="P188" s="126"/>
    </row>
    <row r="189" spans="5:16" x14ac:dyDescent="0.35">
      <c r="E189" s="121"/>
      <c r="I189" s="117"/>
      <c r="K189" s="117"/>
      <c r="M189" s="117"/>
      <c r="O189" s="126"/>
      <c r="P189" s="126"/>
    </row>
    <row r="190" spans="5:16" x14ac:dyDescent="0.35">
      <c r="E190" s="121"/>
      <c r="I190" s="117"/>
      <c r="K190" s="123"/>
      <c r="M190" s="117"/>
      <c r="O190" s="126"/>
      <c r="P190" s="126"/>
    </row>
    <row r="191" spans="5:16" x14ac:dyDescent="0.35">
      <c r="E191" s="121"/>
      <c r="I191" s="117"/>
      <c r="K191" s="122" t="s">
        <v>29</v>
      </c>
      <c r="L191" s="122">
        <v>0.25</v>
      </c>
      <c r="M191" s="120" t="s">
        <v>30</v>
      </c>
      <c r="N191" s="122">
        <v>0.5</v>
      </c>
      <c r="O191" s="126">
        <v>4.7583544401024813</v>
      </c>
      <c r="P191" s="126"/>
    </row>
    <row r="192" spans="5:16" x14ac:dyDescent="0.35">
      <c r="E192" s="121"/>
      <c r="I192" s="117"/>
      <c r="K192" s="97">
        <f>O188*N188+O191*N191+O194*N194</f>
        <v>4.5204367180973577</v>
      </c>
      <c r="M192" s="117"/>
      <c r="O192" s="126"/>
      <c r="P192" s="126"/>
    </row>
    <row r="193" spans="5:16" x14ac:dyDescent="0.35">
      <c r="E193" s="121"/>
      <c r="I193" s="117"/>
      <c r="M193" s="123"/>
      <c r="O193" s="126"/>
      <c r="P193" s="126"/>
    </row>
    <row r="194" spans="5:16" x14ac:dyDescent="0.35">
      <c r="E194" s="121"/>
      <c r="I194" s="117"/>
      <c r="M194" s="122" t="s">
        <v>29</v>
      </c>
      <c r="N194" s="122">
        <v>0.25</v>
      </c>
      <c r="O194" s="126">
        <v>0.95167088802049649</v>
      </c>
      <c r="P194" s="126"/>
    </row>
    <row r="195" spans="5:16" x14ac:dyDescent="0.35">
      <c r="E195" s="121"/>
      <c r="I195" s="117"/>
      <c r="O195" s="126"/>
      <c r="P195" s="126"/>
    </row>
    <row r="196" spans="5:16" x14ac:dyDescent="0.35">
      <c r="E196" s="121"/>
      <c r="I196" s="117"/>
      <c r="O196" s="126"/>
      <c r="P196" s="126"/>
    </row>
    <row r="197" spans="5:16" x14ac:dyDescent="0.35">
      <c r="E197" s="121"/>
      <c r="I197" s="117"/>
      <c r="M197" s="155" t="s">
        <v>42</v>
      </c>
      <c r="N197" s="155"/>
      <c r="O197" s="126"/>
      <c r="P197" s="126"/>
    </row>
    <row r="198" spans="5:16" x14ac:dyDescent="0.35">
      <c r="E198" s="121"/>
      <c r="I198" s="117"/>
      <c r="O198" s="126"/>
      <c r="P198" s="126"/>
    </row>
    <row r="199" spans="5:16" x14ac:dyDescent="0.35">
      <c r="E199" s="121"/>
      <c r="I199" s="117"/>
      <c r="M199" s="120" t="s">
        <v>31</v>
      </c>
      <c r="N199" s="122">
        <v>0.25</v>
      </c>
      <c r="O199" s="126">
        <v>26.05619893325089</v>
      </c>
      <c r="P199" s="126"/>
    </row>
    <row r="200" spans="5:16" x14ac:dyDescent="0.35">
      <c r="E200" s="121"/>
      <c r="I200" s="117"/>
      <c r="K200" s="155" t="s">
        <v>33</v>
      </c>
      <c r="L200" s="155"/>
      <c r="M200" s="117"/>
      <c r="O200" s="126"/>
      <c r="P200" s="126"/>
    </row>
    <row r="201" spans="5:16" x14ac:dyDescent="0.35">
      <c r="E201" s="121"/>
      <c r="I201" s="117"/>
      <c r="M201" s="117"/>
      <c r="O201" s="126"/>
      <c r="P201" s="126"/>
    </row>
    <row r="202" spans="5:16" x14ac:dyDescent="0.35">
      <c r="E202" s="121"/>
      <c r="I202" s="117"/>
      <c r="K202" s="120" t="s">
        <v>31</v>
      </c>
      <c r="L202" s="122">
        <v>0.25</v>
      </c>
      <c r="M202" s="120" t="s">
        <v>30</v>
      </c>
      <c r="N202" s="122">
        <v>0.5</v>
      </c>
      <c r="O202" s="126">
        <v>16.285124333281807</v>
      </c>
      <c r="P202" s="126"/>
    </row>
    <row r="203" spans="5:16" x14ac:dyDescent="0.35">
      <c r="E203" s="121"/>
      <c r="I203" s="117"/>
      <c r="K203" s="117">
        <f>O199*N199+O202*N202+O205*N205</f>
        <v>15.470868116617716</v>
      </c>
      <c r="M203" s="117"/>
      <c r="O203" s="126"/>
      <c r="P203" s="126"/>
    </row>
    <row r="204" spans="5:16" x14ac:dyDescent="0.35">
      <c r="E204" s="121"/>
      <c r="I204" s="117"/>
      <c r="K204" s="117"/>
      <c r="M204" s="123"/>
      <c r="O204" s="126"/>
      <c r="P204" s="126"/>
    </row>
    <row r="205" spans="5:16" x14ac:dyDescent="0.35">
      <c r="E205" s="121"/>
      <c r="I205" s="117"/>
      <c r="K205" s="117"/>
      <c r="M205" s="122" t="s">
        <v>29</v>
      </c>
      <c r="N205" s="122">
        <v>0.25</v>
      </c>
      <c r="O205" s="126">
        <v>3.2570248666563595</v>
      </c>
      <c r="P205" s="126"/>
    </row>
    <row r="206" spans="5:16" x14ac:dyDescent="0.35">
      <c r="E206" s="121"/>
      <c r="I206" s="117"/>
      <c r="K206" s="117"/>
      <c r="O206" s="126"/>
      <c r="P206" s="126"/>
    </row>
    <row r="207" spans="5:16" x14ac:dyDescent="0.35">
      <c r="E207" s="121"/>
      <c r="I207" s="117"/>
      <c r="K207" s="117"/>
      <c r="M207" s="155" t="s">
        <v>42</v>
      </c>
      <c r="N207" s="155"/>
      <c r="O207" s="126"/>
      <c r="P207" s="126"/>
    </row>
    <row r="208" spans="5:16" x14ac:dyDescent="0.35">
      <c r="E208" s="121"/>
      <c r="I208" s="117"/>
      <c r="K208" s="117"/>
      <c r="O208" s="126"/>
      <c r="P208" s="126"/>
    </row>
    <row r="209" spans="5:16" x14ac:dyDescent="0.35">
      <c r="E209" s="121"/>
      <c r="I209" s="117"/>
      <c r="K209" s="117"/>
      <c r="M209" s="120" t="s">
        <v>31</v>
      </c>
      <c r="N209" s="122">
        <v>0.25</v>
      </c>
      <c r="O209" s="126">
        <v>11.911363151477678</v>
      </c>
      <c r="P209" s="126"/>
    </row>
    <row r="210" spans="5:16" x14ac:dyDescent="0.35">
      <c r="E210" s="121"/>
      <c r="I210" s="117"/>
      <c r="K210" s="117"/>
      <c r="M210" s="117"/>
      <c r="O210" s="126"/>
      <c r="P210" s="126"/>
    </row>
    <row r="211" spans="5:16" x14ac:dyDescent="0.35">
      <c r="E211" s="121"/>
      <c r="I211" s="123"/>
      <c r="K211" s="117"/>
      <c r="M211" s="117"/>
      <c r="O211" s="126"/>
      <c r="P211" s="126"/>
    </row>
    <row r="212" spans="5:16" x14ac:dyDescent="0.35">
      <c r="E212" s="121"/>
      <c r="I212" s="122" t="s">
        <v>29</v>
      </c>
      <c r="J212" s="122">
        <v>0.25</v>
      </c>
      <c r="K212" s="120" t="s">
        <v>30</v>
      </c>
      <c r="L212" s="122">
        <v>0.5</v>
      </c>
      <c r="M212" s="120" t="s">
        <v>30</v>
      </c>
      <c r="N212" s="122">
        <v>0.5</v>
      </c>
      <c r="O212" s="126">
        <v>7.444601969673549</v>
      </c>
      <c r="P212" s="126"/>
    </row>
    <row r="213" spans="5:16" x14ac:dyDescent="0.35">
      <c r="E213" s="121"/>
      <c r="I213" s="97">
        <f>L202*K203+L212*K213+L222*K223</f>
        <v>8.1111401518683532</v>
      </c>
      <c r="K213" s="117">
        <f>O209*N209+O212*N212+O215*N215</f>
        <v>7.0723718711898718</v>
      </c>
      <c r="M213" s="117"/>
      <c r="O213" s="126"/>
      <c r="P213" s="126"/>
    </row>
    <row r="214" spans="5:16" x14ac:dyDescent="0.35">
      <c r="E214" s="121"/>
      <c r="K214" s="117"/>
      <c r="M214" s="123"/>
      <c r="O214" s="126"/>
      <c r="P214" s="126"/>
    </row>
    <row r="215" spans="5:16" x14ac:dyDescent="0.35">
      <c r="E215" s="121"/>
      <c r="K215" s="117"/>
      <c r="M215" s="122" t="s">
        <v>29</v>
      </c>
      <c r="N215" s="122">
        <v>0.25</v>
      </c>
      <c r="O215" s="126">
        <v>1.4889203939347093</v>
      </c>
      <c r="P215" s="126"/>
    </row>
    <row r="216" spans="5:16" x14ac:dyDescent="0.35">
      <c r="E216" s="121"/>
      <c r="K216" s="117"/>
      <c r="O216" s="126"/>
      <c r="P216" s="126"/>
    </row>
    <row r="217" spans="5:16" x14ac:dyDescent="0.35">
      <c r="E217" s="121"/>
      <c r="K217" s="117"/>
      <c r="M217" s="155" t="s">
        <v>42</v>
      </c>
      <c r="N217" s="155"/>
      <c r="O217" s="126"/>
      <c r="P217" s="126"/>
    </row>
    <row r="218" spans="5:16" x14ac:dyDescent="0.35">
      <c r="E218" s="121"/>
      <c r="K218" s="117"/>
      <c r="O218" s="126"/>
      <c r="P218" s="126"/>
    </row>
    <row r="219" spans="5:16" x14ac:dyDescent="0.35">
      <c r="E219" s="121"/>
      <c r="K219" s="117"/>
      <c r="M219" s="120" t="s">
        <v>31</v>
      </c>
      <c r="N219" s="122">
        <v>0.25</v>
      </c>
      <c r="O219" s="126">
        <v>4.7645452605910714</v>
      </c>
      <c r="P219" s="126"/>
    </row>
    <row r="220" spans="5:16" x14ac:dyDescent="0.35">
      <c r="E220" s="121"/>
      <c r="K220" s="117"/>
      <c r="M220" s="117"/>
      <c r="O220" s="126"/>
      <c r="P220" s="126"/>
    </row>
    <row r="221" spans="5:16" x14ac:dyDescent="0.35">
      <c r="E221" s="121"/>
      <c r="K221" s="123"/>
      <c r="M221" s="117"/>
      <c r="O221" s="126"/>
      <c r="P221" s="126"/>
    </row>
    <row r="222" spans="5:16" x14ac:dyDescent="0.35">
      <c r="E222" s="121"/>
      <c r="K222" s="122" t="s">
        <v>29</v>
      </c>
      <c r="L222" s="122">
        <v>0.25</v>
      </c>
      <c r="M222" s="120" t="s">
        <v>30</v>
      </c>
      <c r="N222" s="122">
        <v>0.5</v>
      </c>
      <c r="O222" s="126">
        <v>2.9778407878694191</v>
      </c>
      <c r="P222" s="126"/>
    </row>
    <row r="223" spans="5:16" x14ac:dyDescent="0.35">
      <c r="E223" s="121"/>
      <c r="K223" s="97">
        <f>O219*N219+O222*N222+O225*N225</f>
        <v>2.8289487484759488</v>
      </c>
      <c r="M223" s="117"/>
      <c r="O223" s="126"/>
      <c r="P223" s="126"/>
    </row>
    <row r="224" spans="5:16" x14ac:dyDescent="0.35">
      <c r="E224" s="121"/>
      <c r="M224" s="123"/>
      <c r="O224" s="126"/>
      <c r="P224" s="126"/>
    </row>
    <row r="225" spans="5:16" x14ac:dyDescent="0.35">
      <c r="E225" s="121"/>
      <c r="M225" s="122" t="s">
        <v>29</v>
      </c>
      <c r="N225" s="122">
        <v>0.25</v>
      </c>
      <c r="O225" s="126">
        <v>0.59556815757388404</v>
      </c>
      <c r="P225" s="126"/>
    </row>
    <row r="226" spans="5:16" x14ac:dyDescent="0.35">
      <c r="E226" s="121"/>
    </row>
    <row r="227" spans="5:16" x14ac:dyDescent="0.35">
      <c r="E227" s="121"/>
    </row>
    <row r="228" spans="5:16" x14ac:dyDescent="0.35">
      <c r="E228" s="121"/>
    </row>
    <row r="229" spans="5:16" x14ac:dyDescent="0.35">
      <c r="E229" s="121"/>
    </row>
    <row r="230" spans="5:16" x14ac:dyDescent="0.35">
      <c r="E230" s="121"/>
      <c r="M230" s="127" t="s">
        <v>88</v>
      </c>
      <c r="N230" s="127"/>
    </row>
    <row r="231" spans="5:16" x14ac:dyDescent="0.35">
      <c r="E231" s="121"/>
      <c r="K231" s="155" t="s">
        <v>33</v>
      </c>
      <c r="L231" s="155"/>
    </row>
    <row r="232" spans="5:16" x14ac:dyDescent="0.35">
      <c r="E232" s="121"/>
    </row>
    <row r="233" spans="5:16" x14ac:dyDescent="0.35">
      <c r="E233" s="121"/>
      <c r="K233" s="120" t="s">
        <v>31</v>
      </c>
      <c r="L233" s="122">
        <v>0.25</v>
      </c>
      <c r="M233" s="126">
        <v>12.231432720435327</v>
      </c>
      <c r="N233" s="126"/>
    </row>
    <row r="234" spans="5:16" x14ac:dyDescent="0.35">
      <c r="E234" s="121"/>
      <c r="I234" s="155" t="s">
        <v>38</v>
      </c>
      <c r="J234" s="155"/>
      <c r="K234" s="117"/>
      <c r="M234" s="126"/>
      <c r="N234" s="126"/>
    </row>
    <row r="235" spans="5:16" x14ac:dyDescent="0.35">
      <c r="E235" s="121"/>
      <c r="K235" s="117"/>
      <c r="M235" s="126"/>
      <c r="N235" s="126"/>
    </row>
    <row r="236" spans="5:16" x14ac:dyDescent="0.35">
      <c r="E236" s="121"/>
      <c r="I236" s="120" t="s">
        <v>31</v>
      </c>
      <c r="J236" s="122">
        <v>0.25</v>
      </c>
      <c r="K236" s="120" t="s">
        <v>30</v>
      </c>
      <c r="L236" s="122">
        <v>0.5</v>
      </c>
      <c r="M236" s="126">
        <v>5.5597421456524234</v>
      </c>
      <c r="N236" s="126"/>
    </row>
    <row r="237" spans="5:16" x14ac:dyDescent="0.35">
      <c r="E237" s="121"/>
      <c r="I237" s="117">
        <f>M233*L233+M236*L236+M239*L239</f>
        <v>6.393703467500286</v>
      </c>
      <c r="K237" s="117"/>
      <c r="M237" s="126"/>
      <c r="N237" s="126"/>
    </row>
    <row r="238" spans="5:16" x14ac:dyDescent="0.35">
      <c r="E238" s="121"/>
      <c r="I238" s="117"/>
      <c r="K238" s="123"/>
      <c r="M238" s="126"/>
      <c r="N238" s="126"/>
    </row>
    <row r="239" spans="5:16" x14ac:dyDescent="0.35">
      <c r="E239" s="121"/>
      <c r="I239" s="117"/>
      <c r="K239" s="122" t="s">
        <v>29</v>
      </c>
      <c r="L239" s="122">
        <v>0.25</v>
      </c>
      <c r="M239" s="126">
        <v>2.2238968582609728</v>
      </c>
      <c r="N239" s="126"/>
    </row>
    <row r="240" spans="5:16" x14ac:dyDescent="0.35">
      <c r="E240" s="121"/>
      <c r="I240" s="117"/>
      <c r="M240" s="126"/>
      <c r="N240" s="126"/>
    </row>
    <row r="241" spans="5:14" x14ac:dyDescent="0.35">
      <c r="E241" s="121"/>
      <c r="I241" s="117"/>
      <c r="K241" s="155" t="s">
        <v>33</v>
      </c>
      <c r="L241" s="155"/>
      <c r="M241" s="126"/>
      <c r="N241" s="126"/>
    </row>
    <row r="242" spans="5:14" x14ac:dyDescent="0.35">
      <c r="E242" s="121"/>
      <c r="I242" s="117"/>
      <c r="M242" s="126"/>
      <c r="N242" s="126"/>
    </row>
    <row r="243" spans="5:14" x14ac:dyDescent="0.35">
      <c r="E243" s="121"/>
      <c r="I243" s="117"/>
      <c r="K243" s="120" t="s">
        <v>31</v>
      </c>
      <c r="L243" s="122">
        <v>0.25</v>
      </c>
      <c r="M243" s="126">
        <v>11.253508250842374</v>
      </c>
      <c r="N243" s="126"/>
    </row>
    <row r="244" spans="5:14" x14ac:dyDescent="0.35">
      <c r="E244" s="121"/>
      <c r="I244" s="117"/>
      <c r="K244" s="117"/>
      <c r="M244" s="126"/>
      <c r="N244" s="126"/>
    </row>
    <row r="245" spans="5:14" x14ac:dyDescent="0.35">
      <c r="E245" s="121"/>
      <c r="F245" s="156" t="s">
        <v>10</v>
      </c>
      <c r="G245" s="156"/>
      <c r="H245" s="157"/>
      <c r="I245" s="117"/>
      <c r="K245" s="117"/>
      <c r="M245" s="126"/>
      <c r="N245" s="126"/>
    </row>
    <row r="246" spans="5:14" x14ac:dyDescent="0.35">
      <c r="F246" s="120"/>
      <c r="G246" s="122"/>
      <c r="H246" s="122"/>
      <c r="I246" s="120" t="s">
        <v>30</v>
      </c>
      <c r="J246" s="122">
        <v>0.5</v>
      </c>
      <c r="K246" s="120" t="s">
        <v>30</v>
      </c>
      <c r="L246" s="122">
        <v>0.5</v>
      </c>
      <c r="M246" s="126">
        <v>5.115231023110173</v>
      </c>
      <c r="N246" s="126"/>
    </row>
    <row r="247" spans="5:14" x14ac:dyDescent="0.35">
      <c r="F247" s="97" t="s">
        <v>87</v>
      </c>
      <c r="G247" s="126">
        <f>J236*I237+J246*I247+J256*I257</f>
        <v>5.4600226236643126</v>
      </c>
      <c r="I247" s="117">
        <f>M243*L243+M246*L246+M249*L249</f>
        <v>5.8825156765766966</v>
      </c>
      <c r="K247" s="117"/>
      <c r="M247" s="126"/>
      <c r="N247" s="126"/>
    </row>
    <row r="248" spans="5:14" x14ac:dyDescent="0.35">
      <c r="I248" s="117"/>
      <c r="K248" s="123"/>
      <c r="M248" s="126"/>
      <c r="N248" s="126"/>
    </row>
    <row r="249" spans="5:14" x14ac:dyDescent="0.35">
      <c r="I249" s="117"/>
      <c r="K249" s="122" t="s">
        <v>29</v>
      </c>
      <c r="L249" s="122">
        <v>0.25</v>
      </c>
      <c r="M249" s="126">
        <v>2.0460924092440669</v>
      </c>
      <c r="N249" s="126"/>
    </row>
    <row r="250" spans="5:14" x14ac:dyDescent="0.35">
      <c r="I250" s="117"/>
      <c r="M250" s="126"/>
      <c r="N250" s="126"/>
    </row>
    <row r="251" spans="5:14" x14ac:dyDescent="0.35">
      <c r="I251" s="117"/>
      <c r="K251" s="155" t="s">
        <v>33</v>
      </c>
      <c r="L251" s="155"/>
      <c r="M251" s="126"/>
      <c r="N251" s="126"/>
    </row>
    <row r="252" spans="5:14" x14ac:dyDescent="0.35">
      <c r="I252" s="117"/>
      <c r="M252" s="126"/>
      <c r="N252" s="126"/>
    </row>
    <row r="253" spans="5:14" x14ac:dyDescent="0.35">
      <c r="I253" s="117"/>
      <c r="K253" s="120" t="s">
        <v>31</v>
      </c>
      <c r="L253" s="122">
        <v>0.25</v>
      </c>
      <c r="M253" s="126">
        <v>7.0425934633111771</v>
      </c>
      <c r="N253" s="126"/>
    </row>
    <row r="254" spans="5:14" x14ac:dyDescent="0.35">
      <c r="I254" s="117"/>
      <c r="K254" s="117"/>
      <c r="M254" s="126"/>
      <c r="N254" s="126"/>
    </row>
    <row r="255" spans="5:14" x14ac:dyDescent="0.35">
      <c r="I255" s="123"/>
      <c r="K255" s="117"/>
      <c r="M255" s="126"/>
      <c r="N255" s="126"/>
    </row>
    <row r="256" spans="5:14" x14ac:dyDescent="0.35">
      <c r="I256" s="122" t="s">
        <v>29</v>
      </c>
      <c r="J256" s="122">
        <v>0.25</v>
      </c>
      <c r="K256" s="120" t="s">
        <v>30</v>
      </c>
      <c r="L256" s="122">
        <v>0.5</v>
      </c>
      <c r="M256" s="126">
        <v>3.2011788469596318</v>
      </c>
      <c r="N256" s="126"/>
    </row>
    <row r="257" spans="9:14" x14ac:dyDescent="0.35">
      <c r="I257" s="97">
        <f>M253*L253+M256*L256+M259*L259</f>
        <v>3.6813556740035733</v>
      </c>
      <c r="K257" s="117"/>
      <c r="M257" s="126"/>
      <c r="N257" s="126"/>
    </row>
    <row r="258" spans="9:14" x14ac:dyDescent="0.35">
      <c r="K258" s="123"/>
      <c r="M258" s="126"/>
      <c r="N258" s="126"/>
    </row>
    <row r="259" spans="9:14" x14ac:dyDescent="0.35">
      <c r="K259" s="122" t="s">
        <v>29</v>
      </c>
      <c r="L259" s="122">
        <v>0.25</v>
      </c>
      <c r="M259" s="126">
        <v>1.2804715387838521</v>
      </c>
      <c r="N259" s="126"/>
    </row>
  </sheetData>
  <mergeCells count="44">
    <mergeCell ref="F245:H245"/>
    <mergeCell ref="K251:L251"/>
    <mergeCell ref="K200:L200"/>
    <mergeCell ref="M207:N207"/>
    <mergeCell ref="M217:N217"/>
    <mergeCell ref="K231:L231"/>
    <mergeCell ref="I234:J234"/>
    <mergeCell ref="K241:L241"/>
    <mergeCell ref="M197:N197"/>
    <mergeCell ref="K138:L138"/>
    <mergeCell ref="B145:E145"/>
    <mergeCell ref="M145:N145"/>
    <mergeCell ref="I148:J148"/>
    <mergeCell ref="M155:N155"/>
    <mergeCell ref="K164:L164"/>
    <mergeCell ref="M166:N166"/>
    <mergeCell ref="K169:L169"/>
    <mergeCell ref="M176:N176"/>
    <mergeCell ref="F180:H180"/>
    <mergeCell ref="M186:N186"/>
    <mergeCell ref="M135:N135"/>
    <mergeCell ref="F50:H50"/>
    <mergeCell ref="M56:N56"/>
    <mergeCell ref="M67:N67"/>
    <mergeCell ref="K70:L70"/>
    <mergeCell ref="M77:N77"/>
    <mergeCell ref="M87:N87"/>
    <mergeCell ref="K101:L101"/>
    <mergeCell ref="I104:J104"/>
    <mergeCell ref="K111:L111"/>
    <mergeCell ref="F115:H115"/>
    <mergeCell ref="K121:L121"/>
    <mergeCell ref="M46:N46"/>
    <mergeCell ref="C1:D1"/>
    <mergeCell ref="C2:D2"/>
    <mergeCell ref="B5:C5"/>
    <mergeCell ref="M5:N5"/>
    <mergeCell ref="K8:L8"/>
    <mergeCell ref="M15:N15"/>
    <mergeCell ref="I18:J18"/>
    <mergeCell ref="M25:N25"/>
    <mergeCell ref="K34:L34"/>
    <mergeCell ref="M36:N36"/>
    <mergeCell ref="K39:L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BE9D-277F-4AED-8411-54908C1CF197}">
  <dimension ref="C2:U51"/>
  <sheetViews>
    <sheetView workbookViewId="0">
      <selection activeCell="Q20" sqref="Q20"/>
    </sheetView>
  </sheetViews>
  <sheetFormatPr defaultColWidth="8.86328125" defaultRowHeight="12.75" x14ac:dyDescent="0.35"/>
  <cols>
    <col min="1" max="2" width="8.86328125" style="96"/>
    <col min="3" max="3" width="12.33203125" style="96" bestFit="1" customWidth="1"/>
    <col min="4" max="4" width="7.86328125" style="96" bestFit="1" customWidth="1"/>
    <col min="5" max="5" width="26.33203125" style="96" bestFit="1" customWidth="1"/>
    <col min="6" max="19" width="8.86328125" style="96"/>
    <col min="20" max="20" width="7.53125" style="96" bestFit="1" customWidth="1"/>
    <col min="21" max="21" width="25.6640625" style="96" bestFit="1" customWidth="1"/>
    <col min="22" max="16384" width="8.86328125" style="96"/>
  </cols>
  <sheetData>
    <row r="2" spans="3:21" x14ac:dyDescent="0.35">
      <c r="C2" s="149" t="s">
        <v>81</v>
      </c>
      <c r="D2" s="149" t="s">
        <v>82</v>
      </c>
      <c r="E2" s="149" t="s">
        <v>83</v>
      </c>
      <c r="S2" s="149" t="s">
        <v>20</v>
      </c>
      <c r="T2" s="149" t="s">
        <v>82</v>
      </c>
      <c r="U2" s="149" t="s">
        <v>83</v>
      </c>
    </row>
    <row r="3" spans="3:21" x14ac:dyDescent="0.35">
      <c r="C3" s="102">
        <v>-1</v>
      </c>
      <c r="D3" s="114">
        <v>51.690104809838502</v>
      </c>
      <c r="E3" s="102" t="s">
        <v>8</v>
      </c>
      <c r="S3" s="148">
        <v>0.05</v>
      </c>
      <c r="T3" s="114">
        <v>16.092393909117728</v>
      </c>
      <c r="U3" s="102" t="s">
        <v>7</v>
      </c>
    </row>
    <row r="4" spans="3:21" x14ac:dyDescent="0.35">
      <c r="C4" s="102">
        <v>-0.9</v>
      </c>
      <c r="D4" s="114">
        <v>51.382039397140538</v>
      </c>
      <c r="E4" s="102" t="s">
        <v>8</v>
      </c>
      <c r="S4" s="148">
        <v>0.1</v>
      </c>
      <c r="T4" s="114">
        <v>15.33961882624823</v>
      </c>
      <c r="U4" s="102" t="s">
        <v>7</v>
      </c>
    </row>
    <row r="5" spans="3:21" x14ac:dyDescent="0.35">
      <c r="C5" s="102">
        <v>-0.8</v>
      </c>
      <c r="D5" s="114">
        <v>50.996957641093175</v>
      </c>
      <c r="E5" s="102" t="s">
        <v>8</v>
      </c>
      <c r="S5" s="148">
        <v>0.15</v>
      </c>
      <c r="T5" s="114">
        <v>14.576728972535221</v>
      </c>
      <c r="U5" s="102" t="s">
        <v>7</v>
      </c>
    </row>
    <row r="6" spans="3:21" x14ac:dyDescent="0.35">
      <c r="C6" s="102">
        <v>-0.7</v>
      </c>
      <c r="D6" s="114">
        <v>50.501852649466485</v>
      </c>
      <c r="E6" s="102" t="s">
        <v>8</v>
      </c>
      <c r="S6" s="148">
        <v>0.2</v>
      </c>
      <c r="T6" s="114">
        <v>13.803651088833968</v>
      </c>
      <c r="U6" s="102" t="s">
        <v>7</v>
      </c>
    </row>
    <row r="7" spans="3:21" x14ac:dyDescent="0.35">
      <c r="C7" s="102">
        <v>-0.6</v>
      </c>
      <c r="D7" s="114">
        <v>49.841714241664057</v>
      </c>
      <c r="E7" s="102" t="s">
        <v>8</v>
      </c>
      <c r="S7" s="148">
        <v>0.25</v>
      </c>
      <c r="T7" s="114">
        <v>13.020314494358155</v>
      </c>
      <c r="U7" s="102" t="s">
        <v>7</v>
      </c>
    </row>
    <row r="8" spans="3:21" x14ac:dyDescent="0.35">
      <c r="C8" s="102">
        <v>-0.5</v>
      </c>
      <c r="D8" s="114">
        <v>48.917541385198781</v>
      </c>
      <c r="E8" s="102" t="s">
        <v>8</v>
      </c>
      <c r="S8" s="148">
        <v>0.3</v>
      </c>
      <c r="T8" s="114">
        <v>12.226651176120383</v>
      </c>
      <c r="U8" s="102" t="s">
        <v>7</v>
      </c>
    </row>
    <row r="9" spans="3:21" x14ac:dyDescent="0.35">
      <c r="C9" s="102">
        <v>-0.4</v>
      </c>
      <c r="D9" s="114">
        <v>47.531572634311921</v>
      </c>
      <c r="E9" s="102" t="s">
        <v>8</v>
      </c>
      <c r="S9" s="148">
        <v>0.35</v>
      </c>
      <c r="T9" s="114">
        <v>11.422595875599235</v>
      </c>
      <c r="U9" s="102" t="s">
        <v>7</v>
      </c>
    </row>
    <row r="10" spans="3:21" x14ac:dyDescent="0.35">
      <c r="C10" s="102">
        <v>-0.3</v>
      </c>
      <c r="D10" s="114">
        <v>45.226029897410562</v>
      </c>
      <c r="E10" s="102" t="s">
        <v>8</v>
      </c>
      <c r="S10" s="148">
        <v>0.4</v>
      </c>
      <c r="T10" s="114">
        <v>10.608086172385836</v>
      </c>
      <c r="U10" s="102" t="s">
        <v>7</v>
      </c>
    </row>
    <row r="11" spans="3:21" x14ac:dyDescent="0.35">
      <c r="C11" s="102">
        <v>-0.2</v>
      </c>
      <c r="D11" s="114">
        <v>40.695378855492038</v>
      </c>
      <c r="E11" s="102" t="s">
        <v>8</v>
      </c>
      <c r="S11" s="148">
        <v>0.45</v>
      </c>
      <c r="T11" s="114">
        <v>9.7830625645687768</v>
      </c>
      <c r="U11" s="102" t="s">
        <v>7</v>
      </c>
    </row>
    <row r="12" spans="3:21" x14ac:dyDescent="0.35">
      <c r="C12" s="102">
        <v>-0.1</v>
      </c>
      <c r="D12" s="114">
        <v>29.441232509512169</v>
      </c>
      <c r="E12" s="102" t="s">
        <v>8</v>
      </c>
      <c r="S12" s="148">
        <v>0.5</v>
      </c>
      <c r="T12" s="114">
        <v>8.9474685456232912</v>
      </c>
      <c r="U12" s="102" t="s">
        <v>7</v>
      </c>
    </row>
    <row r="13" spans="3:21" x14ac:dyDescent="0.35">
      <c r="C13" s="102">
        <v>0</v>
      </c>
      <c r="D13" s="114">
        <v>11.769897888697319</v>
      </c>
      <c r="E13" s="102" t="s">
        <v>7</v>
      </c>
      <c r="S13" s="148">
        <v>0.55000000000000004</v>
      </c>
      <c r="T13" s="114">
        <v>8.101250677579106</v>
      </c>
      <c r="U13" s="102" t="s">
        <v>7</v>
      </c>
    </row>
    <row r="14" spans="3:21" x14ac:dyDescent="0.35">
      <c r="C14" s="102">
        <v>0.1</v>
      </c>
      <c r="D14" s="114">
        <v>9.3750770027966812</v>
      </c>
      <c r="E14" s="102" t="s">
        <v>7</v>
      </c>
    </row>
    <row r="15" spans="3:21" x14ac:dyDescent="0.35">
      <c r="C15" s="102">
        <v>0.2</v>
      </c>
      <c r="D15" s="114">
        <v>7.468075656268014</v>
      </c>
      <c r="E15" s="102" t="s">
        <v>7</v>
      </c>
    </row>
    <row r="16" spans="3:21" x14ac:dyDescent="0.35">
      <c r="C16" s="102">
        <v>0.3</v>
      </c>
      <c r="D16" s="114">
        <v>6.0919268354531617</v>
      </c>
      <c r="E16" s="102" t="s">
        <v>7</v>
      </c>
    </row>
    <row r="17" spans="3:5" x14ac:dyDescent="0.35">
      <c r="C17" s="102">
        <v>0.4</v>
      </c>
      <c r="D17" s="114">
        <v>5.1127017960362959</v>
      </c>
      <c r="E17" s="102" t="s">
        <v>7</v>
      </c>
    </row>
    <row r="18" spans="3:5" x14ac:dyDescent="0.35">
      <c r="C18" s="102">
        <v>0.5</v>
      </c>
      <c r="D18" s="114">
        <v>4.3975745768153072</v>
      </c>
      <c r="E18" s="102" t="s">
        <v>7</v>
      </c>
    </row>
    <row r="19" spans="3:5" x14ac:dyDescent="0.35">
      <c r="C19" s="102">
        <v>0.6</v>
      </c>
      <c r="D19" s="114">
        <v>3.9983854783467208</v>
      </c>
      <c r="E19" s="102" t="s">
        <v>9</v>
      </c>
    </row>
    <row r="20" spans="3:5" x14ac:dyDescent="0.35">
      <c r="C20" s="102">
        <v>0.7</v>
      </c>
      <c r="D20" s="114">
        <v>3.7035487348723994</v>
      </c>
      <c r="E20" s="102" t="s">
        <v>9</v>
      </c>
    </row>
    <row r="21" spans="3:5" x14ac:dyDescent="0.35">
      <c r="C21" s="102">
        <v>0.8</v>
      </c>
      <c r="D21" s="114">
        <v>3.4626165612886459</v>
      </c>
      <c r="E21" s="102" t="s">
        <v>9</v>
      </c>
    </row>
    <row r="22" spans="3:5" x14ac:dyDescent="0.35">
      <c r="C22" s="102">
        <v>0.9</v>
      </c>
      <c r="D22" s="114">
        <v>3.2608462442309394</v>
      </c>
      <c r="E22" s="102" t="s">
        <v>9</v>
      </c>
    </row>
    <row r="23" spans="3:5" x14ac:dyDescent="0.35">
      <c r="C23" s="102">
        <v>1</v>
      </c>
      <c r="D23" s="114">
        <v>3.0886142162136752</v>
      </c>
      <c r="E23" s="102" t="s">
        <v>9</v>
      </c>
    </row>
    <row r="30" spans="3:5" x14ac:dyDescent="0.35">
      <c r="C30" s="149" t="s">
        <v>90</v>
      </c>
      <c r="D30" s="149" t="s">
        <v>82</v>
      </c>
      <c r="E30" s="149" t="s">
        <v>83</v>
      </c>
    </row>
    <row r="31" spans="3:5" x14ac:dyDescent="0.35">
      <c r="C31" s="148">
        <v>0.05</v>
      </c>
      <c r="D31" s="114">
        <v>12.158459389627014</v>
      </c>
      <c r="E31" s="102" t="s">
        <v>7</v>
      </c>
    </row>
    <row r="32" spans="3:5" x14ac:dyDescent="0.35">
      <c r="C32" s="148">
        <v>0.1</v>
      </c>
      <c r="D32" s="114">
        <v>10.233101563138435</v>
      </c>
      <c r="E32" s="102" t="s">
        <v>7</v>
      </c>
    </row>
    <row r="33" spans="3:21" x14ac:dyDescent="0.35">
      <c r="C33" s="148">
        <v>0.15</v>
      </c>
      <c r="D33" s="114">
        <v>8.7930289062309743</v>
      </c>
      <c r="E33" s="102" t="s">
        <v>7</v>
      </c>
    </row>
    <row r="34" spans="3:21" x14ac:dyDescent="0.35">
      <c r="C34" s="148">
        <v>0.2</v>
      </c>
      <c r="D34" s="114">
        <v>7.6966610704928264</v>
      </c>
      <c r="E34" s="102" t="s">
        <v>7</v>
      </c>
    </row>
    <row r="35" spans="3:21" x14ac:dyDescent="0.35">
      <c r="C35" s="148">
        <v>0.25</v>
      </c>
      <c r="D35" s="114">
        <v>6.8471087672670876</v>
      </c>
      <c r="E35" s="102" t="s">
        <v>7</v>
      </c>
    </row>
    <row r="36" spans="3:21" x14ac:dyDescent="0.35">
      <c r="C36" s="148">
        <v>0.3</v>
      </c>
      <c r="D36" s="114">
        <v>6.177551193804133</v>
      </c>
      <c r="E36" s="102" t="s">
        <v>7</v>
      </c>
    </row>
    <row r="37" spans="3:21" x14ac:dyDescent="0.35">
      <c r="C37" s="148">
        <v>0.35</v>
      </c>
      <c r="D37" s="114">
        <v>5.6413582545009255</v>
      </c>
      <c r="E37" s="102" t="s">
        <v>7</v>
      </c>
      <c r="S37" s="149" t="s">
        <v>24</v>
      </c>
      <c r="T37" s="149" t="s">
        <v>82</v>
      </c>
      <c r="U37" s="149" t="s">
        <v>83</v>
      </c>
    </row>
    <row r="38" spans="3:21" x14ac:dyDescent="0.35">
      <c r="C38" s="148">
        <v>0.4</v>
      </c>
      <c r="D38" s="114">
        <v>5.2055416244293209</v>
      </c>
      <c r="E38" s="102" t="s">
        <v>7</v>
      </c>
      <c r="S38" s="148">
        <v>0.85</v>
      </c>
      <c r="T38" s="114">
        <v>32.877567022006247</v>
      </c>
      <c r="U38" s="102" t="s">
        <v>10</v>
      </c>
    </row>
    <row r="39" spans="3:21" x14ac:dyDescent="0.35">
      <c r="C39" s="148">
        <v>0.45</v>
      </c>
      <c r="D39" s="114">
        <v>4.8464252016287013</v>
      </c>
      <c r="E39" s="102" t="s">
        <v>7</v>
      </c>
      <c r="S39" s="148">
        <v>0.86</v>
      </c>
      <c r="T39" s="114">
        <v>31.068471171329776</v>
      </c>
      <c r="U39" s="102" t="s">
        <v>10</v>
      </c>
    </row>
    <row r="40" spans="3:21" x14ac:dyDescent="0.35">
      <c r="C40" s="148">
        <v>0.5</v>
      </c>
      <c r="D40" s="114">
        <v>4.5467683892955773</v>
      </c>
      <c r="E40" s="102" t="s">
        <v>7</v>
      </c>
      <c r="S40" s="148">
        <v>0.87</v>
      </c>
      <c r="T40" s="114">
        <v>29.218000920216607</v>
      </c>
      <c r="U40" s="102" t="s">
        <v>10</v>
      </c>
    </row>
    <row r="41" spans="3:21" x14ac:dyDescent="0.35">
      <c r="S41" s="148">
        <v>0.88</v>
      </c>
      <c r="T41" s="114">
        <v>27.32367472002289</v>
      </c>
      <c r="U41" s="102" t="s">
        <v>10</v>
      </c>
    </row>
    <row r="42" spans="3:21" x14ac:dyDescent="0.35">
      <c r="S42" s="148">
        <v>0.89</v>
      </c>
      <c r="T42" s="114">
        <v>25.382820018603589</v>
      </c>
      <c r="U42" s="102" t="s">
        <v>10</v>
      </c>
    </row>
    <row r="43" spans="3:21" x14ac:dyDescent="0.35">
      <c r="S43" s="148">
        <v>0.9</v>
      </c>
      <c r="T43" s="114">
        <v>23.392565334944138</v>
      </c>
      <c r="U43" s="102" t="s">
        <v>10</v>
      </c>
    </row>
    <row r="44" spans="3:21" x14ac:dyDescent="0.35">
      <c r="S44" s="148">
        <v>0.91</v>
      </c>
      <c r="T44" s="114">
        <v>21.349834628485446</v>
      </c>
      <c r="U44" s="102" t="s">
        <v>10</v>
      </c>
    </row>
    <row r="45" spans="3:21" x14ac:dyDescent="0.35">
      <c r="S45" s="148">
        <v>0.92</v>
      </c>
      <c r="T45" s="114">
        <v>19.251344722806497</v>
      </c>
      <c r="U45" s="102" t="s">
        <v>10</v>
      </c>
    </row>
    <row r="46" spans="3:21" x14ac:dyDescent="0.35">
      <c r="S46" s="148">
        <v>0.93</v>
      </c>
      <c r="T46" s="114">
        <v>17.093606632046292</v>
      </c>
      <c r="U46" s="102" t="s">
        <v>10</v>
      </c>
    </row>
    <row r="47" spans="3:21" x14ac:dyDescent="0.35">
      <c r="S47" s="148">
        <v>0.94</v>
      </c>
      <c r="T47" s="114">
        <v>14.872931707668165</v>
      </c>
      <c r="U47" s="102" t="s">
        <v>10</v>
      </c>
    </row>
    <row r="48" spans="3:21" x14ac:dyDescent="0.35">
      <c r="S48" s="148">
        <v>0.95</v>
      </c>
      <c r="T48" s="114">
        <v>12.585443560490425</v>
      </c>
      <c r="U48" s="102" t="s">
        <v>10</v>
      </c>
    </row>
    <row r="49" spans="19:21" x14ac:dyDescent="0.35">
      <c r="S49" s="148">
        <v>0.96</v>
      </c>
      <c r="T49" s="114">
        <v>10.935148456403384</v>
      </c>
      <c r="U49" s="102" t="s">
        <v>7</v>
      </c>
    </row>
    <row r="50" spans="19:21" x14ac:dyDescent="0.35">
      <c r="S50" s="148">
        <v>0.97</v>
      </c>
      <c r="T50" s="114">
        <v>10.935148456403384</v>
      </c>
      <c r="U50" s="102" t="s">
        <v>7</v>
      </c>
    </row>
    <row r="51" spans="19:21" x14ac:dyDescent="0.35">
      <c r="S51" s="148">
        <v>0.98</v>
      </c>
      <c r="T51" s="114">
        <v>10.935148456403384</v>
      </c>
      <c r="U51" s="102" t="s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B143-0186-4AF3-87E0-D75FB0F9868C}">
  <dimension ref="C5:M13"/>
  <sheetViews>
    <sheetView workbookViewId="0">
      <selection activeCell="F40" sqref="F40"/>
    </sheetView>
  </sheetViews>
  <sheetFormatPr defaultColWidth="9" defaultRowHeight="12.75" x14ac:dyDescent="0.35"/>
  <cols>
    <col min="1" max="2" width="9" style="96"/>
    <col min="3" max="3" width="20" style="96" bestFit="1" customWidth="1"/>
    <col min="4" max="16384" width="9" style="96"/>
  </cols>
  <sheetData>
    <row r="5" spans="3:13" ht="13.15" x14ac:dyDescent="0.4">
      <c r="C5" s="150"/>
      <c r="D5" s="151" t="s">
        <v>29</v>
      </c>
      <c r="E5" s="151" t="s">
        <v>30</v>
      </c>
      <c r="F5" s="151" t="s">
        <v>31</v>
      </c>
    </row>
    <row r="6" spans="3:13" ht="13.15" x14ac:dyDescent="0.4">
      <c r="C6" s="151" t="s">
        <v>32</v>
      </c>
      <c r="D6" s="161"/>
      <c r="E6" s="162"/>
      <c r="F6" s="163"/>
    </row>
    <row r="7" spans="3:13" x14ac:dyDescent="0.35">
      <c r="C7" s="150" t="s">
        <v>33</v>
      </c>
      <c r="D7" s="150">
        <v>0.95</v>
      </c>
      <c r="E7" s="150">
        <v>2.75</v>
      </c>
      <c r="F7" s="150">
        <v>5.4</v>
      </c>
    </row>
    <row r="8" spans="3:13" x14ac:dyDescent="0.35">
      <c r="C8" s="150" t="s">
        <v>36</v>
      </c>
      <c r="D8" s="150">
        <v>1.1399999999999999</v>
      </c>
      <c r="E8" s="150">
        <v>1.61</v>
      </c>
      <c r="F8" s="150">
        <v>2.0499999999999998</v>
      </c>
      <c r="K8" s="153"/>
      <c r="L8" s="153"/>
      <c r="M8" s="153"/>
    </row>
    <row r="9" spans="3:13" x14ac:dyDescent="0.35">
      <c r="C9" s="150" t="s">
        <v>38</v>
      </c>
      <c r="D9" s="152">
        <v>-3.2000000000000001E-2</v>
      </c>
      <c r="E9" s="152">
        <v>3.5999999999999997E-2</v>
      </c>
      <c r="F9" s="152">
        <v>0.108</v>
      </c>
    </row>
    <row r="10" spans="3:13" ht="13.15" x14ac:dyDescent="0.4">
      <c r="C10" s="151" t="s">
        <v>41</v>
      </c>
      <c r="D10" s="161"/>
      <c r="E10" s="162"/>
      <c r="F10" s="163"/>
    </row>
    <row r="11" spans="3:13" x14ac:dyDescent="0.35">
      <c r="C11" s="150" t="s">
        <v>42</v>
      </c>
      <c r="D11" s="150">
        <v>9.9499999999999993</v>
      </c>
      <c r="E11" s="150">
        <v>10.7</v>
      </c>
      <c r="F11" s="150">
        <v>11.4</v>
      </c>
    </row>
    <row r="12" spans="3:13" x14ac:dyDescent="0.35">
      <c r="C12" s="150" t="s">
        <v>45</v>
      </c>
      <c r="D12" s="150">
        <v>9.24</v>
      </c>
      <c r="E12" s="150">
        <v>9.48</v>
      </c>
      <c r="F12" s="150">
        <v>9.6999999999999993</v>
      </c>
    </row>
    <row r="13" spans="3:13" x14ac:dyDescent="0.35">
      <c r="C13" s="150" t="s">
        <v>47</v>
      </c>
      <c r="D13" s="150">
        <v>13.6</v>
      </c>
      <c r="E13" s="150">
        <v>14.8</v>
      </c>
      <c r="F13" s="150">
        <v>16.149999999999999</v>
      </c>
    </row>
  </sheetData>
  <mergeCells count="2">
    <mergeCell ref="D10:F10"/>
    <mergeCell ref="D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3E73-BC97-4584-8A35-D022D72BE8E7}">
  <sheetPr>
    <pageSetUpPr fitToPage="1"/>
  </sheetPr>
  <dimension ref="A1:CG354"/>
  <sheetViews>
    <sheetView showGridLines="0" workbookViewId="0">
      <selection activeCell="F28" sqref="F28"/>
    </sheetView>
  </sheetViews>
  <sheetFormatPr defaultColWidth="11.46484375" defaultRowHeight="12.75" outlineLevelCol="1" x14ac:dyDescent="0.35"/>
  <cols>
    <col min="1" max="1" width="8" bestFit="1" customWidth="1"/>
    <col min="2" max="2" width="25.33203125" bestFit="1" customWidth="1"/>
    <col min="3" max="3" width="7.53125" bestFit="1" customWidth="1"/>
    <col min="4" max="4" width="6" customWidth="1"/>
    <col min="5" max="5" width="9.86328125" customWidth="1"/>
    <col min="6" max="6" width="16" customWidth="1"/>
    <col min="7" max="7" width="12.86328125" customWidth="1" outlineLevel="1"/>
    <col min="8" max="8" width="11" customWidth="1" outlineLevel="1"/>
    <col min="9" max="9" width="9.86328125" customWidth="1" outlineLevel="1"/>
    <col min="10" max="10" width="14" customWidth="1" outlineLevel="1"/>
    <col min="11" max="11" width="9.86328125" customWidth="1" outlineLevel="1"/>
    <col min="12" max="12" width="12.1328125" customWidth="1" outlineLevel="1"/>
    <col min="13" max="41" width="9.86328125" customWidth="1"/>
  </cols>
  <sheetData>
    <row r="1" spans="1:80" ht="19.149999999999999" x14ac:dyDescent="0.65">
      <c r="A1" s="97"/>
      <c r="B1" s="97"/>
      <c r="C1" s="155" t="s">
        <v>80</v>
      </c>
      <c r="D1" s="155"/>
      <c r="E1" s="97">
        <v>30</v>
      </c>
      <c r="F1" s="97"/>
      <c r="G1" s="127" t="s">
        <v>91</v>
      </c>
      <c r="H1" s="144">
        <v>0.08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38" t="s">
        <v>0</v>
      </c>
      <c r="AP1" s="38" t="s">
        <v>0</v>
      </c>
      <c r="BL1" s="38" t="s">
        <v>0</v>
      </c>
    </row>
    <row r="2" spans="1:80" ht="13.15" thickBot="1" x14ac:dyDescent="0.4">
      <c r="A2" s="97"/>
      <c r="B2" s="97"/>
      <c r="C2" s="155" t="s">
        <v>81</v>
      </c>
      <c r="D2" s="155"/>
      <c r="E2" s="97">
        <f>1/E1</f>
        <v>3.3333333333333333E-2</v>
      </c>
      <c r="F2" s="97"/>
      <c r="G2" s="127" t="s">
        <v>92</v>
      </c>
      <c r="H2" s="144">
        <v>0.38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80" ht="15.4" x14ac:dyDescent="0.45">
      <c r="A3" s="97"/>
      <c r="B3" s="97"/>
      <c r="C3" s="97"/>
      <c r="D3" s="97"/>
      <c r="E3" s="97"/>
      <c r="F3" s="97"/>
      <c r="G3" s="13" t="s">
        <v>24</v>
      </c>
      <c r="H3" s="147">
        <v>0.98</v>
      </c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53" t="s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53" t="s">
        <v>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53" t="s">
        <v>1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x14ac:dyDescent="0.3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127" t="s">
        <v>84</v>
      </c>
      <c r="P4" s="127" t="s">
        <v>85</v>
      </c>
      <c r="Q4" s="97"/>
      <c r="R4" s="97"/>
      <c r="S4" s="97"/>
      <c r="T4" s="2"/>
      <c r="AP4" s="2"/>
      <c r="BL4" s="2"/>
    </row>
    <row r="5" spans="1:80" x14ac:dyDescent="0.35">
      <c r="A5" s="97"/>
      <c r="B5" s="160" t="s">
        <v>86</v>
      </c>
      <c r="C5" s="160"/>
      <c r="D5" s="97"/>
      <c r="E5" s="97"/>
      <c r="F5" s="97"/>
      <c r="G5" s="97"/>
      <c r="H5" s="97"/>
      <c r="I5" s="97"/>
      <c r="J5" s="97"/>
      <c r="K5" s="97"/>
      <c r="L5" s="97"/>
      <c r="M5" s="155" t="s">
        <v>42</v>
      </c>
      <c r="N5" s="155"/>
      <c r="O5" s="97"/>
      <c r="P5" s="97"/>
      <c r="Q5" s="97"/>
      <c r="R5" s="97"/>
      <c r="S5" s="97"/>
      <c r="T5" s="3"/>
      <c r="X5" s="4" t="s">
        <v>2</v>
      </c>
      <c r="Y5" s="5"/>
      <c r="Z5" s="5"/>
      <c r="AA5" s="5"/>
      <c r="AB5" s="5"/>
      <c r="AC5" s="5"/>
      <c r="AD5" s="6">
        <v>1</v>
      </c>
      <c r="AE5" s="7" t="s">
        <v>3</v>
      </c>
      <c r="AP5" s="3"/>
      <c r="AT5" s="4" t="s">
        <v>2</v>
      </c>
      <c r="AU5" s="5"/>
      <c r="AV5" s="5"/>
      <c r="AW5" s="5"/>
      <c r="AX5" s="5"/>
      <c r="AY5" s="5"/>
      <c r="AZ5" s="6">
        <v>1</v>
      </c>
      <c r="BA5" s="7" t="s">
        <v>3</v>
      </c>
      <c r="BL5" s="3"/>
      <c r="BP5" s="4" t="s">
        <v>2</v>
      </c>
      <c r="BQ5" s="5"/>
      <c r="BR5" s="5"/>
      <c r="BS5" s="5"/>
      <c r="BT5" s="5"/>
      <c r="BU5" s="5"/>
      <c r="BV5" s="6">
        <v>1</v>
      </c>
      <c r="BW5" s="7" t="s">
        <v>3</v>
      </c>
    </row>
    <row r="6" spans="1:80" x14ac:dyDescent="0.35">
      <c r="A6" s="97"/>
      <c r="B6" s="102" t="s">
        <v>83</v>
      </c>
      <c r="C6" s="102" t="s">
        <v>87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X6" s="8" t="s">
        <v>4</v>
      </c>
      <c r="Y6" s="9"/>
      <c r="Z6" s="9"/>
      <c r="AA6" s="9"/>
      <c r="AB6" s="9"/>
      <c r="AC6" s="9"/>
      <c r="AD6" s="10" t="str">
        <f>INDEX(Y9:Y12,AD5)</f>
        <v>No Partnership / No Expansion</v>
      </c>
      <c r="AE6" s="7" t="s">
        <v>5</v>
      </c>
      <c r="AT6" s="8" t="s">
        <v>4</v>
      </c>
      <c r="AU6" s="9"/>
      <c r="AV6" s="9"/>
      <c r="AW6" s="9"/>
      <c r="AX6" s="9"/>
      <c r="AY6" s="9"/>
      <c r="AZ6" s="10" t="str">
        <f>INDEX(AU9:AU12,AZ5)</f>
        <v>No Partnership / No Expansion</v>
      </c>
      <c r="BA6" s="7" t="s">
        <v>5</v>
      </c>
      <c r="BP6" s="8" t="s">
        <v>4</v>
      </c>
      <c r="BQ6" s="9"/>
      <c r="BR6" s="9"/>
      <c r="BS6" s="9"/>
      <c r="BT6" s="9"/>
      <c r="BU6" s="9"/>
      <c r="BV6" s="10" t="str">
        <f>INDEX(BQ9:BQ12,BV5)</f>
        <v>No Partnership / No Expansion</v>
      </c>
      <c r="BW6" s="7" t="s">
        <v>5</v>
      </c>
    </row>
    <row r="7" spans="1:80" x14ac:dyDescent="0.35">
      <c r="A7" s="97"/>
      <c r="B7" s="102" t="s">
        <v>7</v>
      </c>
      <c r="C7" s="131">
        <f>G52</f>
        <v>10.935148456403384</v>
      </c>
      <c r="D7" s="97"/>
      <c r="E7" s="97"/>
      <c r="F7" s="97"/>
      <c r="G7" s="97"/>
      <c r="H7" s="97"/>
      <c r="I7" s="97"/>
      <c r="J7" s="97"/>
      <c r="K7" s="97"/>
      <c r="L7" s="97"/>
      <c r="M7" s="120" t="s">
        <v>31</v>
      </c>
      <c r="N7" s="122">
        <v>0.25</v>
      </c>
      <c r="O7" s="128">
        <f>1-EXP(-P7*$E$2)</f>
        <v>0.4806823022009824</v>
      </c>
      <c r="P7" s="126">
        <f>AO33</f>
        <v>19.657183458198954</v>
      </c>
      <c r="Q7" s="97"/>
      <c r="R7" s="97"/>
      <c r="S7" s="97"/>
    </row>
    <row r="8" spans="1:80" x14ac:dyDescent="0.35">
      <c r="A8" s="97"/>
      <c r="B8" s="102" t="s">
        <v>8</v>
      </c>
      <c r="C8" s="131">
        <f>G117</f>
        <v>5.6402986147669862</v>
      </c>
      <c r="D8" s="97"/>
      <c r="E8" s="97"/>
      <c r="F8" s="97"/>
      <c r="G8" s="97"/>
      <c r="H8" s="97"/>
      <c r="I8" s="97"/>
      <c r="J8" s="97"/>
      <c r="K8" s="155" t="s">
        <v>33</v>
      </c>
      <c r="L8" s="164"/>
      <c r="M8" s="117"/>
      <c r="N8" s="97"/>
      <c r="O8" s="128"/>
      <c r="P8" s="126"/>
      <c r="Q8" s="97"/>
      <c r="R8" s="97"/>
      <c r="S8" s="97"/>
      <c r="X8" t="s">
        <v>6</v>
      </c>
      <c r="AT8" t="s">
        <v>6</v>
      </c>
      <c r="BP8" t="s">
        <v>6</v>
      </c>
    </row>
    <row r="9" spans="1:80" x14ac:dyDescent="0.35">
      <c r="A9" s="97"/>
      <c r="B9" s="102" t="s">
        <v>9</v>
      </c>
      <c r="C9" s="131">
        <f>G182</f>
        <v>9.6849259064092639</v>
      </c>
      <c r="D9" s="97"/>
      <c r="E9" s="97"/>
      <c r="F9" s="97"/>
      <c r="G9" s="97"/>
      <c r="H9" s="97"/>
      <c r="I9" s="97"/>
      <c r="J9" s="97"/>
      <c r="K9" s="97"/>
      <c r="L9" s="97"/>
      <c r="M9" s="117"/>
      <c r="N9" s="97"/>
      <c r="O9" s="128"/>
      <c r="P9" s="126"/>
      <c r="Q9" s="97"/>
      <c r="R9" s="97"/>
      <c r="S9" s="97"/>
      <c r="X9">
        <v>1</v>
      </c>
      <c r="Y9" s="37" t="s">
        <v>7</v>
      </c>
      <c r="AT9">
        <v>1</v>
      </c>
      <c r="AU9" s="37" t="s">
        <v>7</v>
      </c>
      <c r="BP9">
        <v>1</v>
      </c>
      <c r="BQ9" s="37" t="s">
        <v>7</v>
      </c>
    </row>
    <row r="10" spans="1:80" x14ac:dyDescent="0.35">
      <c r="A10" s="97"/>
      <c r="B10" s="102" t="s">
        <v>10</v>
      </c>
      <c r="C10" s="131">
        <f>G247</f>
        <v>5.2809651851730637</v>
      </c>
      <c r="D10" s="97"/>
      <c r="E10" s="97"/>
      <c r="F10" s="97"/>
      <c r="G10" s="97"/>
      <c r="H10" s="97"/>
      <c r="I10" s="97"/>
      <c r="J10" s="97"/>
      <c r="K10" s="120" t="s">
        <v>31</v>
      </c>
      <c r="L10" s="122">
        <v>0.25</v>
      </c>
      <c r="M10" s="120" t="s">
        <v>30</v>
      </c>
      <c r="N10" s="122">
        <v>0.5</v>
      </c>
      <c r="O10" s="128">
        <f>1-EXP(-P10*$E$2)</f>
        <v>0.3123137259455524</v>
      </c>
      <c r="P10" s="126">
        <f>AO32</f>
        <v>11.232676261827974</v>
      </c>
      <c r="Q10" s="97"/>
      <c r="R10" s="97"/>
      <c r="S10" s="97"/>
      <c r="X10">
        <v>2</v>
      </c>
      <c r="Y10" s="37" t="s">
        <v>8</v>
      </c>
      <c r="AF10" s="11"/>
      <c r="AT10">
        <v>2</v>
      </c>
      <c r="AU10" s="37" t="s">
        <v>8</v>
      </c>
      <c r="BB10" s="11"/>
      <c r="BP10">
        <v>2</v>
      </c>
      <c r="BQ10" s="37" t="s">
        <v>8</v>
      </c>
      <c r="BX10" s="11"/>
    </row>
    <row r="11" spans="1:80" x14ac:dyDescent="0.35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117">
        <f>O7*N7+O10*N10+O13*N13</f>
        <v>0.27632743852302177</v>
      </c>
      <c r="L11" s="97"/>
      <c r="M11" s="117"/>
      <c r="N11" s="97"/>
      <c r="O11" s="128"/>
      <c r="P11" s="126"/>
      <c r="Q11" s="97"/>
      <c r="R11" s="97"/>
      <c r="S11" s="97"/>
      <c r="X11">
        <v>3</v>
      </c>
      <c r="Y11" s="37" t="s">
        <v>9</v>
      </c>
      <c r="AF11" s="11"/>
      <c r="AT11">
        <v>3</v>
      </c>
      <c r="AU11" s="37" t="s">
        <v>9</v>
      </c>
      <c r="BB11" s="11"/>
      <c r="BP11">
        <v>3</v>
      </c>
      <c r="BQ11" s="37" t="s">
        <v>9</v>
      </c>
      <c r="BX11" s="11"/>
    </row>
    <row r="12" spans="1:80" x14ac:dyDescent="0.35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117"/>
      <c r="L12" s="97"/>
      <c r="M12" s="123"/>
      <c r="N12" s="97"/>
      <c r="O12" s="128"/>
      <c r="P12" s="126"/>
      <c r="Q12" s="97"/>
      <c r="R12" s="97"/>
      <c r="S12" s="97"/>
      <c r="X12">
        <v>4</v>
      </c>
      <c r="Y12" s="37" t="s">
        <v>10</v>
      </c>
      <c r="AT12">
        <v>4</v>
      </c>
      <c r="AU12" s="37" t="s">
        <v>10</v>
      </c>
      <c r="BP12">
        <v>4</v>
      </c>
      <c r="BQ12" s="37" t="s">
        <v>10</v>
      </c>
    </row>
    <row r="13" spans="1:80" ht="13.15" thickBot="1" x14ac:dyDescent="0.4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117"/>
      <c r="L13" s="97"/>
      <c r="M13" s="122" t="s">
        <v>29</v>
      </c>
      <c r="N13" s="122">
        <v>0.25</v>
      </c>
      <c r="O13" s="128">
        <f>1-EXP(-P13*$E$2)</f>
        <v>0</v>
      </c>
      <c r="P13" s="126">
        <f>AO31</f>
        <v>0</v>
      </c>
      <c r="Q13" s="97"/>
      <c r="R13" s="97"/>
      <c r="S13" s="97"/>
    </row>
    <row r="14" spans="1:80" ht="15.4" x14ac:dyDescent="0.45">
      <c r="A14" s="97"/>
      <c r="B14" s="97"/>
      <c r="C14" s="97"/>
      <c r="D14" s="97"/>
      <c r="E14" s="97" t="s">
        <v>20</v>
      </c>
      <c r="F14" s="134" t="s">
        <v>82</v>
      </c>
      <c r="G14" s="134" t="s">
        <v>83</v>
      </c>
      <c r="H14" s="97"/>
      <c r="I14" s="97"/>
      <c r="J14" s="97"/>
      <c r="K14" s="117"/>
      <c r="L14" s="97"/>
      <c r="M14" s="97"/>
      <c r="N14" s="97"/>
      <c r="O14" s="128"/>
      <c r="P14" s="126"/>
      <c r="Q14" s="97"/>
      <c r="R14" s="97"/>
      <c r="S14" s="97"/>
      <c r="T14" s="53" t="s">
        <v>11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3" t="s">
        <v>11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L14" s="53" t="s">
        <v>11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5">
      <c r="A15" s="134" t="s">
        <v>82</v>
      </c>
      <c r="B15" s="134" t="s">
        <v>83</v>
      </c>
      <c r="C15" s="97"/>
      <c r="D15" s="97"/>
      <c r="E15" s="147">
        <v>0.05</v>
      </c>
      <c r="F15" s="97">
        <v>16.092393909117728</v>
      </c>
      <c r="G15" s="97" t="s">
        <v>7</v>
      </c>
      <c r="H15" s="97"/>
      <c r="I15" s="97"/>
      <c r="J15" s="97"/>
      <c r="K15" s="117"/>
      <c r="L15" s="97"/>
      <c r="M15" s="155" t="s">
        <v>42</v>
      </c>
      <c r="N15" s="155"/>
      <c r="O15" s="128"/>
      <c r="P15" s="126"/>
      <c r="Q15" s="97"/>
      <c r="R15" s="97"/>
      <c r="S15" s="97"/>
    </row>
    <row r="16" spans="1:80" s="51" customFormat="1" ht="15.4" x14ac:dyDescent="0.45">
      <c r="A16" s="131">
        <f>MAX(G52,G117,G182,G247)</f>
        <v>10.935148456403384</v>
      </c>
      <c r="B16" s="102" t="str">
        <f>_xlfn.XLOOKUP(C146,C7:C10,B7:B10)</f>
        <v>No Partnership / No Expansion</v>
      </c>
      <c r="C16" s="97"/>
      <c r="D16" s="97"/>
      <c r="E16" s="147">
        <v>0.1</v>
      </c>
      <c r="F16" s="97">
        <v>15.33961882624823</v>
      </c>
      <c r="G16" s="97" t="s">
        <v>7</v>
      </c>
      <c r="H16" s="97"/>
      <c r="I16" s="97"/>
      <c r="J16" s="97"/>
      <c r="K16" s="117"/>
      <c r="L16" s="97"/>
      <c r="M16" s="97"/>
      <c r="N16" s="97"/>
      <c r="O16" s="128"/>
      <c r="P16" s="126"/>
      <c r="Q16" s="97"/>
      <c r="R16" s="97"/>
      <c r="S16" s="97"/>
      <c r="T16" s="49"/>
      <c r="U16" s="49" t="s">
        <v>12</v>
      </c>
      <c r="V16" s="49"/>
      <c r="W16" s="49"/>
      <c r="X16" s="49"/>
      <c r="Y16" s="49"/>
      <c r="Z16" s="49"/>
      <c r="AA16" s="55" t="s">
        <v>13</v>
      </c>
      <c r="AB16" s="55" t="s">
        <v>14</v>
      </c>
      <c r="AC16" s="56" t="s">
        <v>15</v>
      </c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P16" s="49"/>
      <c r="AQ16" s="49" t="s">
        <v>12</v>
      </c>
      <c r="AR16" s="49"/>
      <c r="AS16" s="49"/>
      <c r="AT16" s="49"/>
      <c r="AU16" s="49"/>
      <c r="AV16" s="49"/>
      <c r="AW16" s="55" t="s">
        <v>13</v>
      </c>
      <c r="AX16" s="55" t="s">
        <v>14</v>
      </c>
      <c r="AY16" s="56" t="s">
        <v>15</v>
      </c>
      <c r="AZ16" s="55"/>
      <c r="BA16" s="55"/>
      <c r="BB16" s="55"/>
      <c r="BC16" s="55"/>
      <c r="BD16" s="55"/>
      <c r="BE16" s="55"/>
      <c r="BF16" s="55"/>
      <c r="BG16" s="55"/>
      <c r="BH16" s="55"/>
      <c r="BL16" s="49"/>
      <c r="BM16" s="49" t="s">
        <v>12</v>
      </c>
      <c r="BN16" s="49"/>
      <c r="BO16" s="49"/>
      <c r="BP16" s="49"/>
      <c r="BQ16" s="49"/>
      <c r="BR16" s="49"/>
      <c r="BS16" s="55" t="s">
        <v>13</v>
      </c>
      <c r="BT16" s="55" t="s">
        <v>14</v>
      </c>
      <c r="BU16" s="56" t="s">
        <v>15</v>
      </c>
      <c r="BV16" s="55"/>
      <c r="BW16" s="55"/>
      <c r="BX16" s="55"/>
      <c r="BY16" s="55"/>
      <c r="BZ16" s="55"/>
      <c r="CA16" s="55"/>
      <c r="CB16" s="55"/>
    </row>
    <row r="17" spans="1:85" x14ac:dyDescent="0.35">
      <c r="A17" s="97"/>
      <c r="B17" s="97"/>
      <c r="C17" s="97"/>
      <c r="D17" s="97"/>
      <c r="E17" s="147">
        <v>0.15</v>
      </c>
      <c r="F17" s="97">
        <v>14.576728972535221</v>
      </c>
      <c r="G17" s="97" t="s">
        <v>7</v>
      </c>
      <c r="H17" s="97"/>
      <c r="I17" s="97"/>
      <c r="J17" s="97"/>
      <c r="K17" s="117"/>
      <c r="L17" s="97"/>
      <c r="M17" s="120" t="s">
        <v>31</v>
      </c>
      <c r="N17" s="122">
        <v>0.25</v>
      </c>
      <c r="O17" s="128">
        <f>1-EXP(-P17*$E$2)</f>
        <v>0.4806823022009824</v>
      </c>
      <c r="P17" s="126">
        <f>AN33</f>
        <v>19.657183458198954</v>
      </c>
      <c r="Q17" s="97"/>
      <c r="R17" s="97"/>
      <c r="S17" s="97"/>
      <c r="T17" s="2"/>
      <c r="U17" s="4"/>
      <c r="V17" s="5"/>
      <c r="W17" s="5"/>
      <c r="X17" s="5"/>
      <c r="Y17" s="5"/>
      <c r="Z17" s="5"/>
      <c r="AA17" s="5"/>
      <c r="AB17" s="5"/>
      <c r="AC17" s="15"/>
      <c r="AD17" s="23"/>
      <c r="AE17" s="3"/>
      <c r="AF17" s="3"/>
      <c r="AG17" s="3"/>
      <c r="AH17" s="3"/>
      <c r="AI17" s="3"/>
      <c r="AJ17" s="3"/>
      <c r="AK17" s="3"/>
      <c r="AL17" s="3"/>
      <c r="AM17" s="3"/>
      <c r="AP17" s="2"/>
      <c r="AQ17" s="4"/>
      <c r="AR17" s="5"/>
      <c r="AS17" s="5"/>
      <c r="AT17" s="5"/>
      <c r="AU17" s="5"/>
      <c r="AV17" s="5"/>
      <c r="AW17" s="5"/>
      <c r="AX17" s="5"/>
      <c r="AY17" s="15"/>
      <c r="AZ17" s="23"/>
      <c r="BA17" s="3"/>
      <c r="BB17" s="3"/>
      <c r="BC17" s="3"/>
      <c r="BD17" s="3"/>
      <c r="BE17" s="3"/>
      <c r="BF17" s="3"/>
      <c r="BG17" s="3"/>
      <c r="BH17" s="3"/>
      <c r="BL17" s="2"/>
      <c r="BM17" s="4"/>
      <c r="BN17" s="5"/>
      <c r="BO17" s="5"/>
      <c r="BP17" s="5"/>
      <c r="BQ17" s="5"/>
      <c r="BR17" s="5"/>
      <c r="BS17" s="5"/>
      <c r="BT17" s="5"/>
      <c r="BU17" s="15"/>
      <c r="BV17" s="23"/>
      <c r="BW17" s="3"/>
      <c r="BX17" s="3"/>
      <c r="BY17" s="3"/>
      <c r="BZ17" s="3"/>
      <c r="CA17" s="3"/>
      <c r="CB17" s="3"/>
    </row>
    <row r="18" spans="1:85" x14ac:dyDescent="0.35">
      <c r="A18" s="97"/>
      <c r="B18" s="97"/>
      <c r="C18" s="97"/>
      <c r="D18" s="97"/>
      <c r="E18" s="147">
        <v>0.2</v>
      </c>
      <c r="F18" s="97">
        <v>13.803651088833968</v>
      </c>
      <c r="G18" s="97" t="s">
        <v>7</v>
      </c>
      <c r="H18" s="97"/>
      <c r="I18" s="155" t="s">
        <v>45</v>
      </c>
      <c r="J18" s="164"/>
      <c r="K18" s="117"/>
      <c r="L18" s="97"/>
      <c r="M18" s="117"/>
      <c r="N18" s="97"/>
      <c r="O18" s="128"/>
      <c r="P18" s="126"/>
      <c r="Q18" s="97"/>
      <c r="R18" s="97"/>
      <c r="S18" s="97"/>
      <c r="T18" s="24" t="s">
        <v>16</v>
      </c>
      <c r="U18" s="16" t="s">
        <v>17</v>
      </c>
      <c r="V18" s="3"/>
      <c r="W18" s="3"/>
      <c r="X18" s="3"/>
      <c r="Y18" s="3"/>
      <c r="Z18" s="3"/>
      <c r="AA18" s="17" t="s">
        <v>18</v>
      </c>
      <c r="AB18" s="27">
        <f>$H$1</f>
        <v>0.08</v>
      </c>
      <c r="AC18" s="25" t="s">
        <v>19</v>
      </c>
      <c r="AF18" s="26"/>
      <c r="AG18" s="26"/>
      <c r="AH18" s="26"/>
      <c r="AI18" s="26"/>
      <c r="AJ18" s="26"/>
      <c r="AK18" s="26"/>
      <c r="AL18" s="3"/>
      <c r="AM18" s="57"/>
      <c r="AP18" s="24" t="s">
        <v>16</v>
      </c>
      <c r="AQ18" s="16" t="s">
        <v>17</v>
      </c>
      <c r="AR18" s="3"/>
      <c r="AS18" s="3"/>
      <c r="AT18" s="3"/>
      <c r="AU18" s="3"/>
      <c r="AV18" s="3"/>
      <c r="AW18" s="17" t="s">
        <v>18</v>
      </c>
      <c r="AX18" s="27">
        <f>$H$1</f>
        <v>0.08</v>
      </c>
      <c r="AY18" s="25" t="s">
        <v>19</v>
      </c>
      <c r="BB18" s="26"/>
      <c r="BC18" s="26"/>
      <c r="BD18" s="26"/>
      <c r="BE18" s="26"/>
      <c r="BF18" s="26"/>
      <c r="BG18" s="26"/>
      <c r="BH18" s="3"/>
      <c r="BL18" s="24" t="s">
        <v>16</v>
      </c>
      <c r="BM18" s="16" t="s">
        <v>17</v>
      </c>
      <c r="BN18" s="3"/>
      <c r="BO18" s="3"/>
      <c r="BP18" s="3"/>
      <c r="BQ18" s="3"/>
      <c r="BR18" s="3"/>
      <c r="BS18" s="17" t="s">
        <v>18</v>
      </c>
      <c r="BT18" s="27">
        <f>$H$1</f>
        <v>0.08</v>
      </c>
      <c r="BU18" s="25" t="s">
        <v>19</v>
      </c>
      <c r="BX18" s="26"/>
      <c r="BY18" s="26"/>
      <c r="BZ18" s="26"/>
      <c r="CA18" s="26"/>
      <c r="CB18" s="26"/>
    </row>
    <row r="19" spans="1:85" x14ac:dyDescent="0.35">
      <c r="A19" s="97" t="s">
        <v>24</v>
      </c>
      <c r="B19" s="97" t="s">
        <v>82</v>
      </c>
      <c r="C19" s="97" t="s">
        <v>83</v>
      </c>
      <c r="D19" s="97"/>
      <c r="E19" s="147">
        <v>0.25</v>
      </c>
      <c r="F19" s="97">
        <v>13.020314494358155</v>
      </c>
      <c r="G19" s="97" t="s">
        <v>7</v>
      </c>
      <c r="H19" s="97"/>
      <c r="I19" s="97"/>
      <c r="J19" s="97"/>
      <c r="K19" s="117"/>
      <c r="L19" s="97"/>
      <c r="M19" s="117"/>
      <c r="N19" s="97"/>
      <c r="O19" s="128"/>
      <c r="P19" s="126"/>
      <c r="Q19" s="97"/>
      <c r="R19" s="97"/>
      <c r="S19" s="97"/>
      <c r="T19" s="24" t="s">
        <v>16</v>
      </c>
      <c r="U19" s="16" t="s">
        <v>20</v>
      </c>
      <c r="V19" s="3"/>
      <c r="W19" s="3"/>
      <c r="X19" s="3"/>
      <c r="Y19" s="3"/>
      <c r="Z19" s="3"/>
      <c r="AA19" s="17" t="s">
        <v>18</v>
      </c>
      <c r="AB19" s="91">
        <f>$H$2</f>
        <v>0.38</v>
      </c>
      <c r="AC19" s="25" t="s">
        <v>21</v>
      </c>
      <c r="AF19" s="26"/>
      <c r="AG19" s="26"/>
      <c r="AH19" s="26"/>
      <c r="AI19" s="26"/>
      <c r="AJ19" s="26"/>
      <c r="AK19" s="26"/>
      <c r="AL19" s="3"/>
      <c r="AM19" s="57"/>
      <c r="AP19" s="24" t="s">
        <v>16</v>
      </c>
      <c r="AQ19" s="16" t="s">
        <v>20</v>
      </c>
      <c r="AR19" s="3"/>
      <c r="AS19" s="3"/>
      <c r="AT19" s="3"/>
      <c r="AU19" s="3"/>
      <c r="AV19" s="3"/>
      <c r="AW19" s="17" t="s">
        <v>18</v>
      </c>
      <c r="AX19" s="91">
        <f>$H$2</f>
        <v>0.38</v>
      </c>
      <c r="AY19" s="25" t="s">
        <v>21</v>
      </c>
      <c r="BB19" s="26"/>
      <c r="BC19" s="26"/>
      <c r="BD19" s="26"/>
      <c r="BE19" s="26"/>
      <c r="BF19" s="26"/>
      <c r="BG19" s="26"/>
      <c r="BH19" s="3"/>
      <c r="BL19" s="24" t="s">
        <v>16</v>
      </c>
      <c r="BM19" s="16" t="s">
        <v>20</v>
      </c>
      <c r="BN19" s="3"/>
      <c r="BO19" s="3"/>
      <c r="BP19" s="3"/>
      <c r="BQ19" s="3"/>
      <c r="BR19" s="3"/>
      <c r="BS19" s="17" t="s">
        <v>18</v>
      </c>
      <c r="BT19" s="91">
        <f>$H$2</f>
        <v>0.38</v>
      </c>
      <c r="BU19" s="25" t="s">
        <v>21</v>
      </c>
      <c r="BX19" s="26"/>
      <c r="BY19" s="26"/>
      <c r="BZ19" s="26"/>
      <c r="CA19" s="26"/>
      <c r="CB19" s="26"/>
    </row>
    <row r="20" spans="1:85" x14ac:dyDescent="0.35">
      <c r="A20" s="144">
        <v>0.85</v>
      </c>
      <c r="B20" s="97">
        <v>32.877567022006247</v>
      </c>
      <c r="C20" s="97" t="s">
        <v>10</v>
      </c>
      <c r="D20" s="147"/>
      <c r="E20" s="147">
        <v>0.3</v>
      </c>
      <c r="F20" s="97">
        <v>12.226651176120383</v>
      </c>
      <c r="G20" s="97" t="s">
        <v>7</v>
      </c>
      <c r="H20" s="97"/>
      <c r="I20" s="120" t="s">
        <v>31</v>
      </c>
      <c r="J20" s="122">
        <v>0.25</v>
      </c>
      <c r="K20" s="120" t="s">
        <v>30</v>
      </c>
      <c r="L20" s="122">
        <v>0.5</v>
      </c>
      <c r="M20" s="120" t="s">
        <v>30</v>
      </c>
      <c r="N20" s="122">
        <v>0.5</v>
      </c>
      <c r="O20" s="128">
        <f>1-EXP(-P20*$E$2)</f>
        <v>0.3123137259455524</v>
      </c>
      <c r="P20" s="126">
        <f>AN32</f>
        <v>11.232676261827974</v>
      </c>
      <c r="Q20" s="97"/>
      <c r="R20" s="97"/>
      <c r="S20" s="97"/>
      <c r="T20" s="24"/>
      <c r="U20" s="16" t="s">
        <v>22</v>
      </c>
      <c r="V20" s="3"/>
      <c r="W20" s="3"/>
      <c r="X20" s="3"/>
      <c r="Y20" s="3"/>
      <c r="Z20" s="3"/>
      <c r="AA20" s="17" t="s">
        <v>18</v>
      </c>
      <c r="AB20" s="91">
        <v>0.6</v>
      </c>
      <c r="AC20" s="25" t="s">
        <v>23</v>
      </c>
      <c r="AF20" s="26"/>
      <c r="AG20" s="26"/>
      <c r="AH20" s="26"/>
      <c r="AI20" s="26"/>
      <c r="AJ20" s="26"/>
      <c r="AK20" s="26"/>
      <c r="AL20" s="3"/>
      <c r="AM20" s="57"/>
      <c r="AP20" s="24"/>
      <c r="AQ20" s="16" t="s">
        <v>22</v>
      </c>
      <c r="AR20" s="3"/>
      <c r="AS20" s="3"/>
      <c r="AT20" s="3"/>
      <c r="AU20" s="3"/>
      <c r="AV20" s="3"/>
      <c r="AW20" s="17" t="s">
        <v>18</v>
      </c>
      <c r="AX20" s="91">
        <v>0.6</v>
      </c>
      <c r="AY20" s="25" t="s">
        <v>23</v>
      </c>
      <c r="BB20" s="26"/>
      <c r="BC20" s="26"/>
      <c r="BD20" s="26"/>
      <c r="BE20" s="26"/>
      <c r="BF20" s="26"/>
      <c r="BG20" s="26"/>
      <c r="BH20" s="3"/>
      <c r="BL20" s="24"/>
      <c r="BM20" s="16" t="s">
        <v>22</v>
      </c>
      <c r="BN20" s="3"/>
      <c r="BO20" s="3"/>
      <c r="BP20" s="3"/>
      <c r="BQ20" s="3"/>
      <c r="BR20" s="3"/>
      <c r="BS20" s="17" t="s">
        <v>18</v>
      </c>
      <c r="BT20" s="91">
        <v>0.6</v>
      </c>
      <c r="BU20" s="25" t="s">
        <v>23</v>
      </c>
      <c r="BX20" s="26"/>
      <c r="BY20" s="26"/>
      <c r="BZ20" s="26"/>
      <c r="CA20" s="26"/>
      <c r="CB20" s="26"/>
    </row>
    <row r="21" spans="1:85" x14ac:dyDescent="0.35">
      <c r="A21" s="144">
        <v>0.86</v>
      </c>
      <c r="B21" s="97">
        <v>31.068471171329776</v>
      </c>
      <c r="C21" s="97" t="s">
        <v>10</v>
      </c>
      <c r="D21" s="147"/>
      <c r="E21" s="147">
        <v>0.35</v>
      </c>
      <c r="F21" s="97">
        <v>11.422595875599235</v>
      </c>
      <c r="G21" s="97" t="s">
        <v>7</v>
      </c>
      <c r="H21" s="97"/>
      <c r="I21" s="117">
        <f>L10*K11+L20*K21+L30*K31</f>
        <v>0.24804954234057702</v>
      </c>
      <c r="J21" s="97"/>
      <c r="K21" s="117">
        <f>O17*N17+O20*N20+O23*N23</f>
        <v>0.27632743852302177</v>
      </c>
      <c r="L21" s="97"/>
      <c r="M21" s="117"/>
      <c r="N21" s="97"/>
      <c r="O21" s="128"/>
      <c r="P21" s="126"/>
      <c r="Q21" s="97"/>
      <c r="R21" s="97"/>
      <c r="S21" s="97"/>
      <c r="T21" s="24"/>
      <c r="U21" s="16" t="s">
        <v>24</v>
      </c>
      <c r="V21" s="3"/>
      <c r="W21" s="3"/>
      <c r="X21" s="3"/>
      <c r="Y21" s="3"/>
      <c r="Z21" s="3"/>
      <c r="AA21" s="17" t="s">
        <v>18</v>
      </c>
      <c r="AB21" s="28">
        <f>$H$3</f>
        <v>0.98</v>
      </c>
      <c r="AC21" s="25" t="s">
        <v>25</v>
      </c>
      <c r="AF21" s="40"/>
      <c r="AG21" s="40"/>
      <c r="AH21" s="40"/>
      <c r="AI21" s="40"/>
      <c r="AJ21" s="40"/>
      <c r="AK21" s="40"/>
      <c r="AL21" s="3"/>
      <c r="AM21" s="57"/>
      <c r="AP21" s="24"/>
      <c r="AQ21" s="16" t="s">
        <v>24</v>
      </c>
      <c r="AR21" s="3"/>
      <c r="AS21" s="3"/>
      <c r="AT21" s="3"/>
      <c r="AU21" s="3"/>
      <c r="AV21" s="3"/>
      <c r="AW21" s="17" t="s">
        <v>18</v>
      </c>
      <c r="AX21" s="28">
        <f>$H$3</f>
        <v>0.98</v>
      </c>
      <c r="AY21" s="25" t="s">
        <v>25</v>
      </c>
      <c r="BB21" s="40"/>
      <c r="BC21" s="40"/>
      <c r="BD21" s="40"/>
      <c r="BE21" s="40"/>
      <c r="BF21" s="40"/>
      <c r="BG21" s="40"/>
      <c r="BH21" s="3"/>
      <c r="BL21" s="24"/>
      <c r="BM21" s="16" t="s">
        <v>24</v>
      </c>
      <c r="BN21" s="3"/>
      <c r="BO21" s="3"/>
      <c r="BP21" s="3"/>
      <c r="BQ21" s="3"/>
      <c r="BR21" s="3"/>
      <c r="BS21" s="17" t="s">
        <v>18</v>
      </c>
      <c r="BT21" s="28">
        <f>$H$3</f>
        <v>0.98</v>
      </c>
      <c r="BU21" s="25" t="s">
        <v>25</v>
      </c>
      <c r="BX21" s="40"/>
      <c r="BY21" s="40"/>
      <c r="BZ21" s="40"/>
      <c r="CA21" s="40"/>
      <c r="CB21" s="40"/>
    </row>
    <row r="22" spans="1:85" x14ac:dyDescent="0.35">
      <c r="A22" s="144">
        <v>0.87</v>
      </c>
      <c r="B22" s="97">
        <v>29.218000920216607</v>
      </c>
      <c r="C22" s="97" t="s">
        <v>10</v>
      </c>
      <c r="D22" s="147"/>
      <c r="E22" s="147">
        <v>0.4</v>
      </c>
      <c r="F22" s="97">
        <v>10.608086172385836</v>
      </c>
      <c r="G22" s="97" t="s">
        <v>7</v>
      </c>
      <c r="H22" s="97"/>
      <c r="I22" s="117"/>
      <c r="J22" s="97"/>
      <c r="K22" s="117"/>
      <c r="L22" s="97"/>
      <c r="M22" s="123"/>
      <c r="N22" s="97"/>
      <c r="O22" s="128"/>
      <c r="P22" s="126"/>
      <c r="Q22" s="97"/>
      <c r="R22" s="97"/>
      <c r="S22" s="97"/>
      <c r="T22" s="24"/>
      <c r="U22" s="16"/>
      <c r="V22" s="3"/>
      <c r="W22" s="3"/>
      <c r="X22" s="3"/>
      <c r="Y22" s="3"/>
      <c r="Z22" s="3"/>
      <c r="AA22" s="17"/>
      <c r="AB22" s="40"/>
      <c r="AC22" s="25"/>
      <c r="AF22" s="40"/>
      <c r="AG22" s="40"/>
      <c r="AH22" s="40"/>
      <c r="AI22" s="40"/>
      <c r="AJ22" s="40"/>
      <c r="AK22" s="40"/>
      <c r="AL22" s="3"/>
      <c r="AM22" s="57"/>
      <c r="AP22" s="24"/>
      <c r="AQ22" s="16"/>
      <c r="AR22" s="3"/>
      <c r="AS22" s="3"/>
      <c r="AT22" s="3"/>
      <c r="AU22" s="3"/>
      <c r="AV22" s="3"/>
      <c r="AW22" s="17"/>
      <c r="AX22" s="40"/>
      <c r="AY22" s="25"/>
      <c r="BB22" s="40"/>
      <c r="BC22" s="40"/>
      <c r="BD22" s="40"/>
      <c r="BE22" s="40"/>
      <c r="BF22" s="40"/>
      <c r="BG22" s="40"/>
      <c r="BH22" s="3"/>
      <c r="BL22" s="24"/>
      <c r="BM22" s="16"/>
      <c r="BN22" s="3"/>
      <c r="BO22" s="3"/>
      <c r="BP22" s="3"/>
      <c r="BQ22" s="3"/>
      <c r="BR22" s="3"/>
      <c r="BS22" s="17"/>
      <c r="BT22" s="40"/>
      <c r="BU22" s="25"/>
      <c r="BX22" s="40"/>
      <c r="BY22" s="40"/>
      <c r="BZ22" s="40"/>
      <c r="CA22" s="40"/>
      <c r="CB22" s="40"/>
    </row>
    <row r="23" spans="1:85" x14ac:dyDescent="0.35">
      <c r="A23" s="144">
        <v>0.88</v>
      </c>
      <c r="B23" s="97">
        <v>27.32367472002289</v>
      </c>
      <c r="C23" s="97" t="s">
        <v>10</v>
      </c>
      <c r="D23" s="147"/>
      <c r="E23" s="147">
        <v>0.45</v>
      </c>
      <c r="F23" s="97">
        <v>9.7830625645687768</v>
      </c>
      <c r="G23" s="97" t="s">
        <v>7</v>
      </c>
      <c r="H23" s="97"/>
      <c r="I23" s="117"/>
      <c r="J23" s="97"/>
      <c r="K23" s="117"/>
      <c r="L23" s="97"/>
      <c r="M23" s="122" t="s">
        <v>29</v>
      </c>
      <c r="N23" s="122">
        <v>0.25</v>
      </c>
      <c r="O23" s="128">
        <f>1-EXP(-P23*$E$2)</f>
        <v>0</v>
      </c>
      <c r="P23" s="126">
        <f>AN31</f>
        <v>0</v>
      </c>
      <c r="Q23" s="97"/>
      <c r="R23" s="97"/>
      <c r="S23" s="97"/>
      <c r="T23" s="24"/>
      <c r="U23" s="16"/>
      <c r="V23" s="3"/>
      <c r="W23" s="3"/>
      <c r="X23" s="3"/>
      <c r="Y23" s="3"/>
      <c r="Z23" s="3"/>
      <c r="AA23" s="17"/>
      <c r="AB23" s="39"/>
      <c r="AC23" s="25"/>
      <c r="AF23" s="39"/>
      <c r="AG23" s="39"/>
      <c r="AH23" s="39"/>
      <c r="AI23" s="39"/>
      <c r="AJ23" s="39"/>
      <c r="AK23" s="39"/>
      <c r="AL23" s="3"/>
      <c r="AM23" s="57"/>
      <c r="AP23" s="24"/>
      <c r="AQ23" s="16"/>
      <c r="AR23" s="3"/>
      <c r="AS23" s="3"/>
      <c r="AT23" s="3"/>
      <c r="AU23" s="3"/>
      <c r="AV23" s="3"/>
      <c r="AW23" s="17"/>
      <c r="AX23" s="39"/>
      <c r="AY23" s="25"/>
      <c r="BB23" s="39"/>
      <c r="BC23" s="39"/>
      <c r="BD23" s="39"/>
      <c r="BE23" s="39"/>
      <c r="BF23" s="39"/>
      <c r="BG23" s="39"/>
      <c r="BH23" s="3"/>
      <c r="BL23" s="24"/>
      <c r="BM23" s="16"/>
      <c r="BN23" s="3"/>
      <c r="BO23" s="3"/>
      <c r="BP23" s="3"/>
      <c r="BQ23" s="3"/>
      <c r="BR23" s="3"/>
      <c r="BS23" s="17"/>
      <c r="BT23" s="39"/>
      <c r="BU23" s="25"/>
      <c r="BX23" s="39"/>
      <c r="BY23" s="39"/>
      <c r="BZ23" s="39"/>
      <c r="CA23" s="39"/>
      <c r="CB23" s="39"/>
    </row>
    <row r="24" spans="1:85" x14ac:dyDescent="0.35">
      <c r="A24" s="144">
        <v>0.89</v>
      </c>
      <c r="B24" s="97">
        <v>25.382820018603589</v>
      </c>
      <c r="C24" s="97" t="s">
        <v>10</v>
      </c>
      <c r="D24" s="147"/>
      <c r="E24" s="147">
        <v>0.5</v>
      </c>
      <c r="F24" s="97">
        <v>8.9474685456232912</v>
      </c>
      <c r="G24" s="97" t="s">
        <v>7</v>
      </c>
      <c r="H24" s="97"/>
      <c r="I24" s="117"/>
      <c r="J24" s="97"/>
      <c r="K24" s="117"/>
      <c r="L24" s="97"/>
      <c r="M24" s="97"/>
      <c r="N24" s="97"/>
      <c r="O24" s="128"/>
      <c r="P24" s="126"/>
      <c r="Q24" s="97"/>
      <c r="R24" s="97"/>
      <c r="S24" s="97"/>
      <c r="T24" s="24"/>
      <c r="U24" s="16"/>
      <c r="V24" s="3"/>
      <c r="W24" s="3"/>
      <c r="X24" s="3"/>
      <c r="Y24" s="3"/>
      <c r="Z24" s="3"/>
      <c r="AA24" s="17"/>
      <c r="AB24" s="39"/>
      <c r="AC24" s="25"/>
      <c r="AF24" s="39"/>
      <c r="AG24" s="39"/>
      <c r="AH24" s="39"/>
      <c r="AI24" s="39"/>
      <c r="AJ24" s="39"/>
      <c r="AK24" s="39"/>
      <c r="AL24" s="3"/>
      <c r="AM24" s="57"/>
      <c r="AP24" s="24"/>
      <c r="AQ24" s="16"/>
      <c r="AR24" s="3"/>
      <c r="AS24" s="3"/>
      <c r="AT24" s="3"/>
      <c r="AU24" s="3"/>
      <c r="AV24" s="3"/>
      <c r="AW24" s="17"/>
      <c r="AX24" s="39"/>
      <c r="AY24" s="25"/>
      <c r="BB24" s="39"/>
      <c r="BC24" s="39"/>
      <c r="BD24" s="39"/>
      <c r="BE24" s="39"/>
      <c r="BF24" s="39"/>
      <c r="BG24" s="39"/>
      <c r="BH24" s="3"/>
      <c r="BL24" s="24"/>
      <c r="BM24" s="16"/>
      <c r="BN24" s="3"/>
      <c r="BO24" s="3"/>
      <c r="BP24" s="3"/>
      <c r="BQ24" s="3"/>
      <c r="BR24" s="3"/>
      <c r="BS24" s="17"/>
      <c r="BT24" s="39"/>
      <c r="BU24" s="25"/>
      <c r="BX24" s="39"/>
      <c r="BY24" s="39"/>
      <c r="BZ24" s="39"/>
      <c r="CA24" s="39"/>
      <c r="CB24" s="39"/>
    </row>
    <row r="25" spans="1:85" x14ac:dyDescent="0.35">
      <c r="A25" s="144">
        <v>0.9</v>
      </c>
      <c r="B25" s="97">
        <v>23.392565334944138</v>
      </c>
      <c r="C25" s="97" t="s">
        <v>10</v>
      </c>
      <c r="D25" s="147"/>
      <c r="E25" s="147">
        <v>0.55000000000000004</v>
      </c>
      <c r="F25" s="97">
        <v>8.101250677579106</v>
      </c>
      <c r="G25" s="97" t="s">
        <v>7</v>
      </c>
      <c r="H25" s="97"/>
      <c r="I25" s="117"/>
      <c r="J25" s="97"/>
      <c r="K25" s="117"/>
      <c r="L25" s="97"/>
      <c r="M25" s="155" t="s">
        <v>42</v>
      </c>
      <c r="N25" s="155"/>
      <c r="O25" s="128"/>
      <c r="P25" s="126"/>
      <c r="Q25" s="97"/>
      <c r="R25" s="97"/>
      <c r="S25" s="97"/>
      <c r="T25" s="24" t="s">
        <v>16</v>
      </c>
      <c r="U25" s="18"/>
      <c r="V25" s="19"/>
      <c r="W25" s="19"/>
      <c r="X25" s="19"/>
      <c r="Y25" s="19"/>
      <c r="Z25" s="19"/>
      <c r="AA25" s="19"/>
      <c r="AB25" s="19"/>
      <c r="AC25" s="59"/>
      <c r="AD25" s="23"/>
      <c r="AE25" s="3"/>
      <c r="AF25" s="3"/>
      <c r="AG25" s="3"/>
      <c r="AH25" s="3"/>
      <c r="AI25" s="3"/>
      <c r="AJ25" s="3"/>
      <c r="AK25" s="3"/>
      <c r="AL25" s="3"/>
      <c r="AM25" s="57"/>
      <c r="AP25" s="24" t="s">
        <v>16</v>
      </c>
      <c r="AQ25" s="18"/>
      <c r="AR25" s="19"/>
      <c r="AS25" s="19"/>
      <c r="AT25" s="19"/>
      <c r="AU25" s="19"/>
      <c r="AV25" s="19"/>
      <c r="AW25" s="19"/>
      <c r="AX25" s="19"/>
      <c r="AY25" s="59"/>
      <c r="AZ25" s="23"/>
      <c r="BA25" s="3"/>
      <c r="BB25" s="3"/>
      <c r="BC25" s="3"/>
      <c r="BD25" s="3"/>
      <c r="BE25" s="3"/>
      <c r="BF25" s="3"/>
      <c r="BG25" s="3"/>
      <c r="BH25" s="3"/>
      <c r="BL25" s="24" t="s">
        <v>16</v>
      </c>
      <c r="BM25" s="18"/>
      <c r="BN25" s="19"/>
      <c r="BO25" s="19"/>
      <c r="BP25" s="19"/>
      <c r="BQ25" s="19"/>
      <c r="BR25" s="19"/>
      <c r="BS25" s="19"/>
      <c r="BT25" s="19"/>
      <c r="BU25" s="59"/>
      <c r="BV25" s="23"/>
      <c r="BW25" s="3"/>
      <c r="BX25" s="3"/>
      <c r="BY25" s="3"/>
      <c r="BZ25" s="3"/>
      <c r="CA25" s="3"/>
      <c r="CB25" s="3"/>
    </row>
    <row r="26" spans="1:85" ht="13.15" thickBot="1" x14ac:dyDescent="0.4">
      <c r="A26" s="144">
        <v>0.91</v>
      </c>
      <c r="B26" s="97">
        <v>21.349834628485446</v>
      </c>
      <c r="C26" s="97" t="s">
        <v>10</v>
      </c>
      <c r="D26" s="147"/>
      <c r="E26" s="97"/>
      <c r="F26" s="97"/>
      <c r="G26" s="97"/>
      <c r="H26" s="97"/>
      <c r="I26" s="117"/>
      <c r="J26" s="97"/>
      <c r="K26" s="117"/>
      <c r="L26" s="97"/>
      <c r="M26" s="97"/>
      <c r="N26" s="97"/>
      <c r="O26" s="128"/>
      <c r="P26" s="126"/>
      <c r="Q26" s="97"/>
      <c r="R26" s="97"/>
      <c r="S26" s="97"/>
      <c r="T26" s="24"/>
      <c r="U26" s="3"/>
      <c r="V26" s="3"/>
      <c r="W26" s="3"/>
      <c r="X26" s="3"/>
      <c r="Y26" s="3"/>
      <c r="Z26" s="3"/>
      <c r="AA26" s="3"/>
      <c r="AB26" s="3"/>
      <c r="AD26" s="23"/>
      <c r="AE26" s="3"/>
      <c r="AF26" s="3"/>
      <c r="AG26" s="3"/>
      <c r="AH26" s="3"/>
      <c r="AI26" s="3"/>
      <c r="AJ26" s="3"/>
      <c r="AK26" s="3"/>
      <c r="AL26" s="3"/>
      <c r="AM26" s="57"/>
      <c r="AP26" s="24"/>
      <c r="AQ26" s="3"/>
      <c r="AR26" s="3"/>
      <c r="AS26" s="3"/>
      <c r="AT26" s="3"/>
      <c r="AU26" s="3"/>
      <c r="AV26" s="3"/>
      <c r="AW26" s="3"/>
      <c r="AX26" s="3"/>
      <c r="AZ26" s="23"/>
      <c r="BA26" s="3"/>
      <c r="BB26" s="3"/>
      <c r="BC26" s="3"/>
      <c r="BD26" s="3"/>
      <c r="BE26" s="3"/>
      <c r="BF26" s="3"/>
      <c r="BG26" s="3"/>
      <c r="BH26" s="3"/>
      <c r="BL26" s="24"/>
      <c r="BM26" s="3"/>
      <c r="BN26" s="3"/>
      <c r="BO26" s="3"/>
      <c r="BP26" s="3"/>
      <c r="BQ26" s="3"/>
      <c r="BR26" s="3"/>
      <c r="BS26" s="3"/>
      <c r="BT26" s="3"/>
      <c r="BV26" s="23"/>
      <c r="BW26" s="3"/>
      <c r="BX26" s="3"/>
      <c r="BY26" s="3"/>
      <c r="BZ26" s="3"/>
      <c r="CA26" s="3"/>
      <c r="CB26" s="3"/>
    </row>
    <row r="27" spans="1:85" ht="15.4" x14ac:dyDescent="0.45">
      <c r="A27" s="144">
        <v>0.92</v>
      </c>
      <c r="B27" s="97">
        <v>19.251344722806497</v>
      </c>
      <c r="C27" s="97" t="s">
        <v>10</v>
      </c>
      <c r="D27" s="147"/>
      <c r="E27" s="97"/>
      <c r="F27" s="97"/>
      <c r="G27" s="97"/>
      <c r="H27" s="97"/>
      <c r="I27" s="117"/>
      <c r="J27" s="97"/>
      <c r="K27" s="117"/>
      <c r="L27" s="97"/>
      <c r="M27" s="120" t="s">
        <v>31</v>
      </c>
      <c r="N27" s="122">
        <v>0.25</v>
      </c>
      <c r="O27" s="128">
        <f>1-EXP(-P27*$E$2)</f>
        <v>0.29316876302887829</v>
      </c>
      <c r="P27" s="126">
        <f>AM33</f>
        <v>10.408900337724177</v>
      </c>
      <c r="Q27" s="97"/>
      <c r="R27" s="97"/>
      <c r="S27" s="97"/>
      <c r="T27" s="53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53" t="s">
        <v>26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L27" s="53" t="s">
        <v>26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5" ht="15.4" x14ac:dyDescent="0.45">
      <c r="A28" s="144">
        <v>0.93</v>
      </c>
      <c r="B28" s="97">
        <v>17.093606632046292</v>
      </c>
      <c r="C28" s="97" t="s">
        <v>10</v>
      </c>
      <c r="D28" s="147"/>
      <c r="E28" s="97"/>
      <c r="F28" s="97"/>
      <c r="G28" s="97"/>
      <c r="H28" s="97"/>
      <c r="I28" s="117"/>
      <c r="J28" s="97"/>
      <c r="K28" s="117"/>
      <c r="L28" s="97"/>
      <c r="M28" s="117"/>
      <c r="N28" s="97"/>
      <c r="O28" s="128"/>
      <c r="P28" s="126"/>
      <c r="Q28" s="97"/>
      <c r="R28" s="97"/>
      <c r="S28" s="97"/>
      <c r="T28" s="54"/>
      <c r="AM28" s="140" t="s">
        <v>33</v>
      </c>
      <c r="AP28" s="54"/>
      <c r="BL28" s="54"/>
    </row>
    <row r="29" spans="1:85" s="51" customFormat="1" ht="15.4" x14ac:dyDescent="0.45">
      <c r="A29" s="144">
        <v>0.94</v>
      </c>
      <c r="B29" s="97">
        <v>14.872931707668165</v>
      </c>
      <c r="C29" s="97" t="s">
        <v>10</v>
      </c>
      <c r="D29" s="147"/>
      <c r="E29" s="97"/>
      <c r="F29" s="97"/>
      <c r="G29" s="97"/>
      <c r="H29" s="97"/>
      <c r="I29" s="117"/>
      <c r="J29" s="97"/>
      <c r="K29" s="123"/>
      <c r="L29" s="97"/>
      <c r="M29" s="117"/>
      <c r="N29" s="97"/>
      <c r="O29" s="128"/>
      <c r="P29" s="126"/>
      <c r="Q29" s="97"/>
      <c r="R29" s="97"/>
      <c r="S29" s="97"/>
      <c r="T29" s="49"/>
      <c r="U29" s="49" t="s">
        <v>12</v>
      </c>
      <c r="V29" s="49"/>
      <c r="W29" s="49"/>
      <c r="X29" s="49"/>
      <c r="Y29" s="49"/>
      <c r="Z29" s="49"/>
      <c r="AA29" s="55" t="s">
        <v>13</v>
      </c>
      <c r="AB29" s="55" t="s">
        <v>27</v>
      </c>
      <c r="AC29" s="56"/>
      <c r="AD29" s="55" t="s">
        <v>28</v>
      </c>
      <c r="AE29" s="55" t="s">
        <v>15</v>
      </c>
      <c r="AF29" s="55" t="s">
        <v>29</v>
      </c>
      <c r="AG29" s="55" t="s">
        <v>30</v>
      </c>
      <c r="AH29" s="55" t="s">
        <v>31</v>
      </c>
      <c r="AI29" s="9"/>
      <c r="AJ29"/>
      <c r="AK29" s="55"/>
      <c r="AM29" s="55" t="s">
        <v>29</v>
      </c>
      <c r="AN29" s="55" t="s">
        <v>30</v>
      </c>
      <c r="AO29" s="55" t="s">
        <v>31</v>
      </c>
      <c r="AP29" s="49"/>
      <c r="AQ29" s="49" t="s">
        <v>12</v>
      </c>
      <c r="AR29" s="49"/>
      <c r="AS29" s="49"/>
      <c r="AT29" s="49"/>
      <c r="AU29" s="49"/>
      <c r="AV29" s="49"/>
      <c r="AW29" s="55" t="s">
        <v>13</v>
      </c>
      <c r="AX29" s="55" t="s">
        <v>27</v>
      </c>
      <c r="AY29" s="56"/>
      <c r="AZ29" s="55" t="s">
        <v>28</v>
      </c>
      <c r="BA29" s="55" t="s">
        <v>15</v>
      </c>
      <c r="BB29" s="55" t="s">
        <v>29</v>
      </c>
      <c r="BC29" s="55" t="s">
        <v>30</v>
      </c>
      <c r="BD29" s="55" t="s">
        <v>31</v>
      </c>
      <c r="BE29" s="9"/>
      <c r="BF29"/>
      <c r="BG29" s="55"/>
      <c r="BH29"/>
      <c r="BL29" s="49"/>
      <c r="BM29" s="49" t="s">
        <v>12</v>
      </c>
      <c r="BN29" s="49"/>
      <c r="BO29" s="49"/>
      <c r="BP29" s="49"/>
      <c r="BQ29" s="49"/>
      <c r="BR29" s="49"/>
      <c r="BS29" s="55" t="s">
        <v>13</v>
      </c>
      <c r="BT29" s="55" t="s">
        <v>27</v>
      </c>
      <c r="BU29" s="56"/>
      <c r="BV29" s="55" t="s">
        <v>28</v>
      </c>
      <c r="BW29" s="55" t="s">
        <v>15</v>
      </c>
      <c r="BX29" s="55" t="s">
        <v>29</v>
      </c>
      <c r="BY29" s="55" t="s">
        <v>30</v>
      </c>
      <c r="BZ29" s="55" t="s">
        <v>31</v>
      </c>
      <c r="CA29" s="9"/>
      <c r="CB29"/>
    </row>
    <row r="30" spans="1:85" x14ac:dyDescent="0.35">
      <c r="A30" s="144">
        <v>0.95</v>
      </c>
      <c r="B30" s="97">
        <v>12.585443560490425</v>
      </c>
      <c r="C30" s="97" t="s">
        <v>10</v>
      </c>
      <c r="D30" s="147"/>
      <c r="E30" s="97"/>
      <c r="F30" s="97"/>
      <c r="G30" s="97"/>
      <c r="H30" s="97"/>
      <c r="I30" s="117"/>
      <c r="J30" s="97"/>
      <c r="K30" s="122" t="s">
        <v>29</v>
      </c>
      <c r="L30" s="122">
        <v>0.25</v>
      </c>
      <c r="M30" s="120" t="s">
        <v>30</v>
      </c>
      <c r="N30" s="122">
        <v>0.5</v>
      </c>
      <c r="O30" s="128">
        <f>1-EXP(-P30*$E$2)</f>
        <v>0.17984732607204634</v>
      </c>
      <c r="P30" s="126">
        <f>AM32</f>
        <v>5.9479430501281021</v>
      </c>
      <c r="Q30" s="97"/>
      <c r="R30" s="97"/>
      <c r="S30" s="97"/>
      <c r="T30" s="24" t="s">
        <v>16</v>
      </c>
      <c r="U30" s="60" t="s">
        <v>32</v>
      </c>
      <c r="V30" s="5"/>
      <c r="W30" s="5"/>
      <c r="X30" s="5"/>
      <c r="Y30" s="5"/>
      <c r="Z30" s="5"/>
      <c r="AA30" s="5"/>
      <c r="AB30" s="5"/>
      <c r="AC30" s="14"/>
      <c r="AD30" s="21"/>
      <c r="AE30" s="5"/>
      <c r="AF30" s="5"/>
      <c r="AG30" s="5"/>
      <c r="AH30" s="5"/>
      <c r="AI30" s="58"/>
      <c r="AK30" s="145"/>
      <c r="AL30" s="142">
        <f>AA73</f>
        <v>11.232676261827974</v>
      </c>
      <c r="AM30" s="62">
        <v>1</v>
      </c>
      <c r="AN30" s="63">
        <v>2.5</v>
      </c>
      <c r="AO30" s="64">
        <v>5.5</v>
      </c>
      <c r="AP30" s="24" t="s">
        <v>16</v>
      </c>
      <c r="AQ30" s="60" t="s">
        <v>32</v>
      </c>
      <c r="AR30" s="5"/>
      <c r="AS30" s="5"/>
      <c r="AT30" s="5"/>
      <c r="AU30" s="5"/>
      <c r="AV30" s="5"/>
      <c r="AW30" s="5"/>
      <c r="AX30" s="5"/>
      <c r="AY30" s="14"/>
      <c r="AZ30" s="21"/>
      <c r="BA30" s="5"/>
      <c r="BB30" s="5"/>
      <c r="BC30" s="5"/>
      <c r="BD30" s="5"/>
      <c r="BE30" s="58"/>
      <c r="BI30" s="140" t="s">
        <v>33</v>
      </c>
      <c r="BL30" s="24" t="s">
        <v>16</v>
      </c>
      <c r="BM30" s="60" t="s">
        <v>32</v>
      </c>
      <c r="BN30" s="5"/>
      <c r="BO30" s="5"/>
      <c r="BP30" s="5"/>
      <c r="BQ30" s="5"/>
      <c r="BR30" s="5"/>
      <c r="BS30" s="5"/>
      <c r="BT30" s="5"/>
      <c r="BU30" s="14"/>
      <c r="BV30" s="21"/>
      <c r="BW30" s="5"/>
      <c r="BX30" s="5"/>
      <c r="BY30" s="5"/>
      <c r="BZ30" s="5"/>
      <c r="CA30" s="58"/>
      <c r="CE30" s="140" t="s">
        <v>33</v>
      </c>
    </row>
    <row r="31" spans="1:85" s="45" customFormat="1" ht="15.4" x14ac:dyDescent="0.45">
      <c r="A31" s="144">
        <v>0.96</v>
      </c>
      <c r="B31" s="97">
        <v>10.935148456403384</v>
      </c>
      <c r="C31" s="97" t="s">
        <v>7</v>
      </c>
      <c r="D31" s="147"/>
      <c r="E31" s="127" t="s">
        <v>90</v>
      </c>
      <c r="F31" s="134" t="s">
        <v>82</v>
      </c>
      <c r="G31" s="134" t="s">
        <v>83</v>
      </c>
      <c r="H31" s="97"/>
      <c r="I31" s="117"/>
      <c r="J31" s="97"/>
      <c r="K31" s="97">
        <f>O27*N27+O30*N30+O33*N33</f>
        <v>0.16321585379324274</v>
      </c>
      <c r="L31" s="97"/>
      <c r="M31" s="117"/>
      <c r="N31" s="97"/>
      <c r="O31" s="128"/>
      <c r="P31" s="126"/>
      <c r="Q31" s="97"/>
      <c r="R31" s="97"/>
      <c r="S31" s="97"/>
      <c r="T31" s="46" t="s">
        <v>16</v>
      </c>
      <c r="U31" s="140" t="s">
        <v>33</v>
      </c>
      <c r="V31" s="95"/>
      <c r="W31" s="95"/>
      <c r="X31" s="3"/>
      <c r="Y31" s="3"/>
      <c r="Z31" s="3"/>
      <c r="AA31" s="17" t="s">
        <v>34</v>
      </c>
      <c r="AB31" s="44">
        <v>2</v>
      </c>
      <c r="AC31" s="7"/>
      <c r="AD31" s="41">
        <f>INDEX(AF31:AH31,AB31)</f>
        <v>2.5</v>
      </c>
      <c r="AE31" s="7" t="s">
        <v>35</v>
      </c>
      <c r="AF31" s="62">
        <v>1</v>
      </c>
      <c r="AG31" s="63">
        <v>2.5</v>
      </c>
      <c r="AH31" s="64">
        <v>5.5</v>
      </c>
      <c r="AI31" s="58"/>
      <c r="AJ31" s="139" t="s">
        <v>42</v>
      </c>
      <c r="AK31" s="55" t="s">
        <v>29</v>
      </c>
      <c r="AL31" s="85">
        <v>9.75</v>
      </c>
      <c r="AM31">
        <f t="dataTable" ref="AM31:AO33" dt2D="1" dtr="1" r1="AD31" r2="AD35"/>
        <v>0</v>
      </c>
      <c r="AN31" s="95">
        <v>0</v>
      </c>
      <c r="AO31" s="95">
        <v>0</v>
      </c>
      <c r="AP31" s="46" t="s">
        <v>16</v>
      </c>
      <c r="AQ31" s="43" t="s">
        <v>33</v>
      </c>
      <c r="AR31" s="95"/>
      <c r="AS31" s="95"/>
      <c r="AT31" s="3"/>
      <c r="AU31" s="3"/>
      <c r="AV31" s="3"/>
      <c r="AW31" s="17" t="s">
        <v>34</v>
      </c>
      <c r="AX31" s="44">
        <v>2</v>
      </c>
      <c r="AY31" s="7"/>
      <c r="AZ31" s="41">
        <f>INDEX(BB31:BD31,AX31)</f>
        <v>2.5</v>
      </c>
      <c r="BA31" s="7" t="s">
        <v>35</v>
      </c>
      <c r="BB31" s="62">
        <v>1</v>
      </c>
      <c r="BC31" s="63">
        <v>2.5</v>
      </c>
      <c r="BD31" s="64">
        <v>5.5</v>
      </c>
      <c r="BE31" s="58"/>
      <c r="BF31"/>
      <c r="BG31" s="55"/>
      <c r="BH31" s="51"/>
      <c r="BI31" s="55" t="s">
        <v>29</v>
      </c>
      <c r="BJ31" s="55" t="s">
        <v>30</v>
      </c>
      <c r="BK31" s="55" t="s">
        <v>31</v>
      </c>
      <c r="BL31" s="46" t="s">
        <v>16</v>
      </c>
      <c r="BM31" s="43" t="s">
        <v>33</v>
      </c>
      <c r="BN31" s="95"/>
      <c r="BO31" s="95"/>
      <c r="BP31" s="3"/>
      <c r="BQ31" s="3"/>
      <c r="BR31" s="3"/>
      <c r="BS31" s="17" t="s">
        <v>34</v>
      </c>
      <c r="BT31" s="44">
        <v>2</v>
      </c>
      <c r="BU31" s="7"/>
      <c r="BV31" s="41">
        <f>INDEX(BX31:BZ31,BT31)</f>
        <v>2.5</v>
      </c>
      <c r="BW31" s="7" t="s">
        <v>35</v>
      </c>
      <c r="BX31" s="62">
        <v>1</v>
      </c>
      <c r="BY31" s="63">
        <v>2.5</v>
      </c>
      <c r="BZ31" s="64">
        <v>5.5</v>
      </c>
      <c r="CA31" s="58"/>
      <c r="CB31"/>
      <c r="CC31" s="55"/>
      <c r="CD31" s="51"/>
      <c r="CE31" s="55" t="s">
        <v>29</v>
      </c>
      <c r="CF31" s="55" t="s">
        <v>30</v>
      </c>
      <c r="CG31" s="55" t="s">
        <v>31</v>
      </c>
    </row>
    <row r="32" spans="1:85" s="45" customFormat="1" ht="15.4" x14ac:dyDescent="0.45">
      <c r="A32" s="144">
        <v>0.97</v>
      </c>
      <c r="B32" s="97">
        <v>10.935148456403384</v>
      </c>
      <c r="C32" s="97" t="s">
        <v>7</v>
      </c>
      <c r="D32" s="147"/>
      <c r="E32" s="147">
        <v>0.05</v>
      </c>
      <c r="F32" s="97">
        <v>12.158459389627014</v>
      </c>
      <c r="G32" s="97" t="s">
        <v>7</v>
      </c>
      <c r="H32" s="97"/>
      <c r="I32" s="117"/>
      <c r="J32" s="97"/>
      <c r="K32" s="97"/>
      <c r="L32" s="97"/>
      <c r="M32" s="123"/>
      <c r="N32" s="97"/>
      <c r="O32" s="128"/>
      <c r="P32" s="126"/>
      <c r="Q32" s="97"/>
      <c r="R32" s="97"/>
      <c r="S32" s="97"/>
      <c r="T32" s="46" t="s">
        <v>16</v>
      </c>
      <c r="U32" s="43" t="s">
        <v>36</v>
      </c>
      <c r="V32" s="95"/>
      <c r="W32" s="95"/>
      <c r="X32" s="3"/>
      <c r="Y32" s="3"/>
      <c r="Z32" s="3"/>
      <c r="AA32" s="17" t="s">
        <v>34</v>
      </c>
      <c r="AB32" s="44">
        <v>2</v>
      </c>
      <c r="AC32" s="7"/>
      <c r="AD32" s="41">
        <f t="shared" ref="AD32:AD37" si="0">INDEX(AF32:AH32,AB32)</f>
        <v>1.6</v>
      </c>
      <c r="AE32" s="7" t="s">
        <v>37</v>
      </c>
      <c r="AF32" s="62">
        <v>1.3</v>
      </c>
      <c r="AG32" s="63">
        <v>1.6</v>
      </c>
      <c r="AH32" s="64">
        <v>1.8</v>
      </c>
      <c r="AI32" s="58"/>
      <c r="AJ32"/>
      <c r="AK32" s="55" t="s">
        <v>30</v>
      </c>
      <c r="AL32" s="86">
        <v>10.75</v>
      </c>
      <c r="AM32">
        <v>5.9479430501281021</v>
      </c>
      <c r="AN32" s="95">
        <v>11.232676261827974</v>
      </c>
      <c r="AO32" s="95">
        <v>11.232676261827974</v>
      </c>
      <c r="AP32" s="46" t="s">
        <v>16</v>
      </c>
      <c r="AQ32" s="43" t="s">
        <v>36</v>
      </c>
      <c r="AR32" s="95"/>
      <c r="AS32" s="95"/>
      <c r="AT32" s="3"/>
      <c r="AU32" s="3"/>
      <c r="AV32" s="3"/>
      <c r="AW32" s="17" t="s">
        <v>34</v>
      </c>
      <c r="AX32" s="44">
        <v>2</v>
      </c>
      <c r="AY32" s="7"/>
      <c r="AZ32" s="41">
        <f t="shared" ref="AZ32:AZ37" si="1">INDEX(BB32:BD32,AX32)</f>
        <v>1.6</v>
      </c>
      <c r="BA32" s="7" t="s">
        <v>37</v>
      </c>
      <c r="BB32" s="62">
        <v>1.3</v>
      </c>
      <c r="BC32" s="63">
        <v>1.6</v>
      </c>
      <c r="BD32" s="64">
        <v>1.8</v>
      </c>
      <c r="BE32" s="58"/>
      <c r="BF32"/>
      <c r="BG32" s="145"/>
      <c r="BH32" s="142">
        <f>AW73</f>
        <v>14.040845327284968</v>
      </c>
      <c r="BI32" s="62">
        <v>1</v>
      </c>
      <c r="BJ32" s="63">
        <v>2.5</v>
      </c>
      <c r="BK32" s="64">
        <v>5.5</v>
      </c>
      <c r="BL32" s="46" t="s">
        <v>16</v>
      </c>
      <c r="BM32" s="43" t="s">
        <v>36</v>
      </c>
      <c r="BN32" s="95"/>
      <c r="BO32" s="95"/>
      <c r="BP32" s="3"/>
      <c r="BQ32" s="3"/>
      <c r="BR32" s="3"/>
      <c r="BS32" s="17" t="s">
        <v>34</v>
      </c>
      <c r="BT32" s="44">
        <v>2</v>
      </c>
      <c r="BU32" s="7"/>
      <c r="BV32" s="41">
        <f t="shared" ref="BV32:BV37" si="2">INDEX(BX32:BZ32,BT32)</f>
        <v>1.6</v>
      </c>
      <c r="BW32" s="7" t="s">
        <v>37</v>
      </c>
      <c r="BX32" s="62">
        <v>1.3</v>
      </c>
      <c r="BY32" s="63">
        <v>1.6</v>
      </c>
      <c r="BZ32" s="64">
        <v>1.8</v>
      </c>
      <c r="CA32" s="58"/>
      <c r="CB32"/>
      <c r="CC32" s="145"/>
      <c r="CD32" s="142">
        <f>BS73</f>
        <v>16.849014392741964</v>
      </c>
      <c r="CE32" s="62">
        <v>1</v>
      </c>
      <c r="CF32" s="63">
        <v>2.5</v>
      </c>
      <c r="CG32" s="64">
        <v>5.5</v>
      </c>
    </row>
    <row r="33" spans="1:85" ht="15.4" x14ac:dyDescent="0.45">
      <c r="A33" s="144">
        <v>0.98</v>
      </c>
      <c r="B33" s="97">
        <v>10.935148456403384</v>
      </c>
      <c r="C33" s="97" t="s">
        <v>7</v>
      </c>
      <c r="D33" s="147"/>
      <c r="E33" s="147">
        <v>0.1</v>
      </c>
      <c r="F33" s="97">
        <v>10.233101563138435</v>
      </c>
      <c r="G33" s="97" t="s">
        <v>7</v>
      </c>
      <c r="H33" s="97"/>
      <c r="I33" s="117"/>
      <c r="J33" s="97"/>
      <c r="K33" s="97"/>
      <c r="L33" s="97"/>
      <c r="M33" s="122" t="s">
        <v>29</v>
      </c>
      <c r="N33" s="122">
        <v>0.25</v>
      </c>
      <c r="O33" s="128">
        <f>1-EXP(-P33*$E$2)</f>
        <v>0</v>
      </c>
      <c r="P33" s="126">
        <f>AM31</f>
        <v>0</v>
      </c>
      <c r="Q33" s="97"/>
      <c r="R33" s="97"/>
      <c r="S33" s="97"/>
      <c r="T33" s="24" t="s">
        <v>16</v>
      </c>
      <c r="U33" s="43" t="s">
        <v>38</v>
      </c>
      <c r="V33" s="3"/>
      <c r="X33" s="3"/>
      <c r="Y33" s="3"/>
      <c r="Z33" s="3"/>
      <c r="AA33" s="17" t="s">
        <v>39</v>
      </c>
      <c r="AB33" s="44">
        <v>2</v>
      </c>
      <c r="AC33" s="7"/>
      <c r="AD33" s="84">
        <f t="shared" si="0"/>
        <v>7.0000000000000007E-2</v>
      </c>
      <c r="AE33" s="7" t="s">
        <v>40</v>
      </c>
      <c r="AF33" s="81">
        <v>-0.05</v>
      </c>
      <c r="AG33" s="82">
        <v>7.0000000000000007E-2</v>
      </c>
      <c r="AH33" s="83">
        <v>0.09</v>
      </c>
      <c r="AI33" s="58"/>
      <c r="AK33" s="55" t="s">
        <v>31</v>
      </c>
      <c r="AL33" s="87">
        <v>11.5</v>
      </c>
      <c r="AM33">
        <v>10.408900337724177</v>
      </c>
      <c r="AN33">
        <v>19.657183458198954</v>
      </c>
      <c r="AO33">
        <v>19.657183458198954</v>
      </c>
      <c r="AP33" s="24" t="s">
        <v>16</v>
      </c>
      <c r="AQ33" s="43" t="s">
        <v>38</v>
      </c>
      <c r="AR33" s="3"/>
      <c r="AT33" s="3"/>
      <c r="AU33" s="3"/>
      <c r="AV33" s="3"/>
      <c r="AW33" s="17" t="s">
        <v>39</v>
      </c>
      <c r="AX33" s="44">
        <v>2</v>
      </c>
      <c r="AY33" s="7"/>
      <c r="AZ33" s="84">
        <f t="shared" si="1"/>
        <v>7.0000000000000007E-2</v>
      </c>
      <c r="BA33" s="7" t="s">
        <v>40</v>
      </c>
      <c r="BB33" s="81">
        <v>-0.05</v>
      </c>
      <c r="BC33" s="82">
        <v>7.0000000000000007E-2</v>
      </c>
      <c r="BD33" s="83">
        <v>0.09</v>
      </c>
      <c r="BE33" s="58"/>
      <c r="BF33" s="139" t="s">
        <v>42</v>
      </c>
      <c r="BG33" s="55" t="s">
        <v>29</v>
      </c>
      <c r="BH33" s="85">
        <v>9.75</v>
      </c>
      <c r="BI33">
        <f t="dataTable" ref="BI33:BK35" dt2D="1" dtr="1" r1="AZ31" r2="AZ35"/>
        <v>1.4869857625320253</v>
      </c>
      <c r="BJ33" s="95">
        <v>2.8081690654569935</v>
      </c>
      <c r="BK33" s="95">
        <v>2.8081690654569935</v>
      </c>
      <c r="BL33" s="24" t="s">
        <v>16</v>
      </c>
      <c r="BM33" s="43" t="s">
        <v>38</v>
      </c>
      <c r="BN33" s="3"/>
      <c r="BP33" s="3"/>
      <c r="BQ33" s="3"/>
      <c r="BR33" s="3"/>
      <c r="BS33" s="17" t="s">
        <v>39</v>
      </c>
      <c r="BT33" s="44">
        <v>2</v>
      </c>
      <c r="BU33" s="7"/>
      <c r="BV33" s="84">
        <f t="shared" si="2"/>
        <v>7.0000000000000007E-2</v>
      </c>
      <c r="BW33" s="7" t="s">
        <v>40</v>
      </c>
      <c r="BX33" s="81">
        <v>-0.05</v>
      </c>
      <c r="BY33" s="82">
        <v>7.0000000000000007E-2</v>
      </c>
      <c r="BZ33" s="83">
        <v>0.09</v>
      </c>
      <c r="CA33" s="58"/>
      <c r="CB33" s="139" t="s">
        <v>42</v>
      </c>
      <c r="CC33" s="55" t="s">
        <v>29</v>
      </c>
      <c r="CD33" s="85">
        <v>9.75</v>
      </c>
      <c r="CE33">
        <f t="dataTable" ref="CE33:CG35" dt2D="1" dtr="1" r1="BV31" r2="BV35"/>
        <v>2.9739715250640519</v>
      </c>
      <c r="CF33" s="95">
        <v>5.616338130913987</v>
      </c>
      <c r="CG33" s="95">
        <v>5.616338130913987</v>
      </c>
    </row>
    <row r="34" spans="1:85" ht="15.4" x14ac:dyDescent="0.45">
      <c r="A34" s="97"/>
      <c r="B34" s="97"/>
      <c r="C34" s="97"/>
      <c r="D34" s="147"/>
      <c r="E34" s="147">
        <v>0.15</v>
      </c>
      <c r="F34" s="97">
        <v>8.7930289062309743</v>
      </c>
      <c r="G34" s="97" t="s">
        <v>7</v>
      </c>
      <c r="H34" s="97"/>
      <c r="I34" s="117"/>
      <c r="J34" s="97"/>
      <c r="K34" s="155"/>
      <c r="L34" s="155"/>
      <c r="M34" s="97"/>
      <c r="N34" s="97"/>
      <c r="O34" s="128"/>
      <c r="P34" s="126"/>
      <c r="Q34" s="97"/>
      <c r="R34" s="97"/>
      <c r="S34" s="97"/>
      <c r="T34" s="24" t="s">
        <v>16</v>
      </c>
      <c r="U34" s="13" t="s">
        <v>41</v>
      </c>
      <c r="W34" s="3"/>
      <c r="X34" s="3"/>
      <c r="Y34" s="3"/>
      <c r="Z34" s="3"/>
      <c r="AA34" s="3"/>
      <c r="AB34" s="132"/>
      <c r="AD34" s="40"/>
      <c r="AE34" s="3"/>
      <c r="AF34" s="26"/>
      <c r="AG34" s="26"/>
      <c r="AH34" s="26"/>
      <c r="AI34" s="58"/>
      <c r="AK34" s="3"/>
      <c r="AP34" s="24" t="s">
        <v>16</v>
      </c>
      <c r="AQ34" s="13" t="s">
        <v>41</v>
      </c>
      <c r="AS34" s="3"/>
      <c r="AT34" s="3"/>
      <c r="AU34" s="3"/>
      <c r="AV34" s="3"/>
      <c r="AW34" s="3"/>
      <c r="AX34" s="132"/>
      <c r="AZ34" s="40"/>
      <c r="BA34" s="3"/>
      <c r="BB34" s="26"/>
      <c r="BC34" s="26"/>
      <c r="BD34" s="26"/>
      <c r="BE34" s="58"/>
      <c r="BG34" s="55" t="s">
        <v>30</v>
      </c>
      <c r="BH34" s="86">
        <v>10.75</v>
      </c>
      <c r="BI34">
        <v>7.434928812660127</v>
      </c>
      <c r="BJ34" s="95">
        <v>14.040845327284968</v>
      </c>
      <c r="BK34" s="95">
        <v>14.040845327284968</v>
      </c>
      <c r="BL34" s="24" t="s">
        <v>16</v>
      </c>
      <c r="BM34" s="13" t="s">
        <v>41</v>
      </c>
      <c r="BO34" s="3"/>
      <c r="BP34" s="3"/>
      <c r="BQ34" s="3"/>
      <c r="BR34" s="3"/>
      <c r="BS34" s="3"/>
      <c r="BT34" s="132"/>
      <c r="BV34" s="40"/>
      <c r="BW34" s="3"/>
      <c r="BX34" s="26"/>
      <c r="BY34" s="26"/>
      <c r="BZ34" s="26"/>
      <c r="CA34" s="58"/>
      <c r="CC34" s="55" t="s">
        <v>30</v>
      </c>
      <c r="CD34" s="86">
        <v>10.75</v>
      </c>
      <c r="CE34">
        <v>8.9219145751921545</v>
      </c>
      <c r="CF34" s="95">
        <v>16.849014392741964</v>
      </c>
      <c r="CG34" s="95">
        <v>16.849014392741964</v>
      </c>
    </row>
    <row r="35" spans="1:85" ht="15.4" x14ac:dyDescent="0.45">
      <c r="A35" s="97"/>
      <c r="B35" s="97"/>
      <c r="C35" s="97"/>
      <c r="D35" s="147"/>
      <c r="E35" s="147">
        <v>0.2</v>
      </c>
      <c r="F35" s="97">
        <v>7.6966610704928264</v>
      </c>
      <c r="G35" s="97" t="s">
        <v>7</v>
      </c>
      <c r="H35" s="97"/>
      <c r="I35" s="117"/>
      <c r="J35" s="97"/>
      <c r="K35" s="124"/>
      <c r="L35" s="124"/>
      <c r="M35" s="97"/>
      <c r="N35" s="97"/>
      <c r="O35" s="128"/>
      <c r="P35" s="126"/>
      <c r="Q35" s="97"/>
      <c r="R35" s="97"/>
      <c r="S35" s="97"/>
      <c r="T35" s="24" t="s">
        <v>16</v>
      </c>
      <c r="U35" s="139" t="s">
        <v>42</v>
      </c>
      <c r="V35" s="3"/>
      <c r="W35" s="3"/>
      <c r="X35" s="3"/>
      <c r="Y35" s="3"/>
      <c r="Z35" s="3"/>
      <c r="AA35" s="17" t="s">
        <v>43</v>
      </c>
      <c r="AB35" s="44">
        <v>2</v>
      </c>
      <c r="AD35" s="84">
        <f t="shared" si="0"/>
        <v>10.75</v>
      </c>
      <c r="AE35" s="7" t="s">
        <v>44</v>
      </c>
      <c r="AF35" s="85">
        <v>9.75</v>
      </c>
      <c r="AG35" s="86">
        <v>10.75</v>
      </c>
      <c r="AH35" s="87">
        <v>11.5</v>
      </c>
      <c r="AI35" s="58"/>
      <c r="AP35" s="24" t="s">
        <v>16</v>
      </c>
      <c r="AQ35" s="16" t="s">
        <v>42</v>
      </c>
      <c r="AR35" s="3"/>
      <c r="AS35" s="3"/>
      <c r="AT35" s="3"/>
      <c r="AU35" s="3"/>
      <c r="AV35" s="3"/>
      <c r="AW35" s="17" t="s">
        <v>43</v>
      </c>
      <c r="AX35" s="44">
        <v>2</v>
      </c>
      <c r="AZ35" s="84">
        <f t="shared" si="1"/>
        <v>10.75</v>
      </c>
      <c r="BA35" s="7" t="s">
        <v>44</v>
      </c>
      <c r="BB35" s="85">
        <v>9.75</v>
      </c>
      <c r="BC35" s="86">
        <v>10.75</v>
      </c>
      <c r="BD35" s="87">
        <v>11.5</v>
      </c>
      <c r="BE35" s="58"/>
      <c r="BG35" s="55" t="s">
        <v>31</v>
      </c>
      <c r="BH35" s="87">
        <v>11.5</v>
      </c>
      <c r="BI35">
        <v>11.895886100256202</v>
      </c>
      <c r="BJ35">
        <v>22.465352523655948</v>
      </c>
      <c r="BK35">
        <v>22.465352523655948</v>
      </c>
      <c r="BL35" s="24" t="s">
        <v>16</v>
      </c>
      <c r="BM35" s="16" t="s">
        <v>42</v>
      </c>
      <c r="BN35" s="3"/>
      <c r="BO35" s="3"/>
      <c r="BP35" s="3"/>
      <c r="BQ35" s="3"/>
      <c r="BR35" s="3"/>
      <c r="BS35" s="17" t="s">
        <v>43</v>
      </c>
      <c r="BT35" s="44">
        <v>2</v>
      </c>
      <c r="BV35" s="84">
        <f t="shared" si="2"/>
        <v>10.75</v>
      </c>
      <c r="BW35" s="7" t="s">
        <v>44</v>
      </c>
      <c r="BX35" s="85">
        <v>9.75</v>
      </c>
      <c r="BY35" s="86">
        <v>10.75</v>
      </c>
      <c r="BZ35" s="87">
        <v>11.5</v>
      </c>
      <c r="CA35" s="58"/>
      <c r="CC35" s="55" t="s">
        <v>31</v>
      </c>
      <c r="CD35" s="87">
        <v>11.5</v>
      </c>
      <c r="CE35">
        <v>13.38287186278823</v>
      </c>
      <c r="CF35">
        <v>25.273521589112942</v>
      </c>
      <c r="CG35">
        <v>25.273521589112942</v>
      </c>
    </row>
    <row r="36" spans="1:85" x14ac:dyDescent="0.35">
      <c r="A36" s="97"/>
      <c r="B36" s="97"/>
      <c r="C36" s="97"/>
      <c r="D36" s="147"/>
      <c r="E36" s="147">
        <v>0.25</v>
      </c>
      <c r="F36" s="97">
        <v>6.8471087672670876</v>
      </c>
      <c r="G36" s="97" t="s">
        <v>7</v>
      </c>
      <c r="H36" s="97"/>
      <c r="I36" s="117"/>
      <c r="J36" s="97"/>
      <c r="K36" s="97"/>
      <c r="L36" s="97"/>
      <c r="M36" s="155" t="s">
        <v>42</v>
      </c>
      <c r="N36" s="155"/>
      <c r="O36" s="128"/>
      <c r="P36" s="126"/>
      <c r="Q36" s="97"/>
      <c r="R36" s="97"/>
      <c r="S36" s="97"/>
      <c r="T36" s="24" t="s">
        <v>16</v>
      </c>
      <c r="U36" s="139" t="s">
        <v>45</v>
      </c>
      <c r="W36" s="3"/>
      <c r="X36" s="3"/>
      <c r="Y36" s="3"/>
      <c r="Z36" s="3"/>
      <c r="AA36" s="17" t="s">
        <v>43</v>
      </c>
      <c r="AB36" s="44">
        <v>3</v>
      </c>
      <c r="AC36" s="7"/>
      <c r="AD36" s="41">
        <f t="shared" si="0"/>
        <v>9.75</v>
      </c>
      <c r="AE36" s="7" t="s">
        <v>46</v>
      </c>
      <c r="AF36" s="85">
        <v>9.25</v>
      </c>
      <c r="AG36" s="86">
        <v>9.5</v>
      </c>
      <c r="AH36" s="87">
        <v>9.75</v>
      </c>
      <c r="AI36" s="58"/>
      <c r="AP36" s="24" t="s">
        <v>16</v>
      </c>
      <c r="AQ36" s="16" t="s">
        <v>45</v>
      </c>
      <c r="AS36" s="3"/>
      <c r="AT36" s="3"/>
      <c r="AU36" s="3"/>
      <c r="AV36" s="3"/>
      <c r="AW36" s="17" t="s">
        <v>43</v>
      </c>
      <c r="AX36" s="44">
        <v>2</v>
      </c>
      <c r="AY36" s="7"/>
      <c r="AZ36" s="41">
        <f t="shared" si="1"/>
        <v>9.5</v>
      </c>
      <c r="BA36" s="7" t="s">
        <v>46</v>
      </c>
      <c r="BB36" s="85">
        <v>9.25</v>
      </c>
      <c r="BC36" s="86">
        <v>9.5</v>
      </c>
      <c r="BD36" s="87">
        <v>9.75</v>
      </c>
      <c r="BE36" s="58"/>
      <c r="BL36" s="24" t="s">
        <v>16</v>
      </c>
      <c r="BM36" s="16" t="s">
        <v>45</v>
      </c>
      <c r="BO36" s="3"/>
      <c r="BP36" s="3"/>
      <c r="BQ36" s="3"/>
      <c r="BR36" s="3"/>
      <c r="BS36" s="17" t="s">
        <v>43</v>
      </c>
      <c r="BT36" s="44">
        <v>1</v>
      </c>
      <c r="BU36" s="7"/>
      <c r="BV36" s="41">
        <f t="shared" si="2"/>
        <v>9.25</v>
      </c>
      <c r="BW36" s="7" t="s">
        <v>46</v>
      </c>
      <c r="BX36" s="85">
        <v>9.25</v>
      </c>
      <c r="BY36" s="86">
        <v>9.5</v>
      </c>
      <c r="BZ36" s="87">
        <v>9.75</v>
      </c>
      <c r="CA36" s="58"/>
    </row>
    <row r="37" spans="1:85" x14ac:dyDescent="0.35">
      <c r="A37" s="97"/>
      <c r="B37" s="97"/>
      <c r="C37" s="97"/>
      <c r="D37" s="147"/>
      <c r="E37" s="147">
        <v>0.3</v>
      </c>
      <c r="F37" s="97">
        <v>6.177551193804133</v>
      </c>
      <c r="G37" s="97" t="s">
        <v>7</v>
      </c>
      <c r="H37" s="97"/>
      <c r="I37" s="117"/>
      <c r="J37" s="97"/>
      <c r="K37" s="97"/>
      <c r="L37" s="97"/>
      <c r="M37" s="97"/>
      <c r="N37" s="97"/>
      <c r="O37" s="128"/>
      <c r="P37" s="126"/>
      <c r="Q37" s="97"/>
      <c r="R37" s="97"/>
      <c r="S37" s="97"/>
      <c r="T37" s="24"/>
      <c r="U37" s="16" t="s">
        <v>47</v>
      </c>
      <c r="W37" s="3"/>
      <c r="X37" s="3"/>
      <c r="Y37" s="3"/>
      <c r="Z37" s="3"/>
      <c r="AA37" s="17" t="s">
        <v>48</v>
      </c>
      <c r="AB37" s="44">
        <v>2</v>
      </c>
      <c r="AC37" s="7"/>
      <c r="AD37" s="84">
        <f t="shared" si="0"/>
        <v>14.5</v>
      </c>
      <c r="AE37" s="7" t="s">
        <v>49</v>
      </c>
      <c r="AF37" s="88">
        <v>13</v>
      </c>
      <c r="AG37" s="89">
        <v>14.5</v>
      </c>
      <c r="AH37" s="90">
        <v>17</v>
      </c>
      <c r="AI37" s="58"/>
      <c r="AP37" s="24"/>
      <c r="AQ37" s="16" t="s">
        <v>47</v>
      </c>
      <c r="AS37" s="3"/>
      <c r="AT37" s="3"/>
      <c r="AU37" s="3"/>
      <c r="AV37" s="3"/>
      <c r="AW37" s="17" t="s">
        <v>48</v>
      </c>
      <c r="AX37" s="44">
        <v>2</v>
      </c>
      <c r="AY37" s="7"/>
      <c r="AZ37" s="84">
        <f t="shared" si="1"/>
        <v>14.5</v>
      </c>
      <c r="BA37" s="7" t="s">
        <v>49</v>
      </c>
      <c r="BB37" s="88">
        <v>13</v>
      </c>
      <c r="BC37" s="89">
        <v>14.5</v>
      </c>
      <c r="BD37" s="90">
        <v>17</v>
      </c>
      <c r="BE37" s="58"/>
      <c r="BL37" s="24"/>
      <c r="BM37" s="16" t="s">
        <v>47</v>
      </c>
      <c r="BO37" s="3"/>
      <c r="BP37" s="3"/>
      <c r="BQ37" s="3"/>
      <c r="BR37" s="3"/>
      <c r="BS37" s="17" t="s">
        <v>48</v>
      </c>
      <c r="BT37" s="44">
        <v>2</v>
      </c>
      <c r="BU37" s="7"/>
      <c r="BV37" s="84">
        <f t="shared" si="2"/>
        <v>14.5</v>
      </c>
      <c r="BW37" s="7" t="s">
        <v>49</v>
      </c>
      <c r="BX37" s="88">
        <v>13</v>
      </c>
      <c r="BY37" s="89">
        <v>14.5</v>
      </c>
      <c r="BZ37" s="90">
        <v>17</v>
      </c>
      <c r="CA37" s="58"/>
    </row>
    <row r="38" spans="1:85" x14ac:dyDescent="0.35">
      <c r="A38" s="97"/>
      <c r="B38" s="97"/>
      <c r="C38" s="97"/>
      <c r="D38" s="147"/>
      <c r="E38" s="147">
        <v>0.35</v>
      </c>
      <c r="F38" s="97">
        <v>5.6413582545009255</v>
      </c>
      <c r="G38" s="97" t="s">
        <v>7</v>
      </c>
      <c r="H38" s="97"/>
      <c r="I38" s="117"/>
      <c r="J38" s="97"/>
      <c r="K38" s="97"/>
      <c r="L38" s="97"/>
      <c r="M38" s="120" t="s">
        <v>31</v>
      </c>
      <c r="N38" s="122">
        <v>0.25</v>
      </c>
      <c r="O38" s="128">
        <f>1-EXP(-P38*$E$2)</f>
        <v>0.52708758847711112</v>
      </c>
      <c r="P38" s="126">
        <f>BK35</f>
        <v>22.465352523655948</v>
      </c>
      <c r="Q38" s="97"/>
      <c r="R38" s="97"/>
      <c r="S38" s="97"/>
      <c r="U38" s="16"/>
      <c r="AB38" s="66"/>
      <c r="AI38" s="58"/>
      <c r="AQ38" s="16"/>
      <c r="AX38" s="66"/>
      <c r="BE38" s="58"/>
      <c r="BM38" s="16"/>
      <c r="BT38" s="66"/>
      <c r="CA38" s="58"/>
    </row>
    <row r="39" spans="1:85" x14ac:dyDescent="0.35">
      <c r="A39" s="97"/>
      <c r="B39" s="97"/>
      <c r="C39" s="97"/>
      <c r="D39" s="147"/>
      <c r="E39" s="147">
        <v>0.4</v>
      </c>
      <c r="F39" s="97">
        <v>5.2055416244293209</v>
      </c>
      <c r="G39" s="97" t="s">
        <v>7</v>
      </c>
      <c r="H39" s="97"/>
      <c r="I39" s="117"/>
      <c r="J39" s="97"/>
      <c r="K39" s="155" t="s">
        <v>33</v>
      </c>
      <c r="L39" s="164"/>
      <c r="M39" s="117"/>
      <c r="N39" s="97"/>
      <c r="O39" s="128"/>
      <c r="P39" s="126"/>
      <c r="Q39" s="97"/>
      <c r="R39" s="97"/>
      <c r="S39" s="97"/>
      <c r="T39" s="24" t="s">
        <v>16</v>
      </c>
      <c r="U39" s="22"/>
      <c r="V39" s="3"/>
      <c r="W39" s="3"/>
      <c r="X39" s="3"/>
      <c r="Y39" s="3"/>
      <c r="Z39" s="3"/>
      <c r="AB39" s="66"/>
      <c r="AI39" s="58"/>
      <c r="AP39" s="24" t="s">
        <v>16</v>
      </c>
      <c r="AQ39" s="22"/>
      <c r="AR39" s="3"/>
      <c r="AS39" s="3"/>
      <c r="AT39" s="3"/>
      <c r="AU39" s="3"/>
      <c r="AV39" s="3"/>
      <c r="AX39" s="66"/>
      <c r="BE39" s="58"/>
      <c r="BL39" s="24" t="s">
        <v>16</v>
      </c>
      <c r="BM39" s="22"/>
      <c r="BN39" s="3"/>
      <c r="BO39" s="3"/>
      <c r="BP39" s="3"/>
      <c r="BQ39" s="3"/>
      <c r="BR39" s="3"/>
      <c r="BT39" s="66"/>
      <c r="CA39" s="58"/>
    </row>
    <row r="40" spans="1:85" s="45" customFormat="1" x14ac:dyDescent="0.35">
      <c r="A40" s="97"/>
      <c r="B40" s="97"/>
      <c r="C40" s="97"/>
      <c r="D40" s="97"/>
      <c r="E40" s="147">
        <v>0.45</v>
      </c>
      <c r="F40" s="97">
        <v>4.8464252016287013</v>
      </c>
      <c r="G40" s="97" t="s">
        <v>7</v>
      </c>
      <c r="H40" s="97"/>
      <c r="I40" s="117"/>
      <c r="J40" s="97"/>
      <c r="K40" s="97"/>
      <c r="L40" s="97"/>
      <c r="M40" s="117"/>
      <c r="N40" s="97"/>
      <c r="O40" s="128"/>
      <c r="P40" s="126"/>
      <c r="Q40" s="97"/>
      <c r="R40" s="97"/>
      <c r="S40" s="97"/>
      <c r="T40" s="46" t="s">
        <v>16</v>
      </c>
      <c r="U40" s="43"/>
      <c r="V40" s="95"/>
      <c r="W40" s="3"/>
      <c r="X40" s="3"/>
      <c r="Y40" s="3"/>
      <c r="Z40" s="3"/>
      <c r="AA40" s="17"/>
      <c r="AB40" s="65"/>
      <c r="AC40" s="7"/>
      <c r="AD40" s="42"/>
      <c r="AE40" s="7"/>
      <c r="AF40" s="42"/>
      <c r="AG40" s="42"/>
      <c r="AH40" s="42"/>
      <c r="AI40" s="58"/>
      <c r="AJ40"/>
      <c r="AK40"/>
      <c r="AL40"/>
      <c r="AM40"/>
      <c r="AN40" s="95"/>
      <c r="AO40" s="95"/>
      <c r="AP40" s="46" t="s">
        <v>16</v>
      </c>
      <c r="AQ40" s="43"/>
      <c r="AR40" s="95"/>
      <c r="AS40" s="3"/>
      <c r="AT40" s="3"/>
      <c r="AU40" s="3"/>
      <c r="AV40" s="3"/>
      <c r="AW40" s="17"/>
      <c r="AX40" s="65"/>
      <c r="AY40" s="7"/>
      <c r="AZ40" s="42"/>
      <c r="BA40" s="7"/>
      <c r="BB40" s="42"/>
      <c r="BC40" s="42"/>
      <c r="BD40" s="42"/>
      <c r="BE40" s="58"/>
      <c r="BF40"/>
      <c r="BG40"/>
      <c r="BH40"/>
      <c r="BI40" s="95"/>
      <c r="BJ40" s="95"/>
      <c r="BK40" s="95"/>
      <c r="BL40" s="46" t="s">
        <v>16</v>
      </c>
      <c r="BM40" s="43"/>
      <c r="BN40" s="95"/>
      <c r="BO40" s="3"/>
      <c r="BP40" s="3"/>
      <c r="BQ40" s="3"/>
      <c r="BR40" s="3"/>
      <c r="BS40" s="17"/>
      <c r="BT40" s="65"/>
      <c r="BU40" s="7"/>
      <c r="BV40" s="42"/>
      <c r="BW40" s="7"/>
      <c r="BX40" s="42"/>
      <c r="BY40" s="42"/>
      <c r="BZ40" s="42"/>
      <c r="CA40" s="58"/>
      <c r="CB40"/>
      <c r="CC40" s="95"/>
      <c r="CD40" s="95"/>
      <c r="CE40" s="95"/>
      <c r="CF40" s="95"/>
      <c r="CG40" s="95"/>
    </row>
    <row r="41" spans="1:85" x14ac:dyDescent="0.35">
      <c r="A41" s="97"/>
      <c r="B41" s="97"/>
      <c r="C41" s="97"/>
      <c r="D41" s="97"/>
      <c r="E41" s="147">
        <v>0.5</v>
      </c>
      <c r="F41" s="97">
        <v>4.5467683892955773</v>
      </c>
      <c r="G41" s="97" t="s">
        <v>7</v>
      </c>
      <c r="H41" s="97"/>
      <c r="I41" s="117"/>
      <c r="J41" s="97"/>
      <c r="K41" s="120" t="s">
        <v>31</v>
      </c>
      <c r="L41" s="122">
        <v>0.25</v>
      </c>
      <c r="M41" s="120" t="s">
        <v>30</v>
      </c>
      <c r="N41" s="122">
        <v>0.5</v>
      </c>
      <c r="O41" s="128">
        <f>1-EXP(-P41*$E$2)</f>
        <v>0.37376412240019319</v>
      </c>
      <c r="P41" s="126">
        <f>BK34</f>
        <v>14.040845327284968</v>
      </c>
      <c r="Q41" s="97"/>
      <c r="R41" s="97"/>
      <c r="S41" s="97"/>
      <c r="T41" s="2"/>
      <c r="U41" s="29"/>
      <c r="V41" s="19"/>
      <c r="W41" s="19"/>
      <c r="X41" s="19"/>
      <c r="Y41" s="19"/>
      <c r="Z41" s="19"/>
      <c r="AA41" s="20"/>
      <c r="AB41" s="20"/>
      <c r="AC41" s="9"/>
      <c r="AD41" s="30"/>
      <c r="AE41" s="61"/>
      <c r="AF41" s="30"/>
      <c r="AG41" s="30"/>
      <c r="AH41" s="30"/>
      <c r="AI41" s="59"/>
      <c r="AK41" s="42"/>
      <c r="AP41" s="2"/>
      <c r="AQ41" s="29"/>
      <c r="AR41" s="19"/>
      <c r="AS41" s="19"/>
      <c r="AT41" s="19"/>
      <c r="AU41" s="19"/>
      <c r="AV41" s="19"/>
      <c r="AW41" s="20"/>
      <c r="AX41" s="20"/>
      <c r="AY41" s="9"/>
      <c r="AZ41" s="30"/>
      <c r="BA41" s="61"/>
      <c r="BB41" s="30"/>
      <c r="BC41" s="30"/>
      <c r="BD41" s="30"/>
      <c r="BE41" s="59"/>
      <c r="BG41" s="42"/>
      <c r="BL41" s="2"/>
      <c r="BM41" s="29"/>
      <c r="BN41" s="19"/>
      <c r="BO41" s="19"/>
      <c r="BP41" s="19"/>
      <c r="BQ41" s="19"/>
      <c r="BR41" s="19"/>
      <c r="BS41" s="20"/>
      <c r="BT41" s="20"/>
      <c r="BU41" s="9"/>
      <c r="BV41" s="30"/>
      <c r="BW41" s="61"/>
      <c r="BX41" s="30"/>
      <c r="BY41" s="30"/>
      <c r="BZ41" s="30"/>
      <c r="CA41" s="59"/>
    </row>
    <row r="42" spans="1:85" ht="13.15" thickBot="1" x14ac:dyDescent="0.4">
      <c r="A42" s="97"/>
      <c r="B42" s="97"/>
      <c r="C42" s="97"/>
      <c r="D42" s="97"/>
      <c r="E42" s="97"/>
      <c r="F42" s="97"/>
      <c r="G42" s="97"/>
      <c r="H42" s="97"/>
      <c r="I42" s="117"/>
      <c r="J42" s="97"/>
      <c r="K42" s="117">
        <f>O38*N38+O41*N41+O44*N44</f>
        <v>0.34099350426244762</v>
      </c>
      <c r="L42" s="97"/>
      <c r="M42" s="117"/>
      <c r="N42" s="97"/>
      <c r="O42" s="128"/>
      <c r="P42" s="126"/>
      <c r="Q42" s="97"/>
      <c r="R42" s="97"/>
      <c r="S42" s="97"/>
    </row>
    <row r="43" spans="1:85" ht="15.4" x14ac:dyDescent="0.45">
      <c r="A43" s="97"/>
      <c r="B43" s="97"/>
      <c r="C43" s="97"/>
      <c r="D43" s="97"/>
      <c r="E43" s="97"/>
      <c r="F43" s="97"/>
      <c r="G43" s="97"/>
      <c r="H43" s="97"/>
      <c r="I43" s="117"/>
      <c r="J43" s="97"/>
      <c r="K43" s="117"/>
      <c r="L43" s="97"/>
      <c r="M43" s="123"/>
      <c r="N43" s="97"/>
      <c r="O43" s="128"/>
      <c r="P43" s="126"/>
      <c r="Q43" s="97"/>
      <c r="R43" s="97"/>
      <c r="S43" s="97"/>
      <c r="T43" s="53" t="s">
        <v>50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P43" s="53" t="s">
        <v>50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L43" s="53" t="s">
        <v>50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5" ht="15.4" x14ac:dyDescent="0.45">
      <c r="A44" s="97"/>
      <c r="B44" s="97"/>
      <c r="C44" s="97"/>
      <c r="D44" s="97"/>
      <c r="E44" s="97"/>
      <c r="F44" s="97"/>
      <c r="G44" s="97"/>
      <c r="H44" s="97"/>
      <c r="I44" s="117"/>
      <c r="J44" s="97"/>
      <c r="K44" s="117"/>
      <c r="L44" s="97"/>
      <c r="M44" s="122" t="s">
        <v>29</v>
      </c>
      <c r="N44" s="122">
        <v>0.25</v>
      </c>
      <c r="O44" s="128">
        <f>1-EXP(-P44*$E$2)</f>
        <v>8.9358183772292987E-2</v>
      </c>
      <c r="P44" s="126">
        <f>BK33</f>
        <v>2.8081690654569935</v>
      </c>
      <c r="Q44" s="97"/>
      <c r="R44" s="97"/>
      <c r="S44" s="97"/>
      <c r="T44" s="54"/>
      <c r="AP44" s="54"/>
      <c r="BL44" s="54"/>
    </row>
    <row r="45" spans="1:85" ht="15.4" x14ac:dyDescent="0.45">
      <c r="A45" s="97"/>
      <c r="B45" s="97"/>
      <c r="C45" s="97"/>
      <c r="D45" s="97"/>
      <c r="E45" s="97"/>
      <c r="F45" s="97"/>
      <c r="G45" s="97"/>
      <c r="H45" s="97"/>
      <c r="I45" s="117"/>
      <c r="J45" s="97"/>
      <c r="K45" s="117"/>
      <c r="L45" s="97"/>
      <c r="M45" s="97"/>
      <c r="N45" s="97"/>
      <c r="O45" s="128"/>
      <c r="P45" s="126"/>
      <c r="Q45" s="97"/>
      <c r="R45" s="97"/>
      <c r="S45" s="97"/>
      <c r="T45" s="54" t="str">
        <f>s_n</f>
        <v>No Partnership / No Expansion</v>
      </c>
      <c r="AP45" s="54" t="str">
        <f>strategy_name</f>
        <v>No Partnership / No Expansion</v>
      </c>
      <c r="BL45" s="54" t="str">
        <f>SN</f>
        <v>No Partnership / No Expansion</v>
      </c>
    </row>
    <row r="46" spans="1:85" x14ac:dyDescent="0.35">
      <c r="A46" s="97"/>
      <c r="B46" s="97"/>
      <c r="C46" s="97"/>
      <c r="D46" s="97"/>
      <c r="E46" s="97"/>
      <c r="F46" s="97"/>
      <c r="G46" s="97"/>
      <c r="H46" s="97"/>
      <c r="I46" s="117"/>
      <c r="J46" s="97"/>
      <c r="K46" s="117"/>
      <c r="L46" s="97"/>
      <c r="M46" s="155" t="s">
        <v>42</v>
      </c>
      <c r="N46" s="155"/>
      <c r="O46" s="128"/>
      <c r="P46" s="126"/>
      <c r="Q46" s="97"/>
      <c r="R46" s="97"/>
      <c r="S46" s="97"/>
      <c r="T46" s="13"/>
      <c r="AP46" s="13"/>
      <c r="BL46" s="13"/>
    </row>
    <row r="47" spans="1:85" ht="15" x14ac:dyDescent="0.4">
      <c r="A47" s="97"/>
      <c r="B47" s="97"/>
      <c r="C47" s="97"/>
      <c r="D47" s="97"/>
      <c r="E47" s="97"/>
      <c r="F47" s="97"/>
      <c r="G47" s="97"/>
      <c r="H47" s="97"/>
      <c r="I47" s="117"/>
      <c r="J47" s="97"/>
      <c r="K47" s="117"/>
      <c r="L47" s="97"/>
      <c r="M47" s="97"/>
      <c r="N47" s="97"/>
      <c r="O47" s="128"/>
      <c r="P47" s="126"/>
      <c r="Q47" s="97"/>
      <c r="R47" s="97"/>
      <c r="S47" s="97"/>
      <c r="T47" s="51" t="s">
        <v>51</v>
      </c>
      <c r="U47" s="48"/>
      <c r="V47" s="48"/>
      <c r="Z47" s="7"/>
      <c r="AA47" s="52">
        <v>2026</v>
      </c>
      <c r="AB47" s="52">
        <f>AA47+1</f>
        <v>2027</v>
      </c>
      <c r="AC47" s="52">
        <f t="shared" ref="AC47:AH47" si="3">AB47+1</f>
        <v>2028</v>
      </c>
      <c r="AD47" s="52">
        <f t="shared" si="3"/>
        <v>2029</v>
      </c>
      <c r="AE47" s="52">
        <f t="shared" si="3"/>
        <v>2030</v>
      </c>
      <c r="AF47" s="52">
        <f t="shared" si="3"/>
        <v>2031</v>
      </c>
      <c r="AG47" s="52">
        <f t="shared" si="3"/>
        <v>2032</v>
      </c>
      <c r="AH47" s="52">
        <f t="shared" si="3"/>
        <v>2033</v>
      </c>
      <c r="AI47" s="52">
        <f>AH47+1</f>
        <v>2034</v>
      </c>
      <c r="AJ47" s="52">
        <f>AI47+1</f>
        <v>2035</v>
      </c>
      <c r="AP47" s="51" t="s">
        <v>51</v>
      </c>
      <c r="AQ47" s="48"/>
      <c r="AR47" s="48"/>
      <c r="AV47" s="7"/>
      <c r="AW47" s="52">
        <v>2026</v>
      </c>
      <c r="AX47" s="52">
        <f>AW47+1</f>
        <v>2027</v>
      </c>
      <c r="AY47" s="52">
        <f t="shared" ref="AY47:BD47" si="4">AX47+1</f>
        <v>2028</v>
      </c>
      <c r="AZ47" s="52">
        <f t="shared" si="4"/>
        <v>2029</v>
      </c>
      <c r="BA47" s="52">
        <f t="shared" si="4"/>
        <v>2030</v>
      </c>
      <c r="BB47" s="52">
        <f t="shared" si="4"/>
        <v>2031</v>
      </c>
      <c r="BC47" s="52">
        <f t="shared" si="4"/>
        <v>2032</v>
      </c>
      <c r="BD47" s="52">
        <f t="shared" si="4"/>
        <v>2033</v>
      </c>
      <c r="BE47" s="52">
        <f>BD47+1</f>
        <v>2034</v>
      </c>
      <c r="BF47" s="52">
        <f>BE47+1</f>
        <v>2035</v>
      </c>
      <c r="BL47" s="51" t="s">
        <v>51</v>
      </c>
      <c r="BM47" s="48"/>
      <c r="BN47" s="48"/>
      <c r="BR47" s="7"/>
      <c r="BS47" s="52">
        <v>2026</v>
      </c>
      <c r="BT47" s="52">
        <f>BS47+1</f>
        <v>2027</v>
      </c>
      <c r="BU47" s="52">
        <f t="shared" ref="BU47:BZ47" si="5">BT47+1</f>
        <v>2028</v>
      </c>
      <c r="BV47" s="52">
        <f t="shared" si="5"/>
        <v>2029</v>
      </c>
      <c r="BW47" s="52">
        <f t="shared" si="5"/>
        <v>2030</v>
      </c>
      <c r="BX47" s="52">
        <f t="shared" si="5"/>
        <v>2031</v>
      </c>
      <c r="BY47" s="52">
        <f t="shared" si="5"/>
        <v>2032</v>
      </c>
      <c r="BZ47" s="52">
        <f t="shared" si="5"/>
        <v>2033</v>
      </c>
      <c r="CA47" s="52">
        <f>BZ47+1</f>
        <v>2034</v>
      </c>
      <c r="CB47" s="52">
        <f>CA47+1</f>
        <v>2035</v>
      </c>
    </row>
    <row r="48" spans="1:85" ht="15" x14ac:dyDescent="0.4">
      <c r="A48" s="97"/>
      <c r="B48" s="97"/>
      <c r="C48" s="97"/>
      <c r="D48" s="97"/>
      <c r="E48" s="97"/>
      <c r="F48" s="97"/>
      <c r="G48" s="97"/>
      <c r="H48" s="97"/>
      <c r="I48" s="117"/>
      <c r="J48" s="97"/>
      <c r="K48" s="117"/>
      <c r="L48" s="97"/>
      <c r="M48" s="120" t="s">
        <v>31</v>
      </c>
      <c r="N48" s="122">
        <v>0.25</v>
      </c>
      <c r="O48" s="128">
        <f>1-EXP(-P48*$E$2)</f>
        <v>0.52708758847711112</v>
      </c>
      <c r="P48" s="126">
        <f>BJ35</f>
        <v>22.465352523655948</v>
      </c>
      <c r="Q48" s="97"/>
      <c r="R48" s="97"/>
      <c r="S48" s="97"/>
      <c r="T48" s="51" t="s">
        <v>52</v>
      </c>
      <c r="U48" s="48"/>
      <c r="V48" s="48"/>
      <c r="Z48" s="7"/>
      <c r="AA48" s="52">
        <f>AA47-$AA$47</f>
        <v>0</v>
      </c>
      <c r="AB48" s="52">
        <f t="shared" ref="AB48:AJ48" si="6">AB47-$AA$47</f>
        <v>1</v>
      </c>
      <c r="AC48" s="52">
        <f t="shared" si="6"/>
        <v>2</v>
      </c>
      <c r="AD48" s="52">
        <f t="shared" si="6"/>
        <v>3</v>
      </c>
      <c r="AE48" s="52">
        <f t="shared" si="6"/>
        <v>4</v>
      </c>
      <c r="AF48" s="52">
        <f t="shared" si="6"/>
        <v>5</v>
      </c>
      <c r="AG48" s="52">
        <f t="shared" si="6"/>
        <v>6</v>
      </c>
      <c r="AH48" s="52">
        <f t="shared" si="6"/>
        <v>7</v>
      </c>
      <c r="AI48" s="52">
        <f t="shared" si="6"/>
        <v>8</v>
      </c>
      <c r="AJ48" s="52">
        <f t="shared" si="6"/>
        <v>9</v>
      </c>
      <c r="AP48" s="51" t="s">
        <v>52</v>
      </c>
      <c r="AQ48" s="48"/>
      <c r="AR48" s="48"/>
      <c r="AV48" s="7"/>
      <c r="AW48" s="52">
        <f t="shared" ref="AW48:BF48" si="7">AW47-$AW$47</f>
        <v>0</v>
      </c>
      <c r="AX48" s="52">
        <f t="shared" si="7"/>
        <v>1</v>
      </c>
      <c r="AY48" s="52">
        <f t="shared" si="7"/>
        <v>2</v>
      </c>
      <c r="AZ48" s="52">
        <f t="shared" si="7"/>
        <v>3</v>
      </c>
      <c r="BA48" s="52">
        <f t="shared" si="7"/>
        <v>4</v>
      </c>
      <c r="BB48" s="52">
        <f t="shared" si="7"/>
        <v>5</v>
      </c>
      <c r="BC48" s="52">
        <f t="shared" si="7"/>
        <v>6</v>
      </c>
      <c r="BD48" s="52">
        <f t="shared" si="7"/>
        <v>7</v>
      </c>
      <c r="BE48" s="52">
        <f t="shared" si="7"/>
        <v>8</v>
      </c>
      <c r="BF48" s="52">
        <f t="shared" si="7"/>
        <v>9</v>
      </c>
      <c r="BL48" s="51" t="s">
        <v>52</v>
      </c>
      <c r="BM48" s="48"/>
      <c r="BN48" s="48"/>
      <c r="BR48" s="7"/>
      <c r="BS48" s="52">
        <f t="shared" ref="BS48:CB48" si="8">BS47-$BS$47</f>
        <v>0</v>
      </c>
      <c r="BT48" s="52">
        <f t="shared" si="8"/>
        <v>1</v>
      </c>
      <c r="BU48" s="52">
        <f t="shared" si="8"/>
        <v>2</v>
      </c>
      <c r="BV48" s="52">
        <f t="shared" si="8"/>
        <v>3</v>
      </c>
      <c r="BW48" s="52">
        <f t="shared" si="8"/>
        <v>4</v>
      </c>
      <c r="BX48" s="52">
        <f t="shared" si="8"/>
        <v>5</v>
      </c>
      <c r="BY48" s="52">
        <f t="shared" si="8"/>
        <v>6</v>
      </c>
      <c r="BZ48" s="52">
        <f t="shared" si="8"/>
        <v>7</v>
      </c>
      <c r="CA48" s="52">
        <f t="shared" si="8"/>
        <v>8</v>
      </c>
      <c r="CB48" s="52">
        <f t="shared" si="8"/>
        <v>9</v>
      </c>
    </row>
    <row r="49" spans="1:80" ht="15.4" x14ac:dyDescent="0.45">
      <c r="A49" s="97"/>
      <c r="B49" s="97"/>
      <c r="C49" s="97"/>
      <c r="D49" s="97"/>
      <c r="E49" s="97"/>
      <c r="F49" s="97"/>
      <c r="G49" s="97"/>
      <c r="H49" s="97"/>
      <c r="I49" s="117"/>
      <c r="J49" s="97"/>
      <c r="K49" s="117"/>
      <c r="L49" s="97"/>
      <c r="M49" s="117"/>
      <c r="N49" s="97"/>
      <c r="O49" s="128"/>
      <c r="P49" s="126"/>
      <c r="Q49" s="97"/>
      <c r="R49" s="97"/>
      <c r="S49" s="97"/>
      <c r="T49" s="49"/>
      <c r="U49" s="48"/>
      <c r="V49" s="48"/>
      <c r="Z49" s="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8"/>
      <c r="AL49" s="68"/>
      <c r="AM49" s="68"/>
      <c r="AN49" s="68"/>
      <c r="AO49" s="68"/>
      <c r="AP49" s="49"/>
      <c r="AQ49" s="48"/>
      <c r="AR49" s="48"/>
      <c r="AV49" s="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8"/>
      <c r="BH49" s="68"/>
      <c r="BL49" s="49"/>
      <c r="BM49" s="48"/>
      <c r="BN49" s="48"/>
      <c r="BR49" s="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s="3" customFormat="1" ht="15.4" x14ac:dyDescent="0.45">
      <c r="A50" s="97"/>
      <c r="B50" s="97"/>
      <c r="C50" s="97"/>
      <c r="D50" s="97"/>
      <c r="E50" s="97"/>
      <c r="F50" s="156" t="s">
        <v>7</v>
      </c>
      <c r="G50" s="156"/>
      <c r="H50" s="157"/>
      <c r="I50" s="117"/>
      <c r="J50" s="97"/>
      <c r="K50" s="117"/>
      <c r="L50" s="97"/>
      <c r="M50" s="117"/>
      <c r="N50" s="97"/>
      <c r="O50" s="128"/>
      <c r="P50" s="126"/>
      <c r="Q50" s="97"/>
      <c r="R50" s="97"/>
      <c r="S50" s="97"/>
      <c r="T50" s="49" t="s">
        <v>53</v>
      </c>
      <c r="U50" s="50"/>
      <c r="V50" s="50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8"/>
      <c r="AL50" s="68"/>
      <c r="AM50" s="68"/>
      <c r="AN50" s="68"/>
      <c r="AO50" s="68"/>
      <c r="AP50" s="49" t="s">
        <v>53</v>
      </c>
      <c r="AQ50" s="50"/>
      <c r="AR50" s="50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8"/>
      <c r="BH50" s="68"/>
      <c r="BI50"/>
      <c r="BJ50"/>
      <c r="BK50"/>
      <c r="BL50" s="49" t="s">
        <v>53</v>
      </c>
      <c r="BM50" s="50"/>
      <c r="BN50" s="50"/>
      <c r="BS50" s="69"/>
      <c r="BT50" s="69"/>
      <c r="BU50" s="69"/>
      <c r="BV50" s="69"/>
      <c r="BW50" s="69"/>
      <c r="BX50" s="69"/>
      <c r="BY50" s="69"/>
      <c r="BZ50" s="69"/>
      <c r="CA50" s="69"/>
      <c r="CB50" s="69"/>
    </row>
    <row r="51" spans="1:80" ht="15" x14ac:dyDescent="0.4">
      <c r="A51" s="97"/>
      <c r="B51" s="97"/>
      <c r="C51" s="97"/>
      <c r="D51" s="97"/>
      <c r="E51" s="121"/>
      <c r="F51" s="120" t="s">
        <v>84</v>
      </c>
      <c r="G51" s="122">
        <f>J20*I21+J51*I52+J82*I83</f>
        <v>0.30545960098169533</v>
      </c>
      <c r="H51" s="122"/>
      <c r="I51" s="120" t="s">
        <v>30</v>
      </c>
      <c r="J51" s="122">
        <v>0.5</v>
      </c>
      <c r="K51" s="120" t="s">
        <v>30</v>
      </c>
      <c r="L51" s="122">
        <v>0.5</v>
      </c>
      <c r="M51" s="120" t="s">
        <v>30</v>
      </c>
      <c r="N51" s="122">
        <v>0.5</v>
      </c>
      <c r="O51" s="128">
        <f>1-EXP(-P51*$E$2)</f>
        <v>0.37376412240019319</v>
      </c>
      <c r="P51" s="126">
        <f>BJ34</f>
        <v>14.040845327284968</v>
      </c>
      <c r="Q51" s="97"/>
      <c r="R51" s="97"/>
      <c r="S51" s="97"/>
      <c r="T51" s="48"/>
      <c r="U51" s="48" t="s">
        <v>54</v>
      </c>
      <c r="V51" s="48"/>
      <c r="Z51" s="11" t="s">
        <v>55</v>
      </c>
      <c r="AA51" s="70">
        <f>IF(Ss&lt;3,DC_,0)</f>
        <v>2.5</v>
      </c>
      <c r="AB51" s="70">
        <f>AA51*(1+$AD$33)</f>
        <v>2.6750000000000003</v>
      </c>
      <c r="AC51" s="70">
        <f t="shared" ref="AC51:AJ52" si="9">AB51*(1+$AD$33)</f>
        <v>2.8622500000000004</v>
      </c>
      <c r="AD51" s="70">
        <f t="shared" si="9"/>
        <v>3.0626075000000008</v>
      </c>
      <c r="AE51" s="70">
        <f t="shared" si="9"/>
        <v>3.2769900250000012</v>
      </c>
      <c r="AF51" s="70">
        <f t="shared" si="9"/>
        <v>3.5063793267500016</v>
      </c>
      <c r="AG51" s="70">
        <f t="shared" si="9"/>
        <v>3.7518258796225021</v>
      </c>
      <c r="AH51" s="70">
        <f t="shared" si="9"/>
        <v>4.0144536911960778</v>
      </c>
      <c r="AI51" s="70">
        <f t="shared" si="9"/>
        <v>4.2954654495798037</v>
      </c>
      <c r="AJ51" s="70">
        <f t="shared" si="9"/>
        <v>4.5961480310503902</v>
      </c>
      <c r="AK51" s="68"/>
      <c r="AL51" s="68"/>
      <c r="AM51" s="68"/>
      <c r="AN51" s="68"/>
      <c r="AO51" s="68"/>
      <c r="AP51" s="48"/>
      <c r="AQ51" s="48" t="s">
        <v>54</v>
      </c>
      <c r="AR51" s="48"/>
      <c r="AV51" s="11" t="s">
        <v>55</v>
      </c>
      <c r="AW51" s="70">
        <f>IF(strategy&lt;3,dem_DAC,0)</f>
        <v>2.5</v>
      </c>
      <c r="AX51" s="70">
        <f t="shared" ref="AX51:BF51" si="10">AW51*(1+$AZ$33)</f>
        <v>2.6750000000000003</v>
      </c>
      <c r="AY51" s="70">
        <f t="shared" si="10"/>
        <v>2.8622500000000004</v>
      </c>
      <c r="AZ51" s="70">
        <f t="shared" si="10"/>
        <v>3.0626075000000008</v>
      </c>
      <c r="BA51" s="70">
        <f t="shared" si="10"/>
        <v>3.2769900250000012</v>
      </c>
      <c r="BB51" s="70">
        <f t="shared" si="10"/>
        <v>3.5063793267500016</v>
      </c>
      <c r="BC51" s="70">
        <f t="shared" si="10"/>
        <v>3.7518258796225021</v>
      </c>
      <c r="BD51" s="70">
        <f t="shared" si="10"/>
        <v>4.0144536911960778</v>
      </c>
      <c r="BE51" s="70">
        <f t="shared" si="10"/>
        <v>4.2954654495798037</v>
      </c>
      <c r="BF51" s="70">
        <f t="shared" si="10"/>
        <v>4.5961480310503902</v>
      </c>
      <c r="BG51" s="68"/>
      <c r="BH51" s="68"/>
      <c r="BL51" s="48"/>
      <c r="BM51" s="48" t="s">
        <v>54</v>
      </c>
      <c r="BN51" s="48"/>
      <c r="BR51" s="11" t="s">
        <v>55</v>
      </c>
      <c r="BS51" s="70">
        <f>IF(S&lt;3,DC,0)</f>
        <v>2.5</v>
      </c>
      <c r="BT51" s="70">
        <f t="shared" ref="BT51:CB51" si="11">BS51*(1+$BV$33)</f>
        <v>2.6750000000000003</v>
      </c>
      <c r="BU51" s="70">
        <f t="shared" si="11"/>
        <v>2.8622500000000004</v>
      </c>
      <c r="BV51" s="70">
        <f t="shared" si="11"/>
        <v>3.0626075000000008</v>
      </c>
      <c r="BW51" s="70">
        <f t="shared" si="11"/>
        <v>3.2769900250000012</v>
      </c>
      <c r="BX51" s="70">
        <f t="shared" si="11"/>
        <v>3.5063793267500016</v>
      </c>
      <c r="BY51" s="70">
        <f t="shared" si="11"/>
        <v>3.7518258796225021</v>
      </c>
      <c r="BZ51" s="70">
        <f t="shared" si="11"/>
        <v>4.0144536911960778</v>
      </c>
      <c r="CA51" s="70">
        <f t="shared" si="11"/>
        <v>4.2954654495798037</v>
      </c>
      <c r="CB51" s="70">
        <f t="shared" si="11"/>
        <v>4.5961480310503902</v>
      </c>
    </row>
    <row r="52" spans="1:80" ht="15" x14ac:dyDescent="0.4">
      <c r="A52" s="97"/>
      <c r="B52" s="97"/>
      <c r="C52" s="97"/>
      <c r="D52" s="97"/>
      <c r="E52" s="121"/>
      <c r="F52" s="97" t="s">
        <v>87</v>
      </c>
      <c r="G52" s="126">
        <f>-LN(-G51+1)/$E$2</f>
        <v>10.935148456403384</v>
      </c>
      <c r="H52" s="97"/>
      <c r="I52" s="117">
        <f>L41*K42+L51*K52+L61*K62</f>
        <v>0.30666535908990122</v>
      </c>
      <c r="J52" s="97"/>
      <c r="K52" s="117">
        <f>O48*N48+O51*N51+O54*N54</f>
        <v>0.34099350426244762</v>
      </c>
      <c r="L52" s="97"/>
      <c r="M52" s="117"/>
      <c r="N52" s="97"/>
      <c r="O52" s="128"/>
      <c r="P52" s="126"/>
      <c r="Q52" s="97"/>
      <c r="R52" s="97"/>
      <c r="S52" s="97"/>
      <c r="T52" s="48"/>
      <c r="U52" s="48" t="s">
        <v>56</v>
      </c>
      <c r="V52" s="48"/>
      <c r="Z52" s="11" t="s">
        <v>55</v>
      </c>
      <c r="AA52" s="70">
        <f>IF(Ss&gt;2,DC_*AD32,0)</f>
        <v>0</v>
      </c>
      <c r="AB52" s="70">
        <f>AA52*(1+$AD$33)</f>
        <v>0</v>
      </c>
      <c r="AC52" s="70">
        <f t="shared" si="9"/>
        <v>0</v>
      </c>
      <c r="AD52" s="70">
        <f t="shared" si="9"/>
        <v>0</v>
      </c>
      <c r="AE52" s="70">
        <f t="shared" si="9"/>
        <v>0</v>
      </c>
      <c r="AF52" s="70">
        <f t="shared" si="9"/>
        <v>0</v>
      </c>
      <c r="AG52" s="70">
        <f t="shared" si="9"/>
        <v>0</v>
      </c>
      <c r="AH52" s="70">
        <f t="shared" si="9"/>
        <v>0</v>
      </c>
      <c r="AI52" s="70">
        <f t="shared" si="9"/>
        <v>0</v>
      </c>
      <c r="AJ52" s="70">
        <f t="shared" si="9"/>
        <v>0</v>
      </c>
      <c r="AK52" s="68"/>
      <c r="AL52" s="68"/>
      <c r="AM52" s="68"/>
      <c r="AN52" s="68"/>
      <c r="AO52" s="68"/>
      <c r="AP52" s="48"/>
      <c r="AQ52" s="48" t="s">
        <v>56</v>
      </c>
      <c r="AR52" s="48"/>
      <c r="AV52" s="11" t="s">
        <v>55</v>
      </c>
      <c r="AW52" s="70">
        <f>IF(strategy&gt;2,dem_DAC*AZ32,0)</f>
        <v>0</v>
      </c>
      <c r="AX52" s="70">
        <f t="shared" ref="AX52:BF52" si="12">AW52*(1+$AZ$33)</f>
        <v>0</v>
      </c>
      <c r="AY52" s="70">
        <f t="shared" si="12"/>
        <v>0</v>
      </c>
      <c r="AZ52" s="70">
        <f t="shared" si="12"/>
        <v>0</v>
      </c>
      <c r="BA52" s="70">
        <f t="shared" si="12"/>
        <v>0</v>
      </c>
      <c r="BB52" s="70">
        <f t="shared" si="12"/>
        <v>0</v>
      </c>
      <c r="BC52" s="70">
        <f t="shared" si="12"/>
        <v>0</v>
      </c>
      <c r="BD52" s="70">
        <f t="shared" si="12"/>
        <v>0</v>
      </c>
      <c r="BE52" s="70">
        <f t="shared" si="12"/>
        <v>0</v>
      </c>
      <c r="BF52" s="70">
        <f t="shared" si="12"/>
        <v>0</v>
      </c>
      <c r="BG52" s="68"/>
      <c r="BH52" s="68"/>
      <c r="BL52" s="48"/>
      <c r="BM52" s="48" t="s">
        <v>56</v>
      </c>
      <c r="BN52" s="48"/>
      <c r="BR52" s="11" t="s">
        <v>55</v>
      </c>
      <c r="BS52" s="70">
        <f>IF(S&gt;2,DC*BV32,0)</f>
        <v>0</v>
      </c>
      <c r="BT52" s="70">
        <f t="shared" ref="BT52:CB52" si="13">BS52*(1+$BV$33)</f>
        <v>0</v>
      </c>
      <c r="BU52" s="70">
        <f t="shared" si="13"/>
        <v>0</v>
      </c>
      <c r="BV52" s="70">
        <f t="shared" si="13"/>
        <v>0</v>
      </c>
      <c r="BW52" s="70">
        <f t="shared" si="13"/>
        <v>0</v>
      </c>
      <c r="BX52" s="70">
        <f t="shared" si="13"/>
        <v>0</v>
      </c>
      <c r="BY52" s="70">
        <f t="shared" si="13"/>
        <v>0</v>
      </c>
      <c r="BZ52" s="70">
        <f t="shared" si="13"/>
        <v>0</v>
      </c>
      <c r="CA52" s="70">
        <f t="shared" si="13"/>
        <v>0</v>
      </c>
      <c r="CB52" s="70">
        <f t="shared" si="13"/>
        <v>0</v>
      </c>
    </row>
    <row r="53" spans="1:80" ht="15" x14ac:dyDescent="0.4">
      <c r="A53" s="97"/>
      <c r="B53" s="97"/>
      <c r="C53" s="97"/>
      <c r="D53" s="97"/>
      <c r="E53" s="121"/>
      <c r="F53" s="97"/>
      <c r="G53" s="97"/>
      <c r="H53" s="97"/>
      <c r="I53" s="117"/>
      <c r="J53" s="97"/>
      <c r="K53" s="117"/>
      <c r="L53" s="97"/>
      <c r="M53" s="123"/>
      <c r="N53" s="97"/>
      <c r="O53" s="128"/>
      <c r="P53" s="126"/>
      <c r="Q53" s="97"/>
      <c r="R53" s="97"/>
      <c r="S53" s="97"/>
      <c r="T53" s="48"/>
      <c r="U53" s="48" t="s">
        <v>57</v>
      </c>
      <c r="V53" s="48"/>
      <c r="Z53" s="11" t="s">
        <v>55</v>
      </c>
      <c r="AA53" s="71">
        <f>IF(Ss=1,2.5,IF(OR(Ss=2,Ss=3),8.5,IF(Ss=4,0,"error")))</f>
        <v>2.5</v>
      </c>
      <c r="AB53" s="71">
        <f>$AA$53</f>
        <v>2.5</v>
      </c>
      <c r="AC53" s="71">
        <f t="shared" ref="AC53:AJ53" si="14">$AA$53</f>
        <v>2.5</v>
      </c>
      <c r="AD53" s="71">
        <f t="shared" si="14"/>
        <v>2.5</v>
      </c>
      <c r="AE53" s="71">
        <f t="shared" si="14"/>
        <v>2.5</v>
      </c>
      <c r="AF53" s="71">
        <f t="shared" si="14"/>
        <v>2.5</v>
      </c>
      <c r="AG53" s="71">
        <f t="shared" si="14"/>
        <v>2.5</v>
      </c>
      <c r="AH53" s="71">
        <f t="shared" si="14"/>
        <v>2.5</v>
      </c>
      <c r="AI53" s="71">
        <f t="shared" si="14"/>
        <v>2.5</v>
      </c>
      <c r="AJ53" s="71">
        <f t="shared" si="14"/>
        <v>2.5</v>
      </c>
      <c r="AK53" s="68"/>
      <c r="AL53" s="68"/>
      <c r="AM53" s="68"/>
      <c r="AN53" s="68"/>
      <c r="AO53" s="68"/>
      <c r="AP53" s="48"/>
      <c r="AQ53" s="48" t="s">
        <v>57</v>
      </c>
      <c r="AR53" s="48"/>
      <c r="AV53" s="11" t="s">
        <v>55</v>
      </c>
      <c r="AW53" s="71">
        <f>IF(strategy=1,2.5,IF(OR(strategy=2,strategy=3),8.5,IF(strategy=4,0,"error")))</f>
        <v>2.5</v>
      </c>
      <c r="AX53" s="71">
        <f t="shared" ref="AX53:BF53" si="15">$AW$53</f>
        <v>2.5</v>
      </c>
      <c r="AY53" s="71">
        <f t="shared" si="15"/>
        <v>2.5</v>
      </c>
      <c r="AZ53" s="71">
        <f t="shared" si="15"/>
        <v>2.5</v>
      </c>
      <c r="BA53" s="71">
        <f t="shared" si="15"/>
        <v>2.5</v>
      </c>
      <c r="BB53" s="71">
        <f t="shared" si="15"/>
        <v>2.5</v>
      </c>
      <c r="BC53" s="71">
        <f t="shared" si="15"/>
        <v>2.5</v>
      </c>
      <c r="BD53" s="71">
        <f t="shared" si="15"/>
        <v>2.5</v>
      </c>
      <c r="BE53" s="71">
        <f t="shared" si="15"/>
        <v>2.5</v>
      </c>
      <c r="BF53" s="71">
        <f t="shared" si="15"/>
        <v>2.5</v>
      </c>
      <c r="BG53" s="68"/>
      <c r="BH53" s="68"/>
      <c r="BL53" s="48"/>
      <c r="BM53" s="48" t="s">
        <v>57</v>
      </c>
      <c r="BN53" s="48"/>
      <c r="BR53" s="11" t="s">
        <v>55</v>
      </c>
      <c r="BS53" s="71">
        <f>IF(S=1,2.5,IF(OR(S=2,S=3),8.5,IF(S=4,0,"error")))</f>
        <v>2.5</v>
      </c>
      <c r="BT53" s="71">
        <f t="shared" ref="BT53:CB53" si="16">$BS$53</f>
        <v>2.5</v>
      </c>
      <c r="BU53" s="71">
        <f t="shared" si="16"/>
        <v>2.5</v>
      </c>
      <c r="BV53" s="71">
        <f t="shared" si="16"/>
        <v>2.5</v>
      </c>
      <c r="BW53" s="71">
        <f t="shared" si="16"/>
        <v>2.5</v>
      </c>
      <c r="BX53" s="71">
        <f t="shared" si="16"/>
        <v>2.5</v>
      </c>
      <c r="BY53" s="71">
        <f t="shared" si="16"/>
        <v>2.5</v>
      </c>
      <c r="BZ53" s="71">
        <f t="shared" si="16"/>
        <v>2.5</v>
      </c>
      <c r="CA53" s="71">
        <f t="shared" si="16"/>
        <v>2.5</v>
      </c>
      <c r="CB53" s="71">
        <f t="shared" si="16"/>
        <v>2.5</v>
      </c>
    </row>
    <row r="54" spans="1:80" ht="15" x14ac:dyDescent="0.4">
      <c r="A54" s="97"/>
      <c r="B54" s="97"/>
      <c r="C54" s="97"/>
      <c r="D54" s="97"/>
      <c r="E54" s="121"/>
      <c r="F54" s="97"/>
      <c r="G54" s="97"/>
      <c r="H54" s="97"/>
      <c r="I54" s="117"/>
      <c r="J54" s="97"/>
      <c r="K54" s="117"/>
      <c r="L54" s="97"/>
      <c r="M54" s="122" t="s">
        <v>29</v>
      </c>
      <c r="N54" s="122">
        <v>0.25</v>
      </c>
      <c r="O54" s="128">
        <f>1-EXP(-P54*$E$2)</f>
        <v>8.9358183772292987E-2</v>
      </c>
      <c r="P54" s="126">
        <f>BJ33</f>
        <v>2.8081690654569935</v>
      </c>
      <c r="Q54" s="97"/>
      <c r="R54" s="97"/>
      <c r="S54" s="97"/>
      <c r="T54" s="48"/>
      <c r="U54" s="48" t="s">
        <v>53</v>
      </c>
      <c r="V54" s="48"/>
      <c r="Z54" s="11" t="s">
        <v>55</v>
      </c>
      <c r="AA54" s="70">
        <f t="shared" ref="AA54:AJ54" si="17">MIN(IF(Ss&lt;=2,AA51,AA52),IF(Ss=4,AA52,AA53))</f>
        <v>2.5</v>
      </c>
      <c r="AB54" s="70">
        <f t="shared" si="17"/>
        <v>2.5</v>
      </c>
      <c r="AC54" s="70">
        <f t="shared" si="17"/>
        <v>2.5</v>
      </c>
      <c r="AD54" s="70">
        <f t="shared" si="17"/>
        <v>2.5</v>
      </c>
      <c r="AE54" s="70">
        <f t="shared" si="17"/>
        <v>2.5</v>
      </c>
      <c r="AF54" s="70">
        <f t="shared" si="17"/>
        <v>2.5</v>
      </c>
      <c r="AG54" s="70">
        <f t="shared" si="17"/>
        <v>2.5</v>
      </c>
      <c r="AH54" s="70">
        <f t="shared" si="17"/>
        <v>2.5</v>
      </c>
      <c r="AI54" s="70">
        <f t="shared" si="17"/>
        <v>2.5</v>
      </c>
      <c r="AJ54" s="70">
        <f t="shared" si="17"/>
        <v>2.5</v>
      </c>
      <c r="AK54" s="68"/>
      <c r="AL54" s="68"/>
      <c r="AM54" s="68"/>
      <c r="AN54" s="68"/>
      <c r="AO54" s="68"/>
      <c r="AP54" s="48"/>
      <c r="AQ54" s="48" t="s">
        <v>53</v>
      </c>
      <c r="AR54" s="48"/>
      <c r="AV54" s="11" t="s">
        <v>55</v>
      </c>
      <c r="AW54" s="70">
        <f t="shared" ref="AW54:BF54" si="18">MIN(IF(strategy&lt;=2,AW51,AW52),IF(strategy=4,AW52,AW53))</f>
        <v>2.5</v>
      </c>
      <c r="AX54" s="70">
        <f t="shared" si="18"/>
        <v>2.5</v>
      </c>
      <c r="AY54" s="70">
        <f t="shared" si="18"/>
        <v>2.5</v>
      </c>
      <c r="AZ54" s="70">
        <f t="shared" si="18"/>
        <v>2.5</v>
      </c>
      <c r="BA54" s="70">
        <f t="shared" si="18"/>
        <v>2.5</v>
      </c>
      <c r="BB54" s="70">
        <f t="shared" si="18"/>
        <v>2.5</v>
      </c>
      <c r="BC54" s="70">
        <f t="shared" si="18"/>
        <v>2.5</v>
      </c>
      <c r="BD54" s="70">
        <f t="shared" si="18"/>
        <v>2.5</v>
      </c>
      <c r="BE54" s="70">
        <f t="shared" si="18"/>
        <v>2.5</v>
      </c>
      <c r="BF54" s="70">
        <f t="shared" si="18"/>
        <v>2.5</v>
      </c>
      <c r="BG54" s="68"/>
      <c r="BH54" s="68"/>
      <c r="BL54" s="48"/>
      <c r="BM54" s="48" t="s">
        <v>53</v>
      </c>
      <c r="BN54" s="48"/>
      <c r="BR54" s="11" t="s">
        <v>55</v>
      </c>
      <c r="BS54" s="70">
        <f t="shared" ref="BS54:CB54" si="19">MIN(IF(S&lt;=2,BS51,BS52),IF(S=4,BS52,BS53))</f>
        <v>2.5</v>
      </c>
      <c r="BT54" s="70">
        <f t="shared" si="19"/>
        <v>2.5</v>
      </c>
      <c r="BU54" s="70">
        <f t="shared" si="19"/>
        <v>2.5</v>
      </c>
      <c r="BV54" s="70">
        <f t="shared" si="19"/>
        <v>2.5</v>
      </c>
      <c r="BW54" s="70">
        <f t="shared" si="19"/>
        <v>2.5</v>
      </c>
      <c r="BX54" s="70">
        <f t="shared" si="19"/>
        <v>2.5</v>
      </c>
      <c r="BY54" s="70">
        <f t="shared" si="19"/>
        <v>2.5</v>
      </c>
      <c r="BZ54" s="70">
        <f t="shared" si="19"/>
        <v>2.5</v>
      </c>
      <c r="CA54" s="70">
        <f t="shared" si="19"/>
        <v>2.5</v>
      </c>
      <c r="CB54" s="70">
        <f t="shared" si="19"/>
        <v>2.5</v>
      </c>
    </row>
    <row r="55" spans="1:80" ht="15" x14ac:dyDescent="0.4">
      <c r="A55" s="97"/>
      <c r="B55" s="97"/>
      <c r="C55" s="97"/>
      <c r="D55" s="97"/>
      <c r="E55" s="121"/>
      <c r="F55" s="97"/>
      <c r="G55" s="97"/>
      <c r="H55" s="97"/>
      <c r="I55" s="117"/>
      <c r="J55" s="97"/>
      <c r="K55" s="117"/>
      <c r="L55" s="97"/>
      <c r="M55" s="97"/>
      <c r="N55" s="97"/>
      <c r="O55" s="128"/>
      <c r="P55" s="126"/>
      <c r="Q55" s="97"/>
      <c r="R55" s="97"/>
      <c r="S55" s="97"/>
      <c r="T55" s="48"/>
      <c r="U55" s="48"/>
      <c r="V55" s="48"/>
      <c r="Z55" s="11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68"/>
      <c r="AL55" s="68"/>
      <c r="AM55" s="68"/>
      <c r="AN55" s="68"/>
      <c r="AO55" s="68"/>
      <c r="AP55" s="48"/>
      <c r="AQ55" s="48"/>
      <c r="AR55" s="48"/>
      <c r="AV55" s="11"/>
      <c r="AW55" s="136"/>
      <c r="AX55" s="136"/>
      <c r="AY55" s="136"/>
      <c r="AZ55" s="136"/>
      <c r="BA55" s="136"/>
      <c r="BB55" s="136"/>
      <c r="BC55" s="136"/>
      <c r="BD55" s="136"/>
      <c r="BE55" s="136"/>
      <c r="BF55" s="136"/>
      <c r="BG55" s="68"/>
      <c r="BH55" s="68"/>
      <c r="BL55" s="48"/>
      <c r="BM55" s="48"/>
      <c r="BN55" s="48"/>
      <c r="BR55" s="11"/>
      <c r="BS55" s="136"/>
      <c r="BT55" s="136"/>
      <c r="BU55" s="136"/>
      <c r="BV55" s="136"/>
      <c r="BW55" s="136"/>
      <c r="BX55" s="136"/>
      <c r="BY55" s="136"/>
      <c r="BZ55" s="136"/>
      <c r="CA55" s="136"/>
      <c r="CB55" s="136"/>
    </row>
    <row r="56" spans="1:80" ht="15.4" x14ac:dyDescent="0.45">
      <c r="A56" s="97"/>
      <c r="B56" s="97"/>
      <c r="C56" s="97"/>
      <c r="D56" s="97"/>
      <c r="E56" s="121"/>
      <c r="F56" s="97"/>
      <c r="G56" s="97"/>
      <c r="H56" s="97"/>
      <c r="I56" s="117"/>
      <c r="J56" s="97"/>
      <c r="K56" s="117"/>
      <c r="L56" s="97"/>
      <c r="M56" s="155" t="s">
        <v>42</v>
      </c>
      <c r="N56" s="155"/>
      <c r="O56" s="128"/>
      <c r="P56" s="126"/>
      <c r="Q56" s="97"/>
      <c r="R56" s="97"/>
      <c r="S56" s="97"/>
      <c r="T56" s="49" t="s">
        <v>58</v>
      </c>
      <c r="U56" s="48"/>
      <c r="V56" s="48"/>
      <c r="Z56" s="80" t="s">
        <v>59</v>
      </c>
      <c r="AA56" s="72">
        <f>AA54*$AD$35</f>
        <v>26.875</v>
      </c>
      <c r="AB56" s="72">
        <f t="shared" ref="AB56:AJ56" si="20">AB54*$AD$35</f>
        <v>26.875</v>
      </c>
      <c r="AC56" s="72">
        <f t="shared" si="20"/>
        <v>26.875</v>
      </c>
      <c r="AD56" s="72">
        <f t="shared" si="20"/>
        <v>26.875</v>
      </c>
      <c r="AE56" s="72">
        <f t="shared" si="20"/>
        <v>26.875</v>
      </c>
      <c r="AF56" s="72">
        <f t="shared" si="20"/>
        <v>26.875</v>
      </c>
      <c r="AG56" s="72">
        <f t="shared" si="20"/>
        <v>26.875</v>
      </c>
      <c r="AH56" s="72">
        <f t="shared" si="20"/>
        <v>26.875</v>
      </c>
      <c r="AI56" s="72">
        <f t="shared" si="20"/>
        <v>26.875</v>
      </c>
      <c r="AJ56" s="72">
        <f t="shared" si="20"/>
        <v>26.875</v>
      </c>
      <c r="AK56" s="68"/>
      <c r="AL56" s="68"/>
      <c r="AM56" s="68"/>
      <c r="AN56" s="68"/>
      <c r="AO56" s="68"/>
      <c r="AP56" s="49" t="s">
        <v>58</v>
      </c>
      <c r="AQ56" s="48"/>
      <c r="AR56" s="48"/>
      <c r="AV56" s="80" t="s">
        <v>59</v>
      </c>
      <c r="AW56" s="72">
        <f t="shared" ref="AW56:BF56" si="21">AW54*$AZ$35</f>
        <v>26.875</v>
      </c>
      <c r="AX56" s="72">
        <f t="shared" si="21"/>
        <v>26.875</v>
      </c>
      <c r="AY56" s="72">
        <f t="shared" si="21"/>
        <v>26.875</v>
      </c>
      <c r="AZ56" s="72">
        <f t="shared" si="21"/>
        <v>26.875</v>
      </c>
      <c r="BA56" s="72">
        <f t="shared" si="21"/>
        <v>26.875</v>
      </c>
      <c r="BB56" s="72">
        <f t="shared" si="21"/>
        <v>26.875</v>
      </c>
      <c r="BC56" s="72">
        <f t="shared" si="21"/>
        <v>26.875</v>
      </c>
      <c r="BD56" s="72">
        <f t="shared" si="21"/>
        <v>26.875</v>
      </c>
      <c r="BE56" s="72">
        <f t="shared" si="21"/>
        <v>26.875</v>
      </c>
      <c r="BF56" s="72">
        <f t="shared" si="21"/>
        <v>26.875</v>
      </c>
      <c r="BG56" s="68"/>
      <c r="BH56" s="68"/>
      <c r="BL56" s="49" t="s">
        <v>58</v>
      </c>
      <c r="BM56" s="48"/>
      <c r="BN56" s="48"/>
      <c r="BR56" s="80" t="s">
        <v>59</v>
      </c>
      <c r="BS56" s="72">
        <f t="shared" ref="BS56:CB56" si="22">BS54*$BV$35</f>
        <v>26.875</v>
      </c>
      <c r="BT56" s="72">
        <f t="shared" si="22"/>
        <v>26.875</v>
      </c>
      <c r="BU56" s="72">
        <f t="shared" si="22"/>
        <v>26.875</v>
      </c>
      <c r="BV56" s="72">
        <f t="shared" si="22"/>
        <v>26.875</v>
      </c>
      <c r="BW56" s="72">
        <f t="shared" si="22"/>
        <v>26.875</v>
      </c>
      <c r="BX56" s="72">
        <f t="shared" si="22"/>
        <v>26.875</v>
      </c>
      <c r="BY56" s="72">
        <f t="shared" si="22"/>
        <v>26.875</v>
      </c>
      <c r="BZ56" s="72">
        <f t="shared" si="22"/>
        <v>26.875</v>
      </c>
      <c r="CA56" s="72">
        <f t="shared" si="22"/>
        <v>26.875</v>
      </c>
      <c r="CB56" s="72">
        <f t="shared" si="22"/>
        <v>26.875</v>
      </c>
    </row>
    <row r="57" spans="1:80" ht="15.4" x14ac:dyDescent="0.45">
      <c r="A57" s="97"/>
      <c r="B57" s="97"/>
      <c r="C57" s="97"/>
      <c r="D57" s="97"/>
      <c r="E57" s="121"/>
      <c r="F57" s="97"/>
      <c r="G57" s="97"/>
      <c r="H57" s="97"/>
      <c r="I57" s="117"/>
      <c r="J57" s="97"/>
      <c r="K57" s="117"/>
      <c r="L57" s="97"/>
      <c r="M57" s="97"/>
      <c r="N57" s="97"/>
      <c r="O57" s="128"/>
      <c r="P57" s="126"/>
      <c r="Q57" s="97"/>
      <c r="R57" s="97"/>
      <c r="S57" s="97"/>
      <c r="T57" s="50"/>
      <c r="U57" s="48"/>
      <c r="V57" s="48"/>
      <c r="Z57" s="80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68"/>
      <c r="AL57" s="68"/>
      <c r="AM57" s="68"/>
      <c r="AN57" s="68"/>
      <c r="AO57" s="68"/>
      <c r="AP57" s="50"/>
      <c r="AQ57" s="48"/>
      <c r="AR57" s="48"/>
      <c r="AV57" s="80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68"/>
      <c r="BH57" s="68"/>
      <c r="BL57" s="50"/>
      <c r="BM57" s="48"/>
      <c r="BN57" s="48"/>
      <c r="BR57" s="80"/>
      <c r="BS57" s="72"/>
      <c r="BT57" s="72"/>
      <c r="BU57" s="72"/>
      <c r="BV57" s="72"/>
      <c r="BW57" s="72"/>
      <c r="BX57" s="72"/>
      <c r="BY57" s="72"/>
      <c r="BZ57" s="72"/>
      <c r="CA57" s="72"/>
      <c r="CB57" s="72"/>
    </row>
    <row r="58" spans="1:80" ht="15.4" x14ac:dyDescent="0.45">
      <c r="A58" s="97"/>
      <c r="B58" s="97"/>
      <c r="C58" s="97"/>
      <c r="D58" s="97"/>
      <c r="E58" s="121"/>
      <c r="F58" s="97"/>
      <c r="G58" s="97"/>
      <c r="H58" s="97"/>
      <c r="I58" s="117"/>
      <c r="J58" s="97"/>
      <c r="K58" s="117"/>
      <c r="L58" s="97"/>
      <c r="M58" s="120" t="s">
        <v>31</v>
      </c>
      <c r="N58" s="122">
        <v>0.25</v>
      </c>
      <c r="O58" s="128">
        <f>1-EXP(-P58*$E$2)</f>
        <v>0.32734959144882769</v>
      </c>
      <c r="P58" s="126">
        <f>BI35</f>
        <v>11.895886100256202</v>
      </c>
      <c r="Q58" s="97"/>
      <c r="R58" s="97"/>
      <c r="S58" s="97"/>
      <c r="T58" s="49" t="s">
        <v>60</v>
      </c>
      <c r="U58" s="48"/>
      <c r="V58" s="48"/>
      <c r="Z58" s="80" t="s">
        <v>59</v>
      </c>
      <c r="AA58" s="72">
        <f t="shared" ref="AA58:AJ58" si="23">IF(Ss=4,0,AA54*$AD$36)</f>
        <v>24.375</v>
      </c>
      <c r="AB58" s="72">
        <f t="shared" si="23"/>
        <v>24.375</v>
      </c>
      <c r="AC58" s="72">
        <f t="shared" si="23"/>
        <v>24.375</v>
      </c>
      <c r="AD58" s="72">
        <f t="shared" si="23"/>
        <v>24.375</v>
      </c>
      <c r="AE58" s="72">
        <f t="shared" si="23"/>
        <v>24.375</v>
      </c>
      <c r="AF58" s="72">
        <f t="shared" si="23"/>
        <v>24.375</v>
      </c>
      <c r="AG58" s="72">
        <f t="shared" si="23"/>
        <v>24.375</v>
      </c>
      <c r="AH58" s="72">
        <f t="shared" si="23"/>
        <v>24.375</v>
      </c>
      <c r="AI58" s="72">
        <f t="shared" si="23"/>
        <v>24.375</v>
      </c>
      <c r="AJ58" s="72">
        <f t="shared" si="23"/>
        <v>24.375</v>
      </c>
      <c r="AK58" s="68"/>
      <c r="AL58" s="68"/>
      <c r="AM58" s="68"/>
      <c r="AN58" s="68"/>
      <c r="AO58" s="68"/>
      <c r="AP58" s="49" t="s">
        <v>60</v>
      </c>
      <c r="AQ58" s="48"/>
      <c r="AR58" s="48"/>
      <c r="AV58" s="80" t="s">
        <v>59</v>
      </c>
      <c r="AW58" s="72">
        <f t="shared" ref="AW58:BF58" si="24">IF(strategy=4,0,AW54*$AZ$36)</f>
        <v>23.75</v>
      </c>
      <c r="AX58" s="72">
        <f t="shared" si="24"/>
        <v>23.75</v>
      </c>
      <c r="AY58" s="72">
        <f t="shared" si="24"/>
        <v>23.75</v>
      </c>
      <c r="AZ58" s="72">
        <f t="shared" si="24"/>
        <v>23.75</v>
      </c>
      <c r="BA58" s="72">
        <f t="shared" si="24"/>
        <v>23.75</v>
      </c>
      <c r="BB58" s="72">
        <f t="shared" si="24"/>
        <v>23.75</v>
      </c>
      <c r="BC58" s="72">
        <f t="shared" si="24"/>
        <v>23.75</v>
      </c>
      <c r="BD58" s="72">
        <f t="shared" si="24"/>
        <v>23.75</v>
      </c>
      <c r="BE58" s="72">
        <f t="shared" si="24"/>
        <v>23.75</v>
      </c>
      <c r="BF58" s="72">
        <f t="shared" si="24"/>
        <v>23.75</v>
      </c>
      <c r="BG58" s="68"/>
      <c r="BH58" s="68"/>
      <c r="BL58" s="49" t="s">
        <v>60</v>
      </c>
      <c r="BM58" s="48"/>
      <c r="BN58" s="48"/>
      <c r="BR58" s="80" t="s">
        <v>59</v>
      </c>
      <c r="BS58" s="72">
        <f t="shared" ref="BS58:CB58" si="25">IF(S=4,0,BS54*$BV$36)</f>
        <v>23.125</v>
      </c>
      <c r="BT58" s="72">
        <f t="shared" si="25"/>
        <v>23.125</v>
      </c>
      <c r="BU58" s="72">
        <f t="shared" si="25"/>
        <v>23.125</v>
      </c>
      <c r="BV58" s="72">
        <f t="shared" si="25"/>
        <v>23.125</v>
      </c>
      <c r="BW58" s="72">
        <f t="shared" si="25"/>
        <v>23.125</v>
      </c>
      <c r="BX58" s="72">
        <f t="shared" si="25"/>
        <v>23.125</v>
      </c>
      <c r="BY58" s="72">
        <f t="shared" si="25"/>
        <v>23.125</v>
      </c>
      <c r="BZ58" s="72">
        <f t="shared" si="25"/>
        <v>23.125</v>
      </c>
      <c r="CA58" s="72">
        <f t="shared" si="25"/>
        <v>23.125</v>
      </c>
      <c r="CB58" s="72">
        <f t="shared" si="25"/>
        <v>23.125</v>
      </c>
    </row>
    <row r="59" spans="1:80" ht="15.4" x14ac:dyDescent="0.45">
      <c r="A59" s="97"/>
      <c r="B59" s="97"/>
      <c r="C59" s="97"/>
      <c r="D59" s="97"/>
      <c r="E59" s="121"/>
      <c r="F59" s="97"/>
      <c r="G59" s="97"/>
      <c r="H59" s="97"/>
      <c r="I59" s="117"/>
      <c r="J59" s="97"/>
      <c r="K59" s="117"/>
      <c r="L59" s="97"/>
      <c r="M59" s="117"/>
      <c r="N59" s="97"/>
      <c r="O59" s="128"/>
      <c r="P59" s="126"/>
      <c r="Q59" s="97"/>
      <c r="R59" s="97"/>
      <c r="S59" s="97"/>
      <c r="T59" s="50"/>
      <c r="U59" s="48"/>
      <c r="V59" s="48"/>
      <c r="Z59" s="80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68"/>
      <c r="AL59" s="68"/>
      <c r="AM59" s="68"/>
      <c r="AN59" s="68"/>
      <c r="AO59" s="68"/>
      <c r="AP59" s="50"/>
      <c r="AQ59" s="48"/>
      <c r="AR59" s="48"/>
      <c r="AV59" s="80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68"/>
      <c r="BH59" s="68"/>
      <c r="BL59" s="50"/>
      <c r="BM59" s="48"/>
      <c r="BN59" s="48"/>
      <c r="BR59" s="80"/>
      <c r="BS59" s="72"/>
      <c r="BT59" s="72"/>
      <c r="BU59" s="72"/>
      <c r="BV59" s="72"/>
      <c r="BW59" s="72"/>
      <c r="BX59" s="72"/>
      <c r="BY59" s="72"/>
      <c r="BZ59" s="72"/>
      <c r="CA59" s="72"/>
      <c r="CB59" s="72"/>
    </row>
    <row r="60" spans="1:80" ht="15" x14ac:dyDescent="0.4">
      <c r="A60" s="97"/>
      <c r="B60" s="97"/>
      <c r="C60" s="97"/>
      <c r="D60" s="97"/>
      <c r="E60" s="121"/>
      <c r="F60" s="97"/>
      <c r="G60" s="97"/>
      <c r="H60" s="97"/>
      <c r="I60" s="117"/>
      <c r="J60" s="97"/>
      <c r="K60" s="123"/>
      <c r="L60" s="97"/>
      <c r="M60" s="117"/>
      <c r="N60" s="97"/>
      <c r="O60" s="128"/>
      <c r="P60" s="126"/>
      <c r="Q60" s="97"/>
      <c r="R60" s="97"/>
      <c r="S60" s="97"/>
      <c r="T60" s="51" t="s">
        <v>61</v>
      </c>
      <c r="U60" s="48"/>
      <c r="V60" s="48"/>
      <c r="Z60" s="80" t="s">
        <v>59</v>
      </c>
      <c r="AA60" s="72">
        <f>IF(Ss=2,$AD$37,0)</f>
        <v>0</v>
      </c>
      <c r="AB60" s="72">
        <v>0</v>
      </c>
      <c r="AC60" s="72">
        <v>0</v>
      </c>
      <c r="AD60" s="72">
        <v>0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>
        <v>0</v>
      </c>
      <c r="AK60" s="68"/>
      <c r="AL60" s="68"/>
      <c r="AM60" s="68"/>
      <c r="AN60" s="68"/>
      <c r="AO60" s="68"/>
      <c r="AP60" s="51" t="s">
        <v>61</v>
      </c>
      <c r="AQ60" s="48"/>
      <c r="AR60" s="48"/>
      <c r="AV60" s="80" t="s">
        <v>59</v>
      </c>
      <c r="AW60" s="72">
        <f>IF(strategy=2,$AZ$37,0)</f>
        <v>0</v>
      </c>
      <c r="AX60" s="72">
        <v>0</v>
      </c>
      <c r="AY60" s="72">
        <v>0</v>
      </c>
      <c r="AZ60" s="72">
        <v>0</v>
      </c>
      <c r="BA60" s="72">
        <v>0</v>
      </c>
      <c r="BB60" s="72">
        <v>0</v>
      </c>
      <c r="BC60" s="72">
        <v>0</v>
      </c>
      <c r="BD60" s="72">
        <v>0</v>
      </c>
      <c r="BE60" s="72">
        <v>0</v>
      </c>
      <c r="BF60" s="72">
        <v>0</v>
      </c>
      <c r="BG60" s="68"/>
      <c r="BH60" s="68"/>
      <c r="BL60" s="51" t="s">
        <v>61</v>
      </c>
      <c r="BM60" s="48"/>
      <c r="BN60" s="48"/>
      <c r="BR60" s="80" t="s">
        <v>59</v>
      </c>
      <c r="BS60" s="72">
        <f>IF(S=2,$BV$37,0)</f>
        <v>0</v>
      </c>
      <c r="BT60" s="72">
        <v>0</v>
      </c>
      <c r="BU60" s="72">
        <v>0</v>
      </c>
      <c r="BV60" s="72">
        <v>0</v>
      </c>
      <c r="BW60" s="72">
        <v>0</v>
      </c>
      <c r="BX60" s="72">
        <v>0</v>
      </c>
      <c r="BY60" s="72">
        <v>0</v>
      </c>
      <c r="BZ60" s="72">
        <v>0</v>
      </c>
      <c r="CA60" s="72">
        <v>0</v>
      </c>
      <c r="CB60" s="72">
        <v>0</v>
      </c>
    </row>
    <row r="61" spans="1:80" ht="15" x14ac:dyDescent="0.4">
      <c r="A61" s="97"/>
      <c r="B61" s="97"/>
      <c r="C61" s="97"/>
      <c r="D61" s="97"/>
      <c r="E61" s="121"/>
      <c r="F61" s="97"/>
      <c r="G61" s="97"/>
      <c r="H61" s="97"/>
      <c r="I61" s="117"/>
      <c r="J61" s="97"/>
      <c r="K61" s="122" t="s">
        <v>29</v>
      </c>
      <c r="L61" s="122">
        <v>0.25</v>
      </c>
      <c r="M61" s="120" t="s">
        <v>30</v>
      </c>
      <c r="N61" s="122">
        <v>0.5</v>
      </c>
      <c r="O61" s="128">
        <f>1-EXP(-P61*$E$2)</f>
        <v>0.21950813385669055</v>
      </c>
      <c r="P61" s="126">
        <f>BI34</f>
        <v>7.434928812660127</v>
      </c>
      <c r="Q61" s="97"/>
      <c r="R61" s="97"/>
      <c r="S61" s="97"/>
      <c r="T61" s="48"/>
      <c r="U61" s="48"/>
      <c r="V61" s="48"/>
      <c r="Z61" s="80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68"/>
      <c r="AL61" s="68"/>
      <c r="AM61" s="68"/>
      <c r="AN61" s="68"/>
      <c r="AO61" s="68"/>
      <c r="AP61" s="48"/>
      <c r="AQ61" s="48"/>
      <c r="AR61" s="48"/>
      <c r="AV61" s="80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68"/>
      <c r="BH61" s="68"/>
      <c r="BL61" s="48"/>
      <c r="BM61" s="48"/>
      <c r="BN61" s="48"/>
      <c r="BR61" s="80"/>
      <c r="BS61" s="72"/>
      <c r="BT61" s="72"/>
      <c r="BU61" s="72"/>
      <c r="BV61" s="72"/>
      <c r="BW61" s="72"/>
      <c r="BX61" s="72"/>
      <c r="BY61" s="72"/>
      <c r="BZ61" s="72"/>
      <c r="CA61" s="72"/>
      <c r="CB61" s="72"/>
    </row>
    <row r="62" spans="1:80" ht="15" x14ac:dyDescent="0.4">
      <c r="A62" s="97"/>
      <c r="B62" s="97"/>
      <c r="C62" s="97"/>
      <c r="D62" s="97"/>
      <c r="E62" s="121"/>
      <c r="F62" s="97"/>
      <c r="G62" s="97"/>
      <c r="H62" s="97"/>
      <c r="I62" s="117"/>
      <c r="J62" s="97"/>
      <c r="K62" s="97">
        <f>O58*N58+O61*N61+O64*N64</f>
        <v>0.203680923572262</v>
      </c>
      <c r="L62" s="97"/>
      <c r="M62" s="117"/>
      <c r="N62" s="97"/>
      <c r="O62" s="128"/>
      <c r="P62" s="126"/>
      <c r="Q62" s="97"/>
      <c r="R62" s="97"/>
      <c r="S62" s="97"/>
      <c r="T62" s="51" t="s">
        <v>62</v>
      </c>
      <c r="U62" s="48"/>
      <c r="V62" s="48"/>
      <c r="Z62" s="80" t="s">
        <v>59</v>
      </c>
      <c r="AA62" s="72">
        <f t="shared" ref="AA62:AJ62" si="26">IF(Ss=3,$AB$20*(AA56-AA58),0)</f>
        <v>0</v>
      </c>
      <c r="AB62" s="72">
        <f t="shared" si="26"/>
        <v>0</v>
      </c>
      <c r="AC62" s="72">
        <f t="shared" si="26"/>
        <v>0</v>
      </c>
      <c r="AD62" s="72">
        <f t="shared" si="26"/>
        <v>0</v>
      </c>
      <c r="AE62" s="72">
        <f t="shared" si="26"/>
        <v>0</v>
      </c>
      <c r="AF62" s="72">
        <f t="shared" si="26"/>
        <v>0</v>
      </c>
      <c r="AG62" s="72">
        <f t="shared" si="26"/>
        <v>0</v>
      </c>
      <c r="AH62" s="72">
        <f t="shared" si="26"/>
        <v>0</v>
      </c>
      <c r="AI62" s="72">
        <f t="shared" si="26"/>
        <v>0</v>
      </c>
      <c r="AJ62" s="72">
        <f t="shared" si="26"/>
        <v>0</v>
      </c>
      <c r="AK62" s="68"/>
      <c r="AL62" s="68"/>
      <c r="AM62" s="68"/>
      <c r="AN62" s="68"/>
      <c r="AO62" s="68"/>
      <c r="AP62" s="51" t="s">
        <v>62</v>
      </c>
      <c r="AQ62" s="48"/>
      <c r="AR62" s="48"/>
      <c r="AV62" s="80" t="s">
        <v>59</v>
      </c>
      <c r="AW62" s="72">
        <f t="shared" ref="AW62:BF62" si="27">IF(strategy=3,$AX$20*(AW56-AW58),0)</f>
        <v>0</v>
      </c>
      <c r="AX62" s="72">
        <f t="shared" si="27"/>
        <v>0</v>
      </c>
      <c r="AY62" s="72">
        <f t="shared" si="27"/>
        <v>0</v>
      </c>
      <c r="AZ62" s="72">
        <f t="shared" si="27"/>
        <v>0</v>
      </c>
      <c r="BA62" s="72">
        <f t="shared" si="27"/>
        <v>0</v>
      </c>
      <c r="BB62" s="72">
        <f t="shared" si="27"/>
        <v>0</v>
      </c>
      <c r="BC62" s="72">
        <f t="shared" si="27"/>
        <v>0</v>
      </c>
      <c r="BD62" s="72">
        <f t="shared" si="27"/>
        <v>0</v>
      </c>
      <c r="BE62" s="72">
        <f t="shared" si="27"/>
        <v>0</v>
      </c>
      <c r="BF62" s="72">
        <f t="shared" si="27"/>
        <v>0</v>
      </c>
      <c r="BG62" s="68"/>
      <c r="BH62" s="68"/>
      <c r="BL62" s="51" t="s">
        <v>62</v>
      </c>
      <c r="BM62" s="48"/>
      <c r="BN62" s="48"/>
      <c r="BR62" s="80" t="s">
        <v>59</v>
      </c>
      <c r="BS62" s="72">
        <f t="shared" ref="BS62:CB62" si="28">IF(S=3,$BT$20*(BS56-BS58),0)</f>
        <v>0</v>
      </c>
      <c r="BT62" s="72">
        <f t="shared" si="28"/>
        <v>0</v>
      </c>
      <c r="BU62" s="72">
        <f t="shared" si="28"/>
        <v>0</v>
      </c>
      <c r="BV62" s="72">
        <f t="shared" si="28"/>
        <v>0</v>
      </c>
      <c r="BW62" s="72">
        <f t="shared" si="28"/>
        <v>0</v>
      </c>
      <c r="BX62" s="72">
        <f t="shared" si="28"/>
        <v>0</v>
      </c>
      <c r="BY62" s="72">
        <f t="shared" si="28"/>
        <v>0</v>
      </c>
      <c r="BZ62" s="72">
        <f t="shared" si="28"/>
        <v>0</v>
      </c>
      <c r="CA62" s="72">
        <f t="shared" si="28"/>
        <v>0</v>
      </c>
      <c r="CB62" s="72">
        <f t="shared" si="28"/>
        <v>0</v>
      </c>
    </row>
    <row r="63" spans="1:80" ht="15" x14ac:dyDescent="0.4">
      <c r="A63" s="97"/>
      <c r="B63" s="97"/>
      <c r="C63" s="97"/>
      <c r="D63" s="97"/>
      <c r="E63" s="121"/>
      <c r="F63" s="97"/>
      <c r="G63" s="97"/>
      <c r="H63" s="97"/>
      <c r="I63" s="117"/>
      <c r="J63" s="97"/>
      <c r="K63" s="97"/>
      <c r="L63" s="97"/>
      <c r="M63" s="123"/>
      <c r="N63" s="97"/>
      <c r="O63" s="128"/>
      <c r="P63" s="126"/>
      <c r="Q63" s="97"/>
      <c r="R63" s="97"/>
      <c r="S63" s="97"/>
      <c r="T63" s="51" t="s">
        <v>63</v>
      </c>
      <c r="U63" s="48"/>
      <c r="V63" s="48"/>
      <c r="Z63" s="80" t="s">
        <v>59</v>
      </c>
      <c r="AA63" s="72">
        <f>$AB$21*(AA56)</f>
        <v>26.337499999999999</v>
      </c>
      <c r="AB63" s="72">
        <f t="shared" ref="AB63:AJ63" si="29">$AB$21*(AB56)</f>
        <v>26.337499999999999</v>
      </c>
      <c r="AC63" s="72">
        <f t="shared" si="29"/>
        <v>26.337499999999999</v>
      </c>
      <c r="AD63" s="72">
        <f t="shared" si="29"/>
        <v>26.337499999999999</v>
      </c>
      <c r="AE63" s="72">
        <f t="shared" si="29"/>
        <v>26.337499999999999</v>
      </c>
      <c r="AF63" s="72">
        <f t="shared" si="29"/>
        <v>26.337499999999999</v>
      </c>
      <c r="AG63" s="72">
        <f t="shared" si="29"/>
        <v>26.337499999999999</v>
      </c>
      <c r="AH63" s="72">
        <f t="shared" si="29"/>
        <v>26.337499999999999</v>
      </c>
      <c r="AI63" s="72">
        <f t="shared" si="29"/>
        <v>26.337499999999999</v>
      </c>
      <c r="AJ63" s="72">
        <f t="shared" si="29"/>
        <v>26.337499999999999</v>
      </c>
      <c r="AK63" s="68"/>
      <c r="AL63" s="68"/>
      <c r="AM63" s="68"/>
      <c r="AN63" s="68"/>
      <c r="AO63" s="68"/>
      <c r="AP63" s="51" t="s">
        <v>63</v>
      </c>
      <c r="AQ63" s="48"/>
      <c r="AR63" s="48"/>
      <c r="AV63" s="80" t="s">
        <v>59</v>
      </c>
      <c r="AW63" s="72">
        <f t="shared" ref="AW63:BF63" si="30">$AX$21*(AW56)</f>
        <v>26.337499999999999</v>
      </c>
      <c r="AX63" s="72">
        <f t="shared" si="30"/>
        <v>26.337499999999999</v>
      </c>
      <c r="AY63" s="72">
        <f t="shared" si="30"/>
        <v>26.337499999999999</v>
      </c>
      <c r="AZ63" s="72">
        <f t="shared" si="30"/>
        <v>26.337499999999999</v>
      </c>
      <c r="BA63" s="72">
        <f t="shared" si="30"/>
        <v>26.337499999999999</v>
      </c>
      <c r="BB63" s="72">
        <f t="shared" si="30"/>
        <v>26.337499999999999</v>
      </c>
      <c r="BC63" s="72">
        <f t="shared" si="30"/>
        <v>26.337499999999999</v>
      </c>
      <c r="BD63" s="72">
        <f t="shared" si="30"/>
        <v>26.337499999999999</v>
      </c>
      <c r="BE63" s="72">
        <f t="shared" si="30"/>
        <v>26.337499999999999</v>
      </c>
      <c r="BF63" s="72">
        <f t="shared" si="30"/>
        <v>26.337499999999999</v>
      </c>
      <c r="BG63" s="68"/>
      <c r="BH63" s="68"/>
      <c r="BL63" s="51" t="s">
        <v>63</v>
      </c>
      <c r="BM63" s="48"/>
      <c r="BN63" s="48"/>
      <c r="BR63" s="80" t="s">
        <v>59</v>
      </c>
      <c r="BS63" s="72">
        <f t="shared" ref="BS63:CB63" si="31">$BT$21*(BS56)</f>
        <v>26.337499999999999</v>
      </c>
      <c r="BT63" s="72">
        <f t="shared" si="31"/>
        <v>26.337499999999999</v>
      </c>
      <c r="BU63" s="72">
        <f t="shared" si="31"/>
        <v>26.337499999999999</v>
      </c>
      <c r="BV63" s="72">
        <f t="shared" si="31"/>
        <v>26.337499999999999</v>
      </c>
      <c r="BW63" s="72">
        <f t="shared" si="31"/>
        <v>26.337499999999999</v>
      </c>
      <c r="BX63" s="72">
        <f t="shared" si="31"/>
        <v>26.337499999999999</v>
      </c>
      <c r="BY63" s="72">
        <f t="shared" si="31"/>
        <v>26.337499999999999</v>
      </c>
      <c r="BZ63" s="72">
        <f t="shared" si="31"/>
        <v>26.337499999999999</v>
      </c>
      <c r="CA63" s="72">
        <f t="shared" si="31"/>
        <v>26.337499999999999</v>
      </c>
      <c r="CB63" s="72">
        <f t="shared" si="31"/>
        <v>26.337499999999999</v>
      </c>
    </row>
    <row r="64" spans="1:80" ht="15" x14ac:dyDescent="0.4">
      <c r="A64" s="97"/>
      <c r="B64" s="97"/>
      <c r="C64" s="97"/>
      <c r="D64" s="97"/>
      <c r="E64" s="121"/>
      <c r="F64" s="97"/>
      <c r="G64" s="97"/>
      <c r="H64" s="97"/>
      <c r="I64" s="117"/>
      <c r="J64" s="97"/>
      <c r="K64" s="97"/>
      <c r="L64" s="97"/>
      <c r="M64" s="122" t="s">
        <v>29</v>
      </c>
      <c r="N64" s="122">
        <v>0.25</v>
      </c>
      <c r="O64" s="128">
        <f>1-EXP(-P64*$E$2)</f>
        <v>4.8357835126839221E-2</v>
      </c>
      <c r="P64" s="126">
        <f>BI33</f>
        <v>1.4869857625320253</v>
      </c>
      <c r="Q64" s="97"/>
      <c r="R64" s="97"/>
      <c r="S64" s="97"/>
      <c r="T64" s="48"/>
      <c r="U64" s="48"/>
      <c r="V64" s="48"/>
      <c r="Z64" s="80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68"/>
      <c r="AL64" s="68"/>
      <c r="AM64" s="68"/>
      <c r="AN64" s="68"/>
      <c r="AO64" s="68"/>
      <c r="AP64" s="48"/>
      <c r="AQ64" s="48"/>
      <c r="AR64" s="48"/>
      <c r="AV64" s="80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68"/>
      <c r="BH64" s="68"/>
      <c r="BL64" s="48"/>
      <c r="BM64" s="48"/>
      <c r="BN64" s="48"/>
      <c r="BR64" s="80"/>
      <c r="BS64" s="72"/>
      <c r="BT64" s="72"/>
      <c r="BU64" s="72"/>
      <c r="BV64" s="72"/>
      <c r="BW64" s="72"/>
      <c r="BX64" s="72"/>
      <c r="BY64" s="72"/>
      <c r="BZ64" s="72"/>
      <c r="CA64" s="72"/>
      <c r="CB64" s="72"/>
    </row>
    <row r="65" spans="1:80" ht="15" x14ac:dyDescent="0.4">
      <c r="A65" s="97"/>
      <c r="B65" s="97"/>
      <c r="C65" s="97"/>
      <c r="D65" s="97"/>
      <c r="E65" s="121"/>
      <c r="F65" s="97"/>
      <c r="G65" s="97"/>
      <c r="H65" s="97"/>
      <c r="I65" s="117"/>
      <c r="J65" s="97"/>
      <c r="K65" s="97"/>
      <c r="L65" s="97"/>
      <c r="M65" s="97"/>
      <c r="N65" s="97"/>
      <c r="O65" s="128"/>
      <c r="P65" s="126"/>
      <c r="Q65" s="97"/>
      <c r="R65" s="97"/>
      <c r="S65" s="97"/>
      <c r="T65" s="51" t="s">
        <v>64</v>
      </c>
      <c r="U65" s="48"/>
      <c r="V65" s="48"/>
      <c r="Z65" s="80" t="s">
        <v>59</v>
      </c>
      <c r="AA65" s="72">
        <f t="shared" ref="AA65:AJ65" si="32">IF(Ss=1,AA56-AA58,IF(Ss=2,AA56-AA58-AA60,IF(Ss=3,AA56-AA58-AA62,IF(Ss=4,AA56-AA58-AA63,"error"))))</f>
        <v>2.5</v>
      </c>
      <c r="AB65" s="72">
        <f t="shared" si="32"/>
        <v>2.5</v>
      </c>
      <c r="AC65" s="72">
        <f t="shared" si="32"/>
        <v>2.5</v>
      </c>
      <c r="AD65" s="72">
        <f t="shared" si="32"/>
        <v>2.5</v>
      </c>
      <c r="AE65" s="72">
        <f t="shared" si="32"/>
        <v>2.5</v>
      </c>
      <c r="AF65" s="72">
        <f t="shared" si="32"/>
        <v>2.5</v>
      </c>
      <c r="AG65" s="72">
        <f t="shared" si="32"/>
        <v>2.5</v>
      </c>
      <c r="AH65" s="72">
        <f t="shared" si="32"/>
        <v>2.5</v>
      </c>
      <c r="AI65" s="72">
        <f t="shared" si="32"/>
        <v>2.5</v>
      </c>
      <c r="AJ65" s="72">
        <f t="shared" si="32"/>
        <v>2.5</v>
      </c>
      <c r="AK65" s="68"/>
      <c r="AL65" s="68"/>
      <c r="AM65" s="68"/>
      <c r="AN65" s="68"/>
      <c r="AO65" s="68"/>
      <c r="AP65" s="51" t="s">
        <v>64</v>
      </c>
      <c r="AQ65" s="48"/>
      <c r="AR65" s="48"/>
      <c r="AV65" s="80" t="s">
        <v>59</v>
      </c>
      <c r="AW65" s="72">
        <f t="shared" ref="AW65:BF65" si="33">IF(strategy=1,AW56-AW58,IF(strategy=2,AW56-AW58-AW60,IF(strategy=3,AW56-AW58-AW62,IF(strategy=4,AW56-AW58-AW63,"error"))))</f>
        <v>3.125</v>
      </c>
      <c r="AX65" s="72">
        <f t="shared" si="33"/>
        <v>3.125</v>
      </c>
      <c r="AY65" s="72">
        <f t="shared" si="33"/>
        <v>3.125</v>
      </c>
      <c r="AZ65" s="72">
        <f t="shared" si="33"/>
        <v>3.125</v>
      </c>
      <c r="BA65" s="72">
        <f t="shared" si="33"/>
        <v>3.125</v>
      </c>
      <c r="BB65" s="72">
        <f t="shared" si="33"/>
        <v>3.125</v>
      </c>
      <c r="BC65" s="72">
        <f t="shared" si="33"/>
        <v>3.125</v>
      </c>
      <c r="BD65" s="72">
        <f t="shared" si="33"/>
        <v>3.125</v>
      </c>
      <c r="BE65" s="72">
        <f t="shared" si="33"/>
        <v>3.125</v>
      </c>
      <c r="BF65" s="72">
        <f t="shared" si="33"/>
        <v>3.125</v>
      </c>
      <c r="BG65" s="68"/>
      <c r="BH65" s="68"/>
      <c r="BL65" s="51" t="s">
        <v>64</v>
      </c>
      <c r="BM65" s="48"/>
      <c r="BN65" s="48"/>
      <c r="BR65" s="80" t="s">
        <v>59</v>
      </c>
      <c r="BS65" s="72">
        <f t="shared" ref="BS65:CB65" si="34">IF(S=1,BS56-BS58,IF(S=2,BS56-BS58-BS60,IF(S=3,BS56-BS58-BS62,IF(S=4,BS56-BS58-BS63,"error"))))</f>
        <v>3.75</v>
      </c>
      <c r="BT65" s="72">
        <f t="shared" si="34"/>
        <v>3.75</v>
      </c>
      <c r="BU65" s="72">
        <f t="shared" si="34"/>
        <v>3.75</v>
      </c>
      <c r="BV65" s="72">
        <f t="shared" si="34"/>
        <v>3.75</v>
      </c>
      <c r="BW65" s="72">
        <f t="shared" si="34"/>
        <v>3.75</v>
      </c>
      <c r="BX65" s="72">
        <f t="shared" si="34"/>
        <v>3.75</v>
      </c>
      <c r="BY65" s="72">
        <f t="shared" si="34"/>
        <v>3.75</v>
      </c>
      <c r="BZ65" s="72">
        <f t="shared" si="34"/>
        <v>3.75</v>
      </c>
      <c r="CA65" s="72">
        <f t="shared" si="34"/>
        <v>3.75</v>
      </c>
      <c r="CB65" s="72">
        <f t="shared" si="34"/>
        <v>3.75</v>
      </c>
    </row>
    <row r="66" spans="1:80" ht="15" x14ac:dyDescent="0.4">
      <c r="A66" s="97"/>
      <c r="B66" s="97"/>
      <c r="C66" s="97"/>
      <c r="D66" s="97"/>
      <c r="E66" s="121"/>
      <c r="F66" s="97"/>
      <c r="G66" s="97"/>
      <c r="H66" s="97"/>
      <c r="I66" s="117"/>
      <c r="J66" s="97"/>
      <c r="K66" s="97"/>
      <c r="L66" s="97"/>
      <c r="M66" s="97"/>
      <c r="N66" s="97"/>
      <c r="O66" s="128"/>
      <c r="P66" s="126"/>
      <c r="Q66" s="97"/>
      <c r="R66" s="97"/>
      <c r="S66" s="97"/>
      <c r="T66" s="48"/>
      <c r="U66" s="48"/>
      <c r="V66" s="48"/>
      <c r="Z66" s="80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68"/>
      <c r="AL66" s="68"/>
      <c r="AM66" s="68"/>
      <c r="AN66" s="68"/>
      <c r="AO66" s="68"/>
      <c r="AP66" s="48"/>
      <c r="AQ66" s="48"/>
      <c r="AR66" s="48"/>
      <c r="AV66" s="80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68"/>
      <c r="BH66" s="68"/>
      <c r="BL66" s="48"/>
      <c r="BM66" s="48"/>
      <c r="BN66" s="48"/>
      <c r="BR66" s="80"/>
      <c r="BS66" s="72"/>
      <c r="BT66" s="72"/>
      <c r="BU66" s="72"/>
      <c r="BV66" s="72"/>
      <c r="BW66" s="72"/>
      <c r="BX66" s="72"/>
      <c r="BY66" s="72"/>
      <c r="BZ66" s="72"/>
      <c r="CA66" s="72"/>
      <c r="CB66" s="72"/>
    </row>
    <row r="67" spans="1:80" ht="15" x14ac:dyDescent="0.4">
      <c r="A67" s="97"/>
      <c r="B67" s="97"/>
      <c r="C67" s="97"/>
      <c r="D67" s="97"/>
      <c r="E67" s="121"/>
      <c r="F67" s="97"/>
      <c r="G67" s="97"/>
      <c r="H67" s="97"/>
      <c r="I67" s="117"/>
      <c r="J67" s="97"/>
      <c r="K67" s="97"/>
      <c r="L67" s="97"/>
      <c r="M67" s="155" t="s">
        <v>42</v>
      </c>
      <c r="N67" s="155"/>
      <c r="O67" s="128"/>
      <c r="P67" s="126"/>
      <c r="Q67" s="97"/>
      <c r="R67" s="97"/>
      <c r="S67" s="97"/>
      <c r="T67" s="51" t="s">
        <v>65</v>
      </c>
      <c r="U67" s="48"/>
      <c r="V67" s="48"/>
      <c r="Z67" s="80" t="s">
        <v>59</v>
      </c>
      <c r="AA67" s="72">
        <f t="shared" ref="AA67:AJ67" si="35">TR_*AA65</f>
        <v>0.95</v>
      </c>
      <c r="AB67" s="72">
        <f t="shared" si="35"/>
        <v>0.95</v>
      </c>
      <c r="AC67" s="72">
        <f t="shared" si="35"/>
        <v>0.95</v>
      </c>
      <c r="AD67" s="72">
        <f t="shared" si="35"/>
        <v>0.95</v>
      </c>
      <c r="AE67" s="72">
        <f t="shared" si="35"/>
        <v>0.95</v>
      </c>
      <c r="AF67" s="72">
        <f t="shared" si="35"/>
        <v>0.95</v>
      </c>
      <c r="AG67" s="72">
        <f t="shared" si="35"/>
        <v>0.95</v>
      </c>
      <c r="AH67" s="72">
        <f t="shared" si="35"/>
        <v>0.95</v>
      </c>
      <c r="AI67" s="72">
        <f t="shared" si="35"/>
        <v>0.95</v>
      </c>
      <c r="AJ67" s="72">
        <f t="shared" si="35"/>
        <v>0.95</v>
      </c>
      <c r="AK67" s="68"/>
      <c r="AL67" s="68"/>
      <c r="AM67" s="68"/>
      <c r="AN67" s="68"/>
      <c r="AO67" s="68"/>
      <c r="AP67" s="51" t="s">
        <v>65</v>
      </c>
      <c r="AQ67" s="48"/>
      <c r="AR67" s="48"/>
      <c r="AV67" s="80" t="s">
        <v>59</v>
      </c>
      <c r="AW67" s="72">
        <f t="shared" ref="AW67:BF67" si="36">tax_rate*AW65</f>
        <v>1.1875</v>
      </c>
      <c r="AX67" s="72">
        <f t="shared" si="36"/>
        <v>1.1875</v>
      </c>
      <c r="AY67" s="72">
        <f t="shared" si="36"/>
        <v>1.1875</v>
      </c>
      <c r="AZ67" s="72">
        <f t="shared" si="36"/>
        <v>1.1875</v>
      </c>
      <c r="BA67" s="72">
        <f t="shared" si="36"/>
        <v>1.1875</v>
      </c>
      <c r="BB67" s="72">
        <f t="shared" si="36"/>
        <v>1.1875</v>
      </c>
      <c r="BC67" s="72">
        <f t="shared" si="36"/>
        <v>1.1875</v>
      </c>
      <c r="BD67" s="72">
        <f t="shared" si="36"/>
        <v>1.1875</v>
      </c>
      <c r="BE67" s="72">
        <f t="shared" si="36"/>
        <v>1.1875</v>
      </c>
      <c r="BF67" s="72">
        <f t="shared" si="36"/>
        <v>1.1875</v>
      </c>
      <c r="BG67" s="68"/>
      <c r="BH67" s="68"/>
      <c r="BL67" s="51" t="s">
        <v>65</v>
      </c>
      <c r="BM67" s="48"/>
      <c r="BN67" s="48"/>
      <c r="BR67" s="80" t="s">
        <v>59</v>
      </c>
      <c r="BS67" s="72">
        <f t="shared" ref="BS67:CB67" si="37">TR*BS65</f>
        <v>1.425</v>
      </c>
      <c r="BT67" s="72">
        <f t="shared" si="37"/>
        <v>1.425</v>
      </c>
      <c r="BU67" s="72">
        <f t="shared" si="37"/>
        <v>1.425</v>
      </c>
      <c r="BV67" s="72">
        <f t="shared" si="37"/>
        <v>1.425</v>
      </c>
      <c r="BW67" s="72">
        <f t="shared" si="37"/>
        <v>1.425</v>
      </c>
      <c r="BX67" s="72">
        <f t="shared" si="37"/>
        <v>1.425</v>
      </c>
      <c r="BY67" s="72">
        <f t="shared" si="37"/>
        <v>1.425</v>
      </c>
      <c r="BZ67" s="72">
        <f t="shared" si="37"/>
        <v>1.425</v>
      </c>
      <c r="CA67" s="72">
        <f t="shared" si="37"/>
        <v>1.425</v>
      </c>
      <c r="CB67" s="72">
        <f t="shared" si="37"/>
        <v>1.425</v>
      </c>
    </row>
    <row r="68" spans="1:80" ht="15" x14ac:dyDescent="0.4">
      <c r="A68" s="97"/>
      <c r="B68" s="97"/>
      <c r="C68" s="97"/>
      <c r="D68" s="97"/>
      <c r="E68" s="121"/>
      <c r="F68" s="97"/>
      <c r="G68" s="97"/>
      <c r="H68" s="97"/>
      <c r="I68" s="117"/>
      <c r="J68" s="97"/>
      <c r="K68" s="97"/>
      <c r="L68" s="97"/>
      <c r="M68" s="97"/>
      <c r="N68" s="97"/>
      <c r="O68" s="128"/>
      <c r="P68" s="126"/>
      <c r="Q68" s="97"/>
      <c r="R68" s="97"/>
      <c r="S68" s="97"/>
      <c r="T68" s="51" t="s">
        <v>66</v>
      </c>
      <c r="U68" s="48"/>
      <c r="V68" s="48"/>
      <c r="Z68" s="80" t="s">
        <v>59</v>
      </c>
      <c r="AA68" s="72">
        <f>IF(AA67&lt;0,ABS(AA67),0)</f>
        <v>0</v>
      </c>
      <c r="AB68" s="72">
        <f>IF((AB67-AA68)&lt;0,ABS(AA68-AB67),0)</f>
        <v>0</v>
      </c>
      <c r="AC68" s="72">
        <f t="shared" ref="AC68:AJ68" si="38">IF((AC67-AB68)&lt;0,ABS(AB68-AC67),0)</f>
        <v>0</v>
      </c>
      <c r="AD68" s="72">
        <f t="shared" si="38"/>
        <v>0</v>
      </c>
      <c r="AE68" s="72">
        <f t="shared" si="38"/>
        <v>0</v>
      </c>
      <c r="AF68" s="72">
        <f t="shared" si="38"/>
        <v>0</v>
      </c>
      <c r="AG68" s="72">
        <f t="shared" si="38"/>
        <v>0</v>
      </c>
      <c r="AH68" s="72">
        <f t="shared" si="38"/>
        <v>0</v>
      </c>
      <c r="AI68" s="72">
        <f t="shared" si="38"/>
        <v>0</v>
      </c>
      <c r="AJ68" s="72">
        <f t="shared" si="38"/>
        <v>0</v>
      </c>
      <c r="AK68" s="68"/>
      <c r="AL68" s="68"/>
      <c r="AM68" s="68"/>
      <c r="AN68" s="68"/>
      <c r="AO68" s="68"/>
      <c r="AP68" s="51" t="s">
        <v>66</v>
      </c>
      <c r="AQ68" s="48"/>
      <c r="AR68" s="48"/>
      <c r="AV68" s="80" t="s">
        <v>59</v>
      </c>
      <c r="AW68" s="72">
        <f>IF(AW67&lt;0,ABS(AW67),0)</f>
        <v>0</v>
      </c>
      <c r="AX68" s="72">
        <f>IF((AX67-AW68)&lt;0,ABS(AW68-AX67),0)</f>
        <v>0</v>
      </c>
      <c r="AY68" s="72">
        <f t="shared" ref="AY68:BF68" si="39">IF((AY67-AX68)&lt;0,ABS(AX68-AY67),0)</f>
        <v>0</v>
      </c>
      <c r="AZ68" s="72">
        <f t="shared" si="39"/>
        <v>0</v>
      </c>
      <c r="BA68" s="72">
        <f t="shared" si="39"/>
        <v>0</v>
      </c>
      <c r="BB68" s="72">
        <f t="shared" si="39"/>
        <v>0</v>
      </c>
      <c r="BC68" s="72">
        <f t="shared" si="39"/>
        <v>0</v>
      </c>
      <c r="BD68" s="72">
        <f t="shared" si="39"/>
        <v>0</v>
      </c>
      <c r="BE68" s="72">
        <f t="shared" si="39"/>
        <v>0</v>
      </c>
      <c r="BF68" s="72">
        <f t="shared" si="39"/>
        <v>0</v>
      </c>
      <c r="BG68" s="68"/>
      <c r="BH68" s="68"/>
      <c r="BL68" s="51" t="s">
        <v>66</v>
      </c>
      <c r="BM68" s="48"/>
      <c r="BN68" s="48"/>
      <c r="BR68" s="80" t="s">
        <v>59</v>
      </c>
      <c r="BS68" s="72">
        <f>IF(BS67&lt;0,ABS(BS67),0)</f>
        <v>0</v>
      </c>
      <c r="BT68" s="72">
        <f>IF((BT67-BS68)&lt;0,ABS(BS68-BT67),0)</f>
        <v>0</v>
      </c>
      <c r="BU68" s="72">
        <f t="shared" ref="BU68:CB68" si="40">IF((BU67-BT68)&lt;0,ABS(BT68-BU67),0)</f>
        <v>0</v>
      </c>
      <c r="BV68" s="72">
        <f t="shared" si="40"/>
        <v>0</v>
      </c>
      <c r="BW68" s="72">
        <f t="shared" si="40"/>
        <v>0</v>
      </c>
      <c r="BX68" s="72">
        <f t="shared" si="40"/>
        <v>0</v>
      </c>
      <c r="BY68" s="72">
        <f t="shared" si="40"/>
        <v>0</v>
      </c>
      <c r="BZ68" s="72">
        <f t="shared" si="40"/>
        <v>0</v>
      </c>
      <c r="CA68" s="72">
        <f t="shared" si="40"/>
        <v>0</v>
      </c>
      <c r="CB68" s="72">
        <f t="shared" si="40"/>
        <v>0</v>
      </c>
    </row>
    <row r="69" spans="1:80" ht="15" x14ac:dyDescent="0.4">
      <c r="A69" s="97"/>
      <c r="B69" s="97"/>
      <c r="C69" s="97"/>
      <c r="D69" s="97"/>
      <c r="E69" s="121"/>
      <c r="F69" s="97"/>
      <c r="G69" s="97"/>
      <c r="H69" s="97"/>
      <c r="I69" s="117"/>
      <c r="J69" s="97"/>
      <c r="K69" s="97"/>
      <c r="L69" s="97"/>
      <c r="M69" s="120" t="s">
        <v>31</v>
      </c>
      <c r="N69" s="122">
        <v>0.25</v>
      </c>
      <c r="O69" s="128">
        <f>1-EXP(-P69*$E$2)</f>
        <v>0.5693461826541717</v>
      </c>
      <c r="P69" s="126">
        <f>CG35</f>
        <v>25.273521589112942</v>
      </c>
      <c r="Q69" s="97"/>
      <c r="R69" s="97"/>
      <c r="S69" s="97"/>
      <c r="T69" s="51" t="s">
        <v>67</v>
      </c>
      <c r="U69" s="48"/>
      <c r="V69" s="48"/>
      <c r="Z69" s="80" t="s">
        <v>59</v>
      </c>
      <c r="AA69" s="72">
        <f>IF(AA67&lt;0,0,AA67)</f>
        <v>0.95</v>
      </c>
      <c r="AB69" s="72">
        <f>IF(AB67&lt;0,0,IF((AB67-AA68)&lt;0,0,(AB67-AA68)))</f>
        <v>0.95</v>
      </c>
      <c r="AC69" s="72">
        <f t="shared" ref="AC69:AJ69" si="41">IF(AC67&lt;0,0,IF((AC67-AB68)&lt;0,0,(AC67-AB68)))</f>
        <v>0.95</v>
      </c>
      <c r="AD69" s="72">
        <f t="shared" si="41"/>
        <v>0.95</v>
      </c>
      <c r="AE69" s="72">
        <f t="shared" si="41"/>
        <v>0.95</v>
      </c>
      <c r="AF69" s="72">
        <f t="shared" si="41"/>
        <v>0.95</v>
      </c>
      <c r="AG69" s="72">
        <f t="shared" si="41"/>
        <v>0.95</v>
      </c>
      <c r="AH69" s="72">
        <f t="shared" si="41"/>
        <v>0.95</v>
      </c>
      <c r="AI69" s="72">
        <f t="shared" si="41"/>
        <v>0.95</v>
      </c>
      <c r="AJ69" s="72">
        <f t="shared" si="41"/>
        <v>0.95</v>
      </c>
      <c r="AK69" s="68"/>
      <c r="AL69" s="68"/>
      <c r="AM69" s="68"/>
      <c r="AN69" s="68"/>
      <c r="AO69" s="68"/>
      <c r="AP69" s="51" t="s">
        <v>67</v>
      </c>
      <c r="AQ69" s="48"/>
      <c r="AR69" s="48"/>
      <c r="AV69" s="80" t="s">
        <v>59</v>
      </c>
      <c r="AW69" s="72">
        <f>IF(AW67&lt;0,0,AW67)</f>
        <v>1.1875</v>
      </c>
      <c r="AX69" s="72">
        <f>IF(AX67&lt;0,0,IF((AX67-AW68)&lt;0,0,(AX67-AW68)))</f>
        <v>1.1875</v>
      </c>
      <c r="AY69" s="72">
        <f t="shared" ref="AY69:BF69" si="42">IF(AY67&lt;0,0,IF((AY67-AX68)&lt;0,0,(AY67-AX68)))</f>
        <v>1.1875</v>
      </c>
      <c r="AZ69" s="72">
        <f t="shared" si="42"/>
        <v>1.1875</v>
      </c>
      <c r="BA69" s="72">
        <f t="shared" si="42"/>
        <v>1.1875</v>
      </c>
      <c r="BB69" s="72">
        <f t="shared" si="42"/>
        <v>1.1875</v>
      </c>
      <c r="BC69" s="72">
        <f t="shared" si="42"/>
        <v>1.1875</v>
      </c>
      <c r="BD69" s="72">
        <f t="shared" si="42"/>
        <v>1.1875</v>
      </c>
      <c r="BE69" s="72">
        <f t="shared" si="42"/>
        <v>1.1875</v>
      </c>
      <c r="BF69" s="72">
        <f t="shared" si="42"/>
        <v>1.1875</v>
      </c>
      <c r="BG69" s="68"/>
      <c r="BH69" s="68"/>
      <c r="BL69" s="51" t="s">
        <v>67</v>
      </c>
      <c r="BM69" s="48"/>
      <c r="BN69" s="48"/>
      <c r="BR69" s="80" t="s">
        <v>59</v>
      </c>
      <c r="BS69" s="72">
        <f>IF(BS67&lt;0,0,BS67)</f>
        <v>1.425</v>
      </c>
      <c r="BT69" s="72">
        <f>IF(BT67&lt;0,0,IF((BT67-BS68)&lt;0,0,(BT67-BS68)))</f>
        <v>1.425</v>
      </c>
      <c r="BU69" s="72">
        <f t="shared" ref="BU69:CB69" si="43">IF(BU67&lt;0,0,IF((BU67-BT68)&lt;0,0,(BU67-BT68)))</f>
        <v>1.425</v>
      </c>
      <c r="BV69" s="72">
        <f t="shared" si="43"/>
        <v>1.425</v>
      </c>
      <c r="BW69" s="72">
        <f t="shared" si="43"/>
        <v>1.425</v>
      </c>
      <c r="BX69" s="72">
        <f t="shared" si="43"/>
        <v>1.425</v>
      </c>
      <c r="BY69" s="72">
        <f t="shared" si="43"/>
        <v>1.425</v>
      </c>
      <c r="BZ69" s="72">
        <f t="shared" si="43"/>
        <v>1.425</v>
      </c>
      <c r="CA69" s="72">
        <f t="shared" si="43"/>
        <v>1.425</v>
      </c>
      <c r="CB69" s="72">
        <f t="shared" si="43"/>
        <v>1.425</v>
      </c>
    </row>
    <row r="70" spans="1:80" ht="15" x14ac:dyDescent="0.4">
      <c r="A70" s="97"/>
      <c r="B70" s="97"/>
      <c r="C70" s="97"/>
      <c r="D70" s="97"/>
      <c r="E70" s="121"/>
      <c r="F70" s="97"/>
      <c r="G70" s="97"/>
      <c r="H70" s="97"/>
      <c r="I70" s="117"/>
      <c r="J70" s="97"/>
      <c r="K70" s="155" t="s">
        <v>33</v>
      </c>
      <c r="L70" s="164"/>
      <c r="M70" s="117"/>
      <c r="N70" s="97"/>
      <c r="O70" s="128"/>
      <c r="P70" s="126"/>
      <c r="Q70" s="97"/>
      <c r="R70" s="97"/>
      <c r="S70" s="97"/>
      <c r="T70" s="48"/>
      <c r="U70" s="48"/>
      <c r="V70" s="48"/>
      <c r="Z70" s="80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3"/>
      <c r="AL70" s="73"/>
      <c r="AM70" s="73"/>
      <c r="AN70" s="68"/>
      <c r="AO70" s="68"/>
      <c r="AP70" s="48"/>
      <c r="AQ70" s="48"/>
      <c r="AR70" s="48"/>
      <c r="AV70" s="80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3"/>
      <c r="BH70" s="73"/>
      <c r="BL70" s="48"/>
      <c r="BM70" s="48"/>
      <c r="BN70" s="48"/>
      <c r="BR70" s="80"/>
      <c r="BS70" s="72"/>
      <c r="BT70" s="72"/>
      <c r="BU70" s="72"/>
      <c r="BV70" s="72"/>
      <c r="BW70" s="72"/>
      <c r="BX70" s="72"/>
      <c r="BY70" s="72"/>
      <c r="BZ70" s="72"/>
      <c r="CA70" s="72"/>
      <c r="CB70" s="72"/>
    </row>
    <row r="71" spans="1:80" ht="15" x14ac:dyDescent="0.4">
      <c r="A71" s="97"/>
      <c r="B71" s="97"/>
      <c r="C71" s="97"/>
      <c r="D71" s="97"/>
      <c r="E71" s="121"/>
      <c r="F71" s="97"/>
      <c r="G71" s="97"/>
      <c r="H71" s="97"/>
      <c r="I71" s="117"/>
      <c r="J71" s="97"/>
      <c r="K71" s="97"/>
      <c r="L71" s="97"/>
      <c r="M71" s="117"/>
      <c r="N71" s="97"/>
      <c r="O71" s="128"/>
      <c r="P71" s="126"/>
      <c r="Q71" s="97"/>
      <c r="R71" s="97"/>
      <c r="S71" s="97"/>
      <c r="T71" s="51" t="s">
        <v>68</v>
      </c>
      <c r="Z71" s="80" t="s">
        <v>69</v>
      </c>
      <c r="AA71" s="74">
        <f>AA65-AA69</f>
        <v>1.55</v>
      </c>
      <c r="AB71" s="74">
        <f t="shared" ref="AB71:AJ71" si="44">AB65-AB69</f>
        <v>1.55</v>
      </c>
      <c r="AC71" s="74">
        <f t="shared" si="44"/>
        <v>1.55</v>
      </c>
      <c r="AD71" s="74">
        <f t="shared" si="44"/>
        <v>1.55</v>
      </c>
      <c r="AE71" s="74">
        <f t="shared" si="44"/>
        <v>1.55</v>
      </c>
      <c r="AF71" s="74">
        <f t="shared" si="44"/>
        <v>1.55</v>
      </c>
      <c r="AG71" s="74">
        <f t="shared" si="44"/>
        <v>1.55</v>
      </c>
      <c r="AH71" s="74">
        <f t="shared" si="44"/>
        <v>1.55</v>
      </c>
      <c r="AI71" s="74">
        <f t="shared" si="44"/>
        <v>1.55</v>
      </c>
      <c r="AJ71" s="74">
        <f t="shared" si="44"/>
        <v>1.55</v>
      </c>
      <c r="AK71" s="75"/>
      <c r="AL71" s="75"/>
      <c r="AM71" s="75"/>
      <c r="AN71" s="68"/>
      <c r="AO71" s="68"/>
      <c r="AP71" s="51" t="s">
        <v>68</v>
      </c>
      <c r="AV71" s="80" t="s">
        <v>69</v>
      </c>
      <c r="AW71" s="74">
        <f>AW65-AW69</f>
        <v>1.9375</v>
      </c>
      <c r="AX71" s="74">
        <f t="shared" ref="AX71:BF71" si="45">AX65-AX69</f>
        <v>1.9375</v>
      </c>
      <c r="AY71" s="74">
        <f t="shared" si="45"/>
        <v>1.9375</v>
      </c>
      <c r="AZ71" s="74">
        <f t="shared" si="45"/>
        <v>1.9375</v>
      </c>
      <c r="BA71" s="74">
        <f t="shared" si="45"/>
        <v>1.9375</v>
      </c>
      <c r="BB71" s="74">
        <f t="shared" si="45"/>
        <v>1.9375</v>
      </c>
      <c r="BC71" s="74">
        <f t="shared" si="45"/>
        <v>1.9375</v>
      </c>
      <c r="BD71" s="74">
        <f t="shared" si="45"/>
        <v>1.9375</v>
      </c>
      <c r="BE71" s="74">
        <f t="shared" si="45"/>
        <v>1.9375</v>
      </c>
      <c r="BF71" s="74">
        <f t="shared" si="45"/>
        <v>1.9375</v>
      </c>
      <c r="BG71" s="75"/>
      <c r="BH71" s="75"/>
      <c r="BL71" s="51" t="s">
        <v>68</v>
      </c>
      <c r="BR71" s="80" t="s">
        <v>69</v>
      </c>
      <c r="BS71" s="74">
        <f>BS65-BS69</f>
        <v>2.3250000000000002</v>
      </c>
      <c r="BT71" s="74">
        <f t="shared" ref="BT71:CB71" si="46">BT65-BT69</f>
        <v>2.3250000000000002</v>
      </c>
      <c r="BU71" s="74">
        <f t="shared" si="46"/>
        <v>2.3250000000000002</v>
      </c>
      <c r="BV71" s="74">
        <f t="shared" si="46"/>
        <v>2.3250000000000002</v>
      </c>
      <c r="BW71" s="74">
        <f t="shared" si="46"/>
        <v>2.3250000000000002</v>
      </c>
      <c r="BX71" s="74">
        <f t="shared" si="46"/>
        <v>2.3250000000000002</v>
      </c>
      <c r="BY71" s="74">
        <f t="shared" si="46"/>
        <v>2.3250000000000002</v>
      </c>
      <c r="BZ71" s="74">
        <f t="shared" si="46"/>
        <v>2.3250000000000002</v>
      </c>
      <c r="CA71" s="74">
        <f t="shared" si="46"/>
        <v>2.3250000000000002</v>
      </c>
      <c r="CB71" s="74">
        <f t="shared" si="46"/>
        <v>2.3250000000000002</v>
      </c>
    </row>
    <row r="72" spans="1:80" x14ac:dyDescent="0.35">
      <c r="A72" s="97"/>
      <c r="B72" s="97"/>
      <c r="C72" s="97"/>
      <c r="D72" s="97"/>
      <c r="E72" s="121"/>
      <c r="F72" s="97"/>
      <c r="G72" s="97"/>
      <c r="H72" s="97"/>
      <c r="I72" s="117"/>
      <c r="J72" s="97"/>
      <c r="K72" s="120" t="s">
        <v>31</v>
      </c>
      <c r="L72" s="122">
        <v>0.25</v>
      </c>
      <c r="M72" s="120" t="s">
        <v>30</v>
      </c>
      <c r="N72" s="122">
        <v>0.5</v>
      </c>
      <c r="O72" s="128">
        <f>1-EXP(-P72*$E$2)</f>
        <v>0.42972342303555988</v>
      </c>
      <c r="P72" s="126">
        <f>CG34</f>
        <v>16.849014392741964</v>
      </c>
      <c r="Q72" s="97"/>
      <c r="R72" s="97"/>
      <c r="S72" s="97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</row>
    <row r="73" spans="1:80" ht="15" x14ac:dyDescent="0.4">
      <c r="A73" s="97"/>
      <c r="B73" s="97"/>
      <c r="C73" s="97"/>
      <c r="D73" s="97"/>
      <c r="E73" s="121"/>
      <c r="F73" s="97"/>
      <c r="G73" s="97"/>
      <c r="H73" s="97"/>
      <c r="I73" s="117"/>
      <c r="J73" s="97"/>
      <c r="K73" s="117">
        <f>O69*N69+O72*N72+O75*N75</f>
        <v>0.39988112781569862</v>
      </c>
      <c r="L73" s="97"/>
      <c r="M73" s="117"/>
      <c r="N73" s="97"/>
      <c r="O73" s="128"/>
      <c r="P73" s="126"/>
      <c r="Q73" s="97"/>
      <c r="R73" s="97"/>
      <c r="S73" s="97"/>
      <c r="T73" s="51" t="s">
        <v>70</v>
      </c>
      <c r="U73" s="48"/>
      <c r="V73" s="48"/>
      <c r="Z73" s="80" t="s">
        <v>71</v>
      </c>
      <c r="AA73" s="93">
        <f>AA71+NPV(DRS,AB71,AC71,AD71,AE71,AF71,AG71,AH71,AI71,AJ71)</f>
        <v>11.232676261827974</v>
      </c>
      <c r="AB73" s="92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68"/>
      <c r="AO73" s="68"/>
      <c r="AP73" s="51" t="s">
        <v>70</v>
      </c>
      <c r="AQ73" s="48"/>
      <c r="AR73" s="48"/>
      <c r="AV73" s="80" t="s">
        <v>71</v>
      </c>
      <c r="AW73" s="93">
        <f>AW71+NPV(discount_rate,AX71,AY71,AZ71,BA71,BB71,BC71,BD71,BE71,BF71)</f>
        <v>14.040845327284968</v>
      </c>
      <c r="AX73" s="92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L73" s="51" t="s">
        <v>70</v>
      </c>
      <c r="BM73" s="48"/>
      <c r="BN73" s="48"/>
      <c r="BR73" s="80" t="s">
        <v>71</v>
      </c>
      <c r="BS73" s="93">
        <f>BS71+NPV(DR,BT71,BU71,BV71,BW71,BX71,BY71,BZ71,CA71,CB71)</f>
        <v>16.849014392741964</v>
      </c>
      <c r="BT73" s="92"/>
      <c r="BU73" s="76"/>
      <c r="BV73" s="76"/>
      <c r="BW73" s="76"/>
      <c r="BX73" s="76"/>
      <c r="BY73" s="76"/>
      <c r="BZ73" s="76"/>
      <c r="CA73" s="76"/>
      <c r="CB73" s="76"/>
    </row>
    <row r="74" spans="1:80" x14ac:dyDescent="0.35">
      <c r="A74" s="97"/>
      <c r="B74" s="97"/>
      <c r="C74" s="97"/>
      <c r="D74" s="97"/>
      <c r="E74" s="121"/>
      <c r="F74" s="97"/>
      <c r="G74" s="97"/>
      <c r="H74" s="97"/>
      <c r="I74" s="117"/>
      <c r="J74" s="97"/>
      <c r="K74" s="117"/>
      <c r="L74" s="97"/>
      <c r="M74" s="123"/>
      <c r="N74" s="97"/>
      <c r="O74" s="128"/>
      <c r="P74" s="126"/>
      <c r="Q74" s="97"/>
      <c r="R74" s="97"/>
      <c r="S74" s="97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68"/>
      <c r="AO74" s="68"/>
      <c r="AP74" s="68"/>
    </row>
    <row r="75" spans="1:80" x14ac:dyDescent="0.35">
      <c r="A75" s="97"/>
      <c r="B75" s="97"/>
      <c r="C75" s="97"/>
      <c r="D75" s="97"/>
      <c r="E75" s="121"/>
      <c r="F75" s="97"/>
      <c r="G75" s="97"/>
      <c r="H75" s="97"/>
      <c r="I75" s="117"/>
      <c r="J75" s="97"/>
      <c r="K75" s="117"/>
      <c r="L75" s="97"/>
      <c r="M75" s="122" t="s">
        <v>29</v>
      </c>
      <c r="N75" s="122">
        <v>0.25</v>
      </c>
      <c r="O75" s="128">
        <f>1-EXP(-P75*$E$2)</f>
        <v>0.17073148253750303</v>
      </c>
      <c r="P75" s="126">
        <f>CG33</f>
        <v>5.616338130913987</v>
      </c>
      <c r="Q75" s="97"/>
      <c r="R75" s="97"/>
      <c r="S75" s="97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68"/>
      <c r="AO75" s="68"/>
      <c r="AP75" s="68"/>
    </row>
    <row r="76" spans="1:80" x14ac:dyDescent="0.35">
      <c r="A76" s="97"/>
      <c r="B76" s="97"/>
      <c r="C76" s="97"/>
      <c r="D76" s="97"/>
      <c r="E76" s="121"/>
      <c r="F76" s="97"/>
      <c r="G76" s="97"/>
      <c r="H76" s="97"/>
      <c r="I76" s="117"/>
      <c r="J76" s="97"/>
      <c r="K76" s="117"/>
      <c r="L76" s="97"/>
      <c r="M76" s="97"/>
      <c r="N76" s="97"/>
      <c r="O76" s="128"/>
      <c r="P76" s="126"/>
      <c r="Q76" s="97"/>
      <c r="R76" s="97"/>
      <c r="S76" s="97"/>
      <c r="AA76" s="94"/>
      <c r="AB76" s="75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</row>
    <row r="77" spans="1:80" x14ac:dyDescent="0.35">
      <c r="A77" s="97"/>
      <c r="B77" s="97"/>
      <c r="C77" s="97"/>
      <c r="D77" s="97"/>
      <c r="E77" s="121"/>
      <c r="F77" s="97"/>
      <c r="G77" s="97"/>
      <c r="H77" s="97"/>
      <c r="I77" s="117"/>
      <c r="J77" s="97"/>
      <c r="K77" s="117"/>
      <c r="L77" s="97"/>
      <c r="M77" s="155" t="s">
        <v>42</v>
      </c>
      <c r="N77" s="155"/>
      <c r="O77" s="128"/>
      <c r="P77" s="126"/>
      <c r="Q77" s="97"/>
      <c r="R77" s="97"/>
      <c r="S77" s="97"/>
      <c r="Z77" s="7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68"/>
      <c r="AO77" s="68"/>
      <c r="AP77" s="68"/>
    </row>
    <row r="78" spans="1:80" x14ac:dyDescent="0.35">
      <c r="A78" s="97"/>
      <c r="B78" s="97"/>
      <c r="C78" s="97"/>
      <c r="D78" s="97"/>
      <c r="E78" s="121"/>
      <c r="F78" s="97"/>
      <c r="G78" s="97"/>
      <c r="H78" s="97"/>
      <c r="I78" s="117"/>
      <c r="J78" s="97"/>
      <c r="K78" s="117"/>
      <c r="L78" s="97"/>
      <c r="M78" s="97"/>
      <c r="N78" s="97"/>
      <c r="O78" s="128"/>
      <c r="P78" s="126"/>
      <c r="Q78" s="97"/>
      <c r="R78" s="97"/>
      <c r="S78" s="97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</row>
    <row r="79" spans="1:80" x14ac:dyDescent="0.35">
      <c r="A79" s="97"/>
      <c r="B79" s="97"/>
      <c r="C79" s="97"/>
      <c r="D79" s="97"/>
      <c r="E79" s="121"/>
      <c r="F79" s="97"/>
      <c r="G79" s="97"/>
      <c r="H79" s="97"/>
      <c r="I79" s="117"/>
      <c r="J79" s="97"/>
      <c r="K79" s="117"/>
      <c r="L79" s="97"/>
      <c r="M79" s="120" t="s">
        <v>31</v>
      </c>
      <c r="N79" s="122">
        <v>0.25</v>
      </c>
      <c r="O79" s="128">
        <f>1-EXP(-P79*$E$2)</f>
        <v>0.5693461826541717</v>
      </c>
      <c r="P79" s="126">
        <f>CF35</f>
        <v>25.273521589112942</v>
      </c>
      <c r="Q79" s="97"/>
      <c r="R79" s="97"/>
      <c r="S79" s="97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</row>
    <row r="80" spans="1:80" x14ac:dyDescent="0.35">
      <c r="A80" s="97"/>
      <c r="B80" s="97"/>
      <c r="C80" s="97"/>
      <c r="D80" s="97"/>
      <c r="E80" s="121"/>
      <c r="F80" s="97"/>
      <c r="G80" s="97"/>
      <c r="H80" s="97"/>
      <c r="I80" s="117"/>
      <c r="J80" s="97"/>
      <c r="K80" s="117"/>
      <c r="L80" s="97"/>
      <c r="M80" s="117"/>
      <c r="N80" s="97"/>
      <c r="O80" s="128"/>
      <c r="P80" s="126"/>
      <c r="Q80" s="97"/>
      <c r="R80" s="97"/>
      <c r="S80" s="97"/>
      <c r="U80" s="13"/>
      <c r="AA80" s="77"/>
      <c r="AB80" s="77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</row>
    <row r="81" spans="1:42" x14ac:dyDescent="0.35">
      <c r="A81" s="97"/>
      <c r="B81" s="97"/>
      <c r="C81" s="97"/>
      <c r="D81" s="97"/>
      <c r="E81" s="121"/>
      <c r="F81" s="97"/>
      <c r="G81" s="97"/>
      <c r="H81" s="97"/>
      <c r="I81" s="123"/>
      <c r="J81" s="97"/>
      <c r="K81" s="117"/>
      <c r="L81" s="97"/>
      <c r="M81" s="117"/>
      <c r="N81" s="97"/>
      <c r="O81" s="128"/>
      <c r="P81" s="126"/>
      <c r="Q81" s="97"/>
      <c r="R81" s="97"/>
      <c r="S81" s="97"/>
      <c r="T81" s="13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68"/>
      <c r="AO81" s="68"/>
      <c r="AP81" s="68"/>
    </row>
    <row r="82" spans="1:42" x14ac:dyDescent="0.35">
      <c r="A82" s="97"/>
      <c r="B82" s="97"/>
      <c r="C82" s="97"/>
      <c r="D82" s="97"/>
      <c r="E82" s="121"/>
      <c r="F82" s="97"/>
      <c r="G82" s="97"/>
      <c r="H82" s="97"/>
      <c r="I82" s="122" t="s">
        <v>29</v>
      </c>
      <c r="J82" s="122">
        <v>0.25</v>
      </c>
      <c r="K82" s="120" t="s">
        <v>30</v>
      </c>
      <c r="L82" s="122">
        <v>0.5</v>
      </c>
      <c r="M82" s="120" t="s">
        <v>30</v>
      </c>
      <c r="N82" s="122">
        <v>0.5</v>
      </c>
      <c r="O82" s="128">
        <f>1-EXP(-P82*$E$2)</f>
        <v>0.42972342303555988</v>
      </c>
      <c r="P82" s="126">
        <f>CF34</f>
        <v>16.849014392741964</v>
      </c>
      <c r="Q82" s="97"/>
      <c r="R82" s="97"/>
      <c r="S82" s="97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68"/>
      <c r="AO82" s="68"/>
      <c r="AP82" s="68"/>
    </row>
    <row r="83" spans="1:42" x14ac:dyDescent="0.35">
      <c r="A83" s="97"/>
      <c r="B83" s="97"/>
      <c r="C83" s="97"/>
      <c r="D83" s="97"/>
      <c r="E83" s="121"/>
      <c r="F83" s="97"/>
      <c r="G83" s="97"/>
      <c r="H83" s="97"/>
      <c r="I83" s="97">
        <f>L72*K73+L82*K83+L92*K93</f>
        <v>0.36045814340640187</v>
      </c>
      <c r="J83" s="97"/>
      <c r="K83" s="117">
        <f>O79*N79+O82*N82+O85*N85</f>
        <v>0.39988112781569862</v>
      </c>
      <c r="L83" s="97"/>
      <c r="M83" s="117"/>
      <c r="N83" s="97"/>
      <c r="O83" s="128"/>
      <c r="P83" s="126"/>
      <c r="Q83" s="97"/>
      <c r="R83" s="97"/>
      <c r="S83" s="97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68"/>
      <c r="AO83" s="68"/>
      <c r="AP83" s="68"/>
    </row>
    <row r="84" spans="1:42" x14ac:dyDescent="0.35">
      <c r="A84" s="97"/>
      <c r="B84" s="97"/>
      <c r="C84" s="97"/>
      <c r="D84" s="97"/>
      <c r="E84" s="121"/>
      <c r="F84" s="97"/>
      <c r="G84" s="97"/>
      <c r="H84" s="97"/>
      <c r="I84" s="97"/>
      <c r="J84" s="97"/>
      <c r="K84" s="117"/>
      <c r="L84" s="97"/>
      <c r="M84" s="123"/>
      <c r="N84" s="97"/>
      <c r="O84" s="128"/>
      <c r="P84" s="126"/>
      <c r="Q84" s="97"/>
      <c r="R84" s="97"/>
      <c r="S84" s="97"/>
      <c r="U84" s="33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68"/>
      <c r="AO84" s="68"/>
      <c r="AP84" s="68"/>
    </row>
    <row r="85" spans="1:42" x14ac:dyDescent="0.35">
      <c r="A85" s="97"/>
      <c r="B85" s="97"/>
      <c r="C85" s="97"/>
      <c r="D85" s="97"/>
      <c r="E85" s="121"/>
      <c r="F85" s="97"/>
      <c r="G85" s="97"/>
      <c r="H85" s="97"/>
      <c r="I85" s="97"/>
      <c r="J85" s="97"/>
      <c r="K85" s="117"/>
      <c r="L85" s="97"/>
      <c r="M85" s="122" t="s">
        <v>29</v>
      </c>
      <c r="N85" s="122">
        <v>0.25</v>
      </c>
      <c r="O85" s="128">
        <f>1-EXP(-P85*$E$2)</f>
        <v>0.17073148253750303</v>
      </c>
      <c r="P85" s="126">
        <f>CF33</f>
        <v>5.616338130913987</v>
      </c>
      <c r="Q85" s="97"/>
      <c r="R85" s="97"/>
      <c r="S85" s="97"/>
      <c r="U85" s="33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68"/>
      <c r="AO85" s="68"/>
      <c r="AP85" s="68"/>
    </row>
    <row r="86" spans="1:42" x14ac:dyDescent="0.35">
      <c r="A86" s="97"/>
      <c r="B86" s="97"/>
      <c r="C86" s="97"/>
      <c r="D86" s="97"/>
      <c r="E86" s="121"/>
      <c r="F86" s="97"/>
      <c r="G86" s="97"/>
      <c r="H86" s="97"/>
      <c r="I86" s="97"/>
      <c r="J86" s="97"/>
      <c r="K86" s="117"/>
      <c r="L86" s="97"/>
      <c r="M86" s="97"/>
      <c r="N86" s="97"/>
      <c r="O86" s="128"/>
      <c r="P86" s="126"/>
      <c r="Q86" s="97"/>
      <c r="R86" s="97"/>
      <c r="S86" s="97"/>
      <c r="U86" s="33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68"/>
      <c r="AO86" s="68"/>
      <c r="AP86" s="68"/>
    </row>
    <row r="87" spans="1:42" x14ac:dyDescent="0.35">
      <c r="A87" s="97"/>
      <c r="B87" s="97"/>
      <c r="C87" s="97"/>
      <c r="D87" s="97"/>
      <c r="E87" s="121"/>
      <c r="F87" s="97"/>
      <c r="G87" s="97"/>
      <c r="H87" s="97"/>
      <c r="I87" s="97"/>
      <c r="J87" s="97"/>
      <c r="K87" s="117"/>
      <c r="L87" s="97"/>
      <c r="M87" s="155" t="s">
        <v>42</v>
      </c>
      <c r="N87" s="155"/>
      <c r="O87" s="128"/>
      <c r="P87" s="126"/>
      <c r="Q87" s="97"/>
      <c r="R87" s="97"/>
      <c r="S87" s="97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68"/>
      <c r="AO87" s="68"/>
      <c r="AP87" s="68"/>
    </row>
    <row r="88" spans="1:42" x14ac:dyDescent="0.35">
      <c r="A88" s="97"/>
      <c r="B88" s="97"/>
      <c r="C88" s="97"/>
      <c r="D88" s="97"/>
      <c r="E88" s="121"/>
      <c r="F88" s="97"/>
      <c r="G88" s="97"/>
      <c r="H88" s="97"/>
      <c r="I88" s="97"/>
      <c r="J88" s="97"/>
      <c r="K88" s="117"/>
      <c r="L88" s="97"/>
      <c r="M88" s="97"/>
      <c r="N88" s="97"/>
      <c r="O88" s="128"/>
      <c r="P88" s="126"/>
      <c r="Q88" s="97"/>
      <c r="R88" s="97"/>
      <c r="S88" s="97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68"/>
      <c r="AO88" s="68"/>
      <c r="AP88" s="68"/>
    </row>
    <row r="89" spans="1:42" x14ac:dyDescent="0.35">
      <c r="A89" s="97"/>
      <c r="B89" s="97"/>
      <c r="C89" s="97"/>
      <c r="D89" s="97"/>
      <c r="E89" s="121"/>
      <c r="F89" s="97"/>
      <c r="G89" s="97"/>
      <c r="H89" s="97"/>
      <c r="I89" s="97"/>
      <c r="J89" s="97"/>
      <c r="K89" s="117"/>
      <c r="L89" s="97"/>
      <c r="M89" s="120" t="s">
        <v>31</v>
      </c>
      <c r="N89" s="122">
        <v>0.25</v>
      </c>
      <c r="O89" s="128">
        <f>1-EXP(-P89*$E$2)</f>
        <v>0.35987750900354631</v>
      </c>
      <c r="P89" s="126">
        <f>CE35</f>
        <v>13.38287186278823</v>
      </c>
      <c r="Q89" s="97"/>
      <c r="R89" s="97"/>
      <c r="S89" s="97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68"/>
      <c r="AO89" s="68"/>
      <c r="AP89" s="68"/>
    </row>
    <row r="90" spans="1:42" x14ac:dyDescent="0.35">
      <c r="A90" s="97"/>
      <c r="B90" s="97"/>
      <c r="C90" s="97"/>
      <c r="D90" s="97"/>
      <c r="E90" s="121"/>
      <c r="F90" s="97"/>
      <c r="G90" s="97"/>
      <c r="H90" s="97"/>
      <c r="I90" s="97"/>
      <c r="J90" s="97"/>
      <c r="K90" s="117"/>
      <c r="L90" s="97"/>
      <c r="M90" s="117"/>
      <c r="N90" s="97"/>
      <c r="O90" s="128"/>
      <c r="P90" s="126"/>
      <c r="Q90" s="97"/>
      <c r="R90" s="97"/>
      <c r="S90" s="97"/>
      <c r="Z90" s="12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68"/>
      <c r="AO90" s="68"/>
      <c r="AP90" s="68"/>
    </row>
    <row r="91" spans="1:42" x14ac:dyDescent="0.35">
      <c r="A91" s="97"/>
      <c r="B91" s="97"/>
      <c r="C91" s="97"/>
      <c r="D91" s="97"/>
      <c r="E91" s="121"/>
      <c r="F91" s="97"/>
      <c r="G91" s="97"/>
      <c r="H91" s="97"/>
      <c r="I91" s="97"/>
      <c r="J91" s="97"/>
      <c r="K91" s="123"/>
      <c r="L91" s="97"/>
      <c r="M91" s="117"/>
      <c r="N91" s="97"/>
      <c r="O91" s="128"/>
      <c r="P91" s="126"/>
      <c r="Q91" s="97"/>
      <c r="R91" s="97"/>
      <c r="S91" s="97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68"/>
      <c r="AO91" s="68"/>
      <c r="AP91" s="68"/>
    </row>
    <row r="92" spans="1:42" x14ac:dyDescent="0.35">
      <c r="A92" s="97"/>
      <c r="B92" s="97"/>
      <c r="C92" s="97"/>
      <c r="D92" s="97"/>
      <c r="E92" s="121"/>
      <c r="F92" s="97"/>
      <c r="G92" s="97"/>
      <c r="H92" s="97"/>
      <c r="I92" s="97"/>
      <c r="J92" s="97"/>
      <c r="K92" s="122" t="s">
        <v>29</v>
      </c>
      <c r="L92" s="122">
        <v>0.25</v>
      </c>
      <c r="M92" s="120" t="s">
        <v>30</v>
      </c>
      <c r="N92" s="122">
        <v>0.5</v>
      </c>
      <c r="O92" s="128">
        <f>1-EXP(-P92*$E$2)</f>
        <v>0.2572510308374879</v>
      </c>
      <c r="P92" s="126">
        <f>CE34</f>
        <v>8.9219145751921545</v>
      </c>
      <c r="Q92" s="97"/>
      <c r="R92" s="97"/>
      <c r="S92" s="97"/>
      <c r="AA92" s="75"/>
      <c r="AB92" s="79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68"/>
      <c r="AO92" s="68"/>
      <c r="AP92" s="68"/>
    </row>
    <row r="93" spans="1:42" x14ac:dyDescent="0.35">
      <c r="A93" s="97"/>
      <c r="B93" s="97"/>
      <c r="C93" s="97"/>
      <c r="D93" s="97"/>
      <c r="E93" s="121"/>
      <c r="F93" s="97"/>
      <c r="G93" s="97"/>
      <c r="H93" s="97"/>
      <c r="I93" s="97"/>
      <c r="J93" s="97"/>
      <c r="K93" s="97">
        <f>O89*N89+O92*N92+O95*N95</f>
        <v>0.24218919017851151</v>
      </c>
      <c r="L93" s="97"/>
      <c r="M93" s="117"/>
      <c r="N93" s="97"/>
      <c r="O93" s="128"/>
      <c r="P93" s="126"/>
      <c r="Q93" s="97"/>
      <c r="R93" s="97"/>
      <c r="S93" s="97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</row>
    <row r="94" spans="1:42" x14ac:dyDescent="0.35">
      <c r="A94" s="97"/>
      <c r="B94" s="97"/>
      <c r="C94" s="97"/>
      <c r="D94" s="97"/>
      <c r="E94" s="121"/>
      <c r="F94" s="97"/>
      <c r="G94" s="97"/>
      <c r="H94" s="97"/>
      <c r="I94" s="97"/>
      <c r="J94" s="97"/>
      <c r="K94" s="97"/>
      <c r="L94" s="97"/>
      <c r="M94" s="123"/>
      <c r="N94" s="97"/>
      <c r="O94" s="128"/>
      <c r="P94" s="126"/>
      <c r="Q94" s="97"/>
      <c r="R94" s="97"/>
      <c r="S94" s="97"/>
      <c r="T94" s="13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</row>
    <row r="95" spans="1:42" x14ac:dyDescent="0.35">
      <c r="A95" s="97"/>
      <c r="B95" s="97"/>
      <c r="C95" s="97"/>
      <c r="D95" s="97"/>
      <c r="E95" s="121"/>
      <c r="F95" s="97"/>
      <c r="G95" s="97"/>
      <c r="H95" s="97"/>
      <c r="I95" s="97"/>
      <c r="J95" s="97"/>
      <c r="K95" s="97"/>
      <c r="L95" s="97"/>
      <c r="M95" s="122" t="s">
        <v>29</v>
      </c>
      <c r="N95" s="122">
        <v>0.25</v>
      </c>
      <c r="O95" s="128">
        <f>1-EXP(-P95*$E$2)</f>
        <v>9.4377190035523917E-2</v>
      </c>
      <c r="P95" s="126">
        <f>CE33</f>
        <v>2.9739715250640519</v>
      </c>
      <c r="Q95" s="97"/>
      <c r="R95" s="97"/>
      <c r="S95" s="97"/>
      <c r="T95" s="2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</row>
    <row r="96" spans="1:42" x14ac:dyDescent="0.35">
      <c r="A96" s="97"/>
      <c r="B96" s="97"/>
      <c r="C96" s="97"/>
      <c r="D96" s="97"/>
      <c r="E96" s="121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126"/>
      <c r="Q96" s="97"/>
      <c r="R96" s="97"/>
      <c r="S96" s="97"/>
      <c r="U96" s="13"/>
      <c r="AA96" s="77"/>
      <c r="AB96" s="77"/>
      <c r="AC96" s="77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</row>
    <row r="97" spans="1:42" x14ac:dyDescent="0.35">
      <c r="A97" s="97"/>
      <c r="B97" s="97"/>
      <c r="C97" s="97"/>
      <c r="D97" s="97"/>
      <c r="E97" s="121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13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68"/>
      <c r="AO97" s="68"/>
      <c r="AP97" s="68"/>
    </row>
    <row r="98" spans="1:42" x14ac:dyDescent="0.35">
      <c r="A98" s="97"/>
      <c r="B98" s="97"/>
      <c r="C98" s="97"/>
      <c r="D98" s="97"/>
      <c r="E98" s="121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13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</row>
    <row r="99" spans="1:42" x14ac:dyDescent="0.35">
      <c r="A99" s="97"/>
      <c r="B99" s="97"/>
      <c r="C99" s="97"/>
      <c r="D99" s="97"/>
      <c r="E99" s="121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Z99" s="34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68"/>
      <c r="AO99" s="68"/>
      <c r="AP99" s="68"/>
    </row>
    <row r="100" spans="1:42" x14ac:dyDescent="0.35">
      <c r="A100" s="97"/>
      <c r="B100" s="97"/>
      <c r="C100" s="97"/>
      <c r="D100" s="97"/>
      <c r="E100" s="121"/>
      <c r="F100" s="97"/>
      <c r="G100" s="97"/>
      <c r="H100" s="97"/>
      <c r="I100" s="97"/>
      <c r="J100" s="97"/>
      <c r="K100" s="97"/>
      <c r="L100" s="97"/>
      <c r="M100" s="127" t="s">
        <v>84</v>
      </c>
      <c r="N100" s="127" t="s">
        <v>88</v>
      </c>
      <c r="O100" s="97"/>
      <c r="P100" s="97"/>
      <c r="Q100" s="97"/>
      <c r="R100" s="97"/>
      <c r="S100" s="97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</row>
    <row r="101" spans="1:42" x14ac:dyDescent="0.35">
      <c r="A101" s="97"/>
      <c r="B101" s="97"/>
      <c r="C101" s="97"/>
      <c r="D101" s="97"/>
      <c r="E101" s="121"/>
      <c r="F101" s="97"/>
      <c r="G101" s="97"/>
      <c r="H101" s="97"/>
      <c r="I101" s="97"/>
      <c r="J101" s="97"/>
      <c r="K101" s="155" t="s">
        <v>33</v>
      </c>
      <c r="L101" s="155"/>
      <c r="M101" s="97"/>
      <c r="N101" s="97"/>
      <c r="O101" s="97"/>
      <c r="P101" s="97"/>
      <c r="Q101" s="97"/>
      <c r="R101" s="97"/>
      <c r="S101" s="97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</row>
    <row r="102" spans="1:42" ht="19.149999999999999" x14ac:dyDescent="0.65">
      <c r="A102" s="97"/>
      <c r="B102" s="97"/>
      <c r="C102" s="97"/>
      <c r="D102" s="97"/>
      <c r="E102" s="121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38" t="s">
        <v>0</v>
      </c>
      <c r="AM102" s="75"/>
      <c r="AN102" s="68"/>
      <c r="AO102" s="68"/>
      <c r="AP102" s="68"/>
    </row>
    <row r="103" spans="1:42" ht="13.15" thickBot="1" x14ac:dyDescent="0.4">
      <c r="A103" s="97"/>
      <c r="B103" s="97"/>
      <c r="C103" s="97"/>
      <c r="D103" s="97"/>
      <c r="E103" s="121"/>
      <c r="F103" s="97"/>
      <c r="G103" s="97"/>
      <c r="H103" s="97"/>
      <c r="I103" s="97"/>
      <c r="J103" s="97"/>
      <c r="K103" s="120" t="s">
        <v>31</v>
      </c>
      <c r="L103" s="122">
        <v>0.25</v>
      </c>
      <c r="M103" s="128">
        <f>1-EXP(-N103*$E$2)</f>
        <v>0.8372309766422309</v>
      </c>
      <c r="N103" s="126">
        <f>AR124</f>
        <v>54.462693531999285</v>
      </c>
      <c r="O103" s="97"/>
      <c r="P103" s="97"/>
      <c r="Q103" s="97"/>
      <c r="R103" s="97"/>
      <c r="S103" s="97"/>
      <c r="AM103" s="75"/>
      <c r="AN103" s="68"/>
      <c r="AO103" s="68"/>
      <c r="AP103" s="68"/>
    </row>
    <row r="104" spans="1:42" ht="15.4" x14ac:dyDescent="0.45">
      <c r="A104" s="97"/>
      <c r="B104" s="97"/>
      <c r="C104" s="97"/>
      <c r="D104" s="97"/>
      <c r="E104" s="121"/>
      <c r="F104" s="97"/>
      <c r="G104" s="97"/>
      <c r="H104" s="97"/>
      <c r="I104" s="155" t="s">
        <v>42</v>
      </c>
      <c r="J104" s="164"/>
      <c r="K104" s="117"/>
      <c r="L104" s="97"/>
      <c r="M104" s="128"/>
      <c r="N104" s="126"/>
      <c r="O104" s="97"/>
      <c r="P104" s="97"/>
      <c r="Q104" s="97"/>
      <c r="R104" s="97"/>
      <c r="S104" s="97"/>
      <c r="T104" s="53" t="s">
        <v>1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75"/>
      <c r="AN104" s="68"/>
      <c r="AO104" s="68"/>
      <c r="AP104" s="68"/>
    </row>
    <row r="105" spans="1:42" x14ac:dyDescent="0.35">
      <c r="A105" s="97"/>
      <c r="B105" s="97"/>
      <c r="C105" s="97"/>
      <c r="D105" s="97"/>
      <c r="E105" s="121"/>
      <c r="F105" s="97"/>
      <c r="G105" s="97"/>
      <c r="H105" s="97"/>
      <c r="I105" s="97"/>
      <c r="J105" s="97"/>
      <c r="K105" s="117"/>
      <c r="L105" s="97"/>
      <c r="M105" s="128"/>
      <c r="N105" s="126"/>
      <c r="O105" s="97"/>
      <c r="P105" s="97"/>
      <c r="Q105" s="97"/>
      <c r="R105" s="97"/>
      <c r="S105" s="97"/>
      <c r="T105" s="2"/>
      <c r="AM105" s="68"/>
      <c r="AN105" s="68"/>
      <c r="AO105" s="68"/>
      <c r="AP105" s="68"/>
    </row>
    <row r="106" spans="1:42" x14ac:dyDescent="0.35">
      <c r="A106" s="97"/>
      <c r="B106" s="97"/>
      <c r="C106" s="97"/>
      <c r="D106" s="97"/>
      <c r="E106" s="121"/>
      <c r="F106" s="97"/>
      <c r="G106" s="97"/>
      <c r="H106" s="97"/>
      <c r="I106" s="120" t="s">
        <v>31</v>
      </c>
      <c r="J106" s="122">
        <v>0.25</v>
      </c>
      <c r="K106" s="120" t="s">
        <v>30</v>
      </c>
      <c r="L106" s="122">
        <v>0.5</v>
      </c>
      <c r="M106" s="128">
        <f>1-EXP(-N106*$E$2)</f>
        <v>0.49294621654678528</v>
      </c>
      <c r="N106" s="126">
        <f>AQ124</f>
        <v>20.374145977663837</v>
      </c>
      <c r="O106" s="97"/>
      <c r="P106" s="97"/>
      <c r="Q106" s="97"/>
      <c r="R106" s="97"/>
      <c r="S106" s="97"/>
      <c r="T106" s="3"/>
      <c r="X106" s="4" t="s">
        <v>2</v>
      </c>
      <c r="Y106" s="5"/>
      <c r="Z106" s="5"/>
      <c r="AA106" s="5"/>
      <c r="AB106" s="5"/>
      <c r="AC106" s="5"/>
      <c r="AD106" s="6">
        <v>2</v>
      </c>
      <c r="AE106" s="7" t="s">
        <v>3</v>
      </c>
      <c r="AM106" s="75"/>
      <c r="AN106" s="68"/>
      <c r="AO106" s="68"/>
      <c r="AP106" s="68"/>
    </row>
    <row r="107" spans="1:42" x14ac:dyDescent="0.35">
      <c r="A107" s="97"/>
      <c r="B107" s="97"/>
      <c r="C107" s="97"/>
      <c r="D107" s="97"/>
      <c r="E107" s="121"/>
      <c r="F107" s="97"/>
      <c r="G107" s="97"/>
      <c r="H107" s="97"/>
      <c r="I107" s="117">
        <f>M103*L103+M106*L106+M109*L109</f>
        <v>0.47110711463063237</v>
      </c>
      <c r="J107" s="97"/>
      <c r="K107" s="117"/>
      <c r="L107" s="97"/>
      <c r="M107" s="128"/>
      <c r="N107" s="126"/>
      <c r="O107" s="97"/>
      <c r="P107" s="97"/>
      <c r="Q107" s="97"/>
      <c r="R107" s="97"/>
      <c r="S107" s="97"/>
      <c r="X107" s="8" t="s">
        <v>4</v>
      </c>
      <c r="Y107" s="9"/>
      <c r="Z107" s="9"/>
      <c r="AA107" s="9"/>
      <c r="AB107" s="9"/>
      <c r="AC107" s="9"/>
      <c r="AD107" s="10" t="str">
        <f>INDEX(Y110:Y113,AD106)</f>
        <v>No Partnership / Expansion</v>
      </c>
      <c r="AE107" s="7" t="s">
        <v>5</v>
      </c>
      <c r="AM107" s="68"/>
      <c r="AN107" s="68"/>
      <c r="AO107" s="68"/>
      <c r="AP107" s="68"/>
    </row>
    <row r="108" spans="1:42" x14ac:dyDescent="0.35">
      <c r="A108" s="97"/>
      <c r="B108" s="97"/>
      <c r="C108" s="97"/>
      <c r="D108" s="97"/>
      <c r="E108" s="121"/>
      <c r="F108" s="97"/>
      <c r="G108" s="97"/>
      <c r="H108" s="97"/>
      <c r="I108" s="117"/>
      <c r="J108" s="97"/>
      <c r="K108" s="123"/>
      <c r="L108" s="97"/>
      <c r="M108" s="128"/>
      <c r="N108" s="126"/>
      <c r="O108" s="97"/>
      <c r="P108" s="97"/>
      <c r="Q108" s="97"/>
      <c r="R108" s="97"/>
      <c r="S108" s="97"/>
      <c r="AM108" s="68"/>
      <c r="AN108" s="68"/>
      <c r="AO108" s="68"/>
      <c r="AP108" s="68"/>
    </row>
    <row r="109" spans="1:42" x14ac:dyDescent="0.35">
      <c r="A109" s="97"/>
      <c r="B109" s="97"/>
      <c r="C109" s="97"/>
      <c r="D109" s="97"/>
      <c r="E109" s="121"/>
      <c r="F109" s="97"/>
      <c r="G109" s="97"/>
      <c r="H109" s="97"/>
      <c r="I109" s="117"/>
      <c r="J109" s="97"/>
      <c r="K109" s="122" t="s">
        <v>29</v>
      </c>
      <c r="L109" s="122">
        <v>0.25</v>
      </c>
      <c r="M109" s="128">
        <f>1-EXP(-N109*$E$2)</f>
        <v>6.1305048786727823E-2</v>
      </c>
      <c r="N109" s="126">
        <f>AP124</f>
        <v>1.897941544251001</v>
      </c>
      <c r="O109" s="97"/>
      <c r="P109" s="97"/>
      <c r="Q109" s="97"/>
      <c r="R109" s="97"/>
      <c r="S109" s="97"/>
      <c r="X109" t="s">
        <v>6</v>
      </c>
      <c r="AM109" s="75"/>
      <c r="AN109" s="68"/>
      <c r="AO109" s="68"/>
      <c r="AP109" s="68"/>
    </row>
    <row r="110" spans="1:42" x14ac:dyDescent="0.35">
      <c r="A110" s="97"/>
      <c r="B110" s="97"/>
      <c r="C110" s="97"/>
      <c r="D110" s="97"/>
      <c r="E110" s="121"/>
      <c r="F110" s="97"/>
      <c r="G110" s="97"/>
      <c r="H110" s="97"/>
      <c r="I110" s="117"/>
      <c r="J110" s="97"/>
      <c r="K110" s="97"/>
      <c r="L110" s="97"/>
      <c r="M110" s="128"/>
      <c r="N110" s="126"/>
      <c r="O110" s="97"/>
      <c r="P110" s="97"/>
      <c r="Q110" s="97"/>
      <c r="R110" s="97"/>
      <c r="S110" s="97"/>
      <c r="X110">
        <v>1</v>
      </c>
      <c r="Y110" s="37" t="s">
        <v>7</v>
      </c>
      <c r="AM110" s="75"/>
      <c r="AN110" s="68"/>
      <c r="AO110" s="68"/>
      <c r="AP110" s="68"/>
    </row>
    <row r="111" spans="1:42" x14ac:dyDescent="0.35">
      <c r="A111" s="97"/>
      <c r="B111" s="97"/>
      <c r="C111" s="97"/>
      <c r="D111" s="97"/>
      <c r="E111" s="121"/>
      <c r="F111" s="97"/>
      <c r="G111" s="97"/>
      <c r="H111" s="97"/>
      <c r="I111" s="117"/>
      <c r="J111" s="97"/>
      <c r="K111" s="155" t="s">
        <v>33</v>
      </c>
      <c r="L111" s="155"/>
      <c r="M111" s="128"/>
      <c r="N111" s="126"/>
      <c r="O111" s="97"/>
      <c r="P111" s="97"/>
      <c r="Q111" s="97"/>
      <c r="R111" s="97"/>
      <c r="S111" s="97"/>
      <c r="X111">
        <v>2</v>
      </c>
      <c r="Y111" s="37" t="s">
        <v>8</v>
      </c>
      <c r="AF111" s="11"/>
      <c r="AM111" s="75"/>
      <c r="AN111" s="68"/>
      <c r="AO111" s="68"/>
      <c r="AP111" s="68"/>
    </row>
    <row r="112" spans="1:42" x14ac:dyDescent="0.35">
      <c r="A112" s="97"/>
      <c r="B112" s="97"/>
      <c r="C112" s="97"/>
      <c r="D112" s="97"/>
      <c r="E112" s="121"/>
      <c r="F112" s="97"/>
      <c r="G112" s="97"/>
      <c r="H112" s="97"/>
      <c r="I112" s="117"/>
      <c r="J112" s="97"/>
      <c r="K112" s="97"/>
      <c r="L112" s="97"/>
      <c r="M112" s="128"/>
      <c r="N112" s="126"/>
      <c r="O112" s="97"/>
      <c r="P112" s="97"/>
      <c r="Q112" s="97"/>
      <c r="R112" s="97"/>
      <c r="S112" s="97"/>
      <c r="X112">
        <v>3</v>
      </c>
      <c r="Y112" s="37" t="s">
        <v>9</v>
      </c>
      <c r="AF112" s="11"/>
      <c r="AM112" s="75"/>
      <c r="AN112" s="68"/>
      <c r="AO112" s="68"/>
      <c r="AP112" s="68"/>
    </row>
    <row r="113" spans="1:49" x14ac:dyDescent="0.35">
      <c r="A113" s="97"/>
      <c r="B113" s="97"/>
      <c r="C113" s="97"/>
      <c r="D113" s="97"/>
      <c r="E113" s="121"/>
      <c r="F113" s="97"/>
      <c r="G113" s="97"/>
      <c r="H113" s="97"/>
      <c r="I113" s="117"/>
      <c r="J113" s="97"/>
      <c r="K113" s="120" t="s">
        <v>31</v>
      </c>
      <c r="L113" s="122">
        <v>0.25</v>
      </c>
      <c r="M113" s="128">
        <f>1-EXP(-N113*$E$2)</f>
        <v>0.6382960121518384</v>
      </c>
      <c r="N113" s="126">
        <f>AR123</f>
        <v>30.507873443782131</v>
      </c>
      <c r="O113" s="97"/>
      <c r="P113" s="97"/>
      <c r="Q113" s="97"/>
      <c r="R113" s="97"/>
      <c r="S113" s="97"/>
      <c r="X113">
        <v>4</v>
      </c>
      <c r="Y113" s="37" t="s">
        <v>10</v>
      </c>
      <c r="AM113" s="68"/>
      <c r="AN113" s="68"/>
      <c r="AO113" s="68"/>
      <c r="AP113" s="68"/>
    </row>
    <row r="114" spans="1:49" ht="13.15" thickBot="1" x14ac:dyDescent="0.4">
      <c r="A114" s="97"/>
      <c r="B114" s="97"/>
      <c r="C114" s="97"/>
      <c r="D114" s="97"/>
      <c r="E114" s="121"/>
      <c r="F114" s="97"/>
      <c r="G114" s="97"/>
      <c r="H114" s="97"/>
      <c r="I114" s="117"/>
      <c r="J114" s="97"/>
      <c r="K114" s="117"/>
      <c r="L114" s="97"/>
      <c r="M114" s="128"/>
      <c r="N114" s="126"/>
      <c r="O114" s="97"/>
      <c r="P114" s="97"/>
      <c r="Q114" s="97"/>
      <c r="R114" s="97"/>
      <c r="S114" s="97"/>
      <c r="AM114" s="75"/>
      <c r="AN114" s="68"/>
      <c r="AO114" s="68"/>
      <c r="AP114" s="68"/>
    </row>
    <row r="115" spans="1:49" ht="15.4" x14ac:dyDescent="0.45">
      <c r="A115" s="97"/>
      <c r="B115" s="97"/>
      <c r="C115" s="97"/>
      <c r="D115" s="97"/>
      <c r="E115" s="121"/>
      <c r="F115" s="165" t="s">
        <v>8</v>
      </c>
      <c r="G115" s="156"/>
      <c r="H115" s="157"/>
      <c r="I115" s="117"/>
      <c r="J115" s="97"/>
      <c r="K115" s="117"/>
      <c r="L115" s="97"/>
      <c r="M115" s="128"/>
      <c r="N115" s="126"/>
      <c r="O115" s="97"/>
      <c r="P115" s="97"/>
      <c r="Q115" s="97"/>
      <c r="R115" s="97"/>
      <c r="S115" s="97"/>
      <c r="T115" s="53" t="s">
        <v>11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75"/>
      <c r="AN115" s="68"/>
      <c r="AO115" s="68"/>
      <c r="AP115" s="68"/>
    </row>
    <row r="116" spans="1:49" x14ac:dyDescent="0.35">
      <c r="A116" s="97"/>
      <c r="B116" s="97"/>
      <c r="C116" s="97"/>
      <c r="D116" s="97"/>
      <c r="E116" s="121"/>
      <c r="F116" s="120" t="s">
        <v>84</v>
      </c>
      <c r="G116" s="122">
        <f>J106*I107+J116*I117+J126*I127</f>
        <v>0.17139354061252784</v>
      </c>
      <c r="H116" s="122"/>
      <c r="I116" s="120" t="s">
        <v>30</v>
      </c>
      <c r="J116" s="122">
        <v>0.5</v>
      </c>
      <c r="K116" s="120" t="s">
        <v>30</v>
      </c>
      <c r="L116" s="122">
        <v>0.5</v>
      </c>
      <c r="M116" s="128">
        <f>1-EXP(-N116*$E$2)</f>
        <v>0.2578563935383904</v>
      </c>
      <c r="N116" s="126">
        <f>AQ123</f>
        <v>8.9463754450642767</v>
      </c>
      <c r="O116" s="97"/>
      <c r="P116" s="97"/>
      <c r="Q116" s="97"/>
      <c r="R116" s="97"/>
      <c r="S116" s="97"/>
      <c r="AM116" s="68"/>
      <c r="AN116" s="68"/>
      <c r="AO116" s="68"/>
      <c r="AP116" s="68"/>
    </row>
    <row r="117" spans="1:49" ht="15.4" x14ac:dyDescent="0.45">
      <c r="A117" s="97"/>
      <c r="B117" s="97"/>
      <c r="C117" s="97"/>
      <c r="D117" s="97"/>
      <c r="E117" s="121"/>
      <c r="F117" s="97" t="s">
        <v>87</v>
      </c>
      <c r="G117" s="126">
        <f>-LN(-G116+1)/$E$2</f>
        <v>5.6402986147669862</v>
      </c>
      <c r="H117" s="97"/>
      <c r="I117" s="117">
        <f>M113*L113+M116*L116+M119*L119</f>
        <v>0.26182208335083174</v>
      </c>
      <c r="J117" s="97"/>
      <c r="K117" s="117"/>
      <c r="L117" s="97"/>
      <c r="M117" s="128"/>
      <c r="N117" s="126"/>
      <c r="O117" s="97"/>
      <c r="P117" s="97"/>
      <c r="Q117" s="97"/>
      <c r="R117" s="97"/>
      <c r="S117" s="97"/>
      <c r="T117" s="49"/>
      <c r="U117" s="49" t="s">
        <v>12</v>
      </c>
      <c r="V117" s="49"/>
      <c r="W117" s="49"/>
      <c r="X117" s="49"/>
      <c r="Y117" s="49"/>
      <c r="Z117" s="49"/>
      <c r="AA117" s="55" t="s">
        <v>13</v>
      </c>
      <c r="AB117" s="55" t="s">
        <v>14</v>
      </c>
      <c r="AC117" s="56" t="s">
        <v>15</v>
      </c>
      <c r="AD117" s="55"/>
      <c r="AE117" s="55"/>
      <c r="AF117" s="55"/>
      <c r="AG117" s="55"/>
      <c r="AH117" s="55"/>
      <c r="AI117" s="55"/>
      <c r="AJ117" s="55"/>
      <c r="AK117" s="55"/>
      <c r="AL117" s="55"/>
      <c r="AM117" s="75"/>
      <c r="AN117" s="68"/>
      <c r="AO117" s="68"/>
      <c r="AP117" s="68"/>
      <c r="AW117" s="142"/>
    </row>
    <row r="118" spans="1:49" x14ac:dyDescent="0.35">
      <c r="A118" s="97"/>
      <c r="B118" s="97"/>
      <c r="C118" s="97"/>
      <c r="D118" s="97"/>
      <c r="E118" s="121"/>
      <c r="F118" s="97"/>
      <c r="G118" s="97"/>
      <c r="H118" s="97"/>
      <c r="I118" s="117"/>
      <c r="J118" s="97"/>
      <c r="K118" s="123"/>
      <c r="L118" s="97"/>
      <c r="M118" s="128"/>
      <c r="N118" s="126"/>
      <c r="O118" s="97"/>
      <c r="P118" s="97"/>
      <c r="Q118" s="97"/>
      <c r="R118" s="97"/>
      <c r="S118" s="97"/>
      <c r="T118" s="2"/>
      <c r="U118" s="4"/>
      <c r="V118" s="5"/>
      <c r="W118" s="5"/>
      <c r="X118" s="5"/>
      <c r="Y118" s="5"/>
      <c r="Z118" s="5"/>
      <c r="AA118" s="5"/>
      <c r="AB118" s="5"/>
      <c r="AC118" s="15"/>
      <c r="AD118" s="23"/>
      <c r="AE118" s="3"/>
      <c r="AF118" s="3"/>
      <c r="AG118" s="3"/>
      <c r="AH118" s="3"/>
      <c r="AI118" s="3"/>
      <c r="AJ118" s="3"/>
      <c r="AK118" s="3"/>
      <c r="AL118" s="3"/>
      <c r="AM118" s="68"/>
      <c r="AN118" s="68"/>
      <c r="AO118" s="68"/>
      <c r="AP118" s="68"/>
      <c r="AV118" s="143"/>
    </row>
    <row r="119" spans="1:49" x14ac:dyDescent="0.35">
      <c r="A119" s="97"/>
      <c r="B119" s="97"/>
      <c r="C119" s="97"/>
      <c r="D119" s="97"/>
      <c r="E119" s="121"/>
      <c r="F119" s="97"/>
      <c r="G119" s="97"/>
      <c r="H119" s="97"/>
      <c r="I119" s="117"/>
      <c r="J119" s="97"/>
      <c r="K119" s="122" t="s">
        <v>29</v>
      </c>
      <c r="L119" s="122">
        <v>0.25</v>
      </c>
      <c r="M119" s="128">
        <f>1-EXP(-N119*$E$2)</f>
        <v>-0.10672046582529227</v>
      </c>
      <c r="N119" s="126">
        <f>AP123</f>
        <v>-3.0420332032869943</v>
      </c>
      <c r="O119" s="97"/>
      <c r="P119" s="97"/>
      <c r="Q119" s="97"/>
      <c r="R119" s="97"/>
      <c r="S119" s="97"/>
      <c r="T119" s="24" t="s">
        <v>16</v>
      </c>
      <c r="U119" s="16" t="s">
        <v>17</v>
      </c>
      <c r="V119" s="3"/>
      <c r="W119" s="3"/>
      <c r="X119" s="3"/>
      <c r="Y119" s="3"/>
      <c r="Z119" s="3"/>
      <c r="AA119" s="17" t="s">
        <v>18</v>
      </c>
      <c r="AB119" s="27">
        <f>$H$1</f>
        <v>0.08</v>
      </c>
      <c r="AC119" s="25" t="s">
        <v>19</v>
      </c>
      <c r="AF119" s="26"/>
      <c r="AG119" s="26"/>
      <c r="AH119" s="26"/>
      <c r="AI119" s="26"/>
      <c r="AJ119" s="26"/>
      <c r="AK119" s="26"/>
      <c r="AL119" s="3"/>
      <c r="AM119" s="68"/>
      <c r="AN119" s="68"/>
      <c r="AO119" s="68"/>
      <c r="AP119" s="140" t="s">
        <v>33</v>
      </c>
      <c r="AV119" s="143"/>
    </row>
    <row r="120" spans="1:49" ht="15.4" x14ac:dyDescent="0.45">
      <c r="A120" s="97"/>
      <c r="B120" s="97"/>
      <c r="C120" s="97"/>
      <c r="D120" s="97"/>
      <c r="E120" s="121"/>
      <c r="F120" s="97"/>
      <c r="G120" s="97"/>
      <c r="H120" s="97"/>
      <c r="I120" s="117"/>
      <c r="J120" s="97"/>
      <c r="K120" s="97"/>
      <c r="L120" s="97"/>
      <c r="M120" s="128"/>
      <c r="N120" s="126"/>
      <c r="O120" s="97"/>
      <c r="P120" s="97"/>
      <c r="Q120" s="97"/>
      <c r="R120" s="97"/>
      <c r="S120" s="97"/>
      <c r="T120" s="24" t="s">
        <v>16</v>
      </c>
      <c r="U120" s="16" t="s">
        <v>20</v>
      </c>
      <c r="V120" s="3"/>
      <c r="W120" s="3"/>
      <c r="X120" s="3"/>
      <c r="Y120" s="3"/>
      <c r="Z120" s="3"/>
      <c r="AA120" s="17" t="s">
        <v>18</v>
      </c>
      <c r="AB120" s="91">
        <f>$H$2</f>
        <v>0.38</v>
      </c>
      <c r="AC120" s="25" t="s">
        <v>21</v>
      </c>
      <c r="AF120" s="26"/>
      <c r="AG120" s="26"/>
      <c r="AH120" s="26"/>
      <c r="AI120" s="26"/>
      <c r="AJ120" s="26"/>
      <c r="AK120" s="26"/>
      <c r="AL120" s="3"/>
      <c r="AM120" s="68"/>
      <c r="AN120" s="68"/>
      <c r="AO120" s="68"/>
      <c r="AP120" s="55" t="s">
        <v>29</v>
      </c>
      <c r="AQ120" s="55" t="s">
        <v>30</v>
      </c>
      <c r="AR120" s="55" t="s">
        <v>31</v>
      </c>
      <c r="AV120" s="143"/>
    </row>
    <row r="121" spans="1:49" x14ac:dyDescent="0.35">
      <c r="A121" s="97"/>
      <c r="B121" s="97"/>
      <c r="C121" s="97"/>
      <c r="D121" s="97"/>
      <c r="E121" s="121"/>
      <c r="F121" s="97"/>
      <c r="G121" s="97"/>
      <c r="H121" s="97"/>
      <c r="I121" s="117"/>
      <c r="J121" s="97"/>
      <c r="K121" s="155" t="s">
        <v>33</v>
      </c>
      <c r="L121" s="155"/>
      <c r="M121" s="128"/>
      <c r="N121" s="126"/>
      <c r="O121" s="97"/>
      <c r="P121" s="97"/>
      <c r="Q121" s="97"/>
      <c r="R121" s="97"/>
      <c r="S121" s="97"/>
      <c r="T121" s="24"/>
      <c r="U121" s="16" t="s">
        <v>22</v>
      </c>
      <c r="V121" s="3"/>
      <c r="W121" s="3"/>
      <c r="X121" s="3"/>
      <c r="Y121" s="3"/>
      <c r="Z121" s="3"/>
      <c r="AA121" s="17" t="s">
        <v>18</v>
      </c>
      <c r="AB121" s="91">
        <v>0.6</v>
      </c>
      <c r="AC121" s="25" t="s">
        <v>23</v>
      </c>
      <c r="AF121" s="26"/>
      <c r="AG121" s="26"/>
      <c r="AH121" s="26"/>
      <c r="AI121" s="26"/>
      <c r="AJ121" s="26"/>
      <c r="AK121" s="26"/>
      <c r="AL121" s="3"/>
      <c r="AM121" s="78"/>
      <c r="AN121" s="68"/>
      <c r="AO121" s="141">
        <f>AA174</f>
        <v>8.9463754450642767</v>
      </c>
      <c r="AP121" s="62">
        <v>1</v>
      </c>
      <c r="AQ121" s="63">
        <v>2.5</v>
      </c>
      <c r="AR121" s="64">
        <v>5.5</v>
      </c>
      <c r="AV121" s="143"/>
    </row>
    <row r="122" spans="1:49" ht="15.4" x14ac:dyDescent="0.45">
      <c r="A122" s="97"/>
      <c r="B122" s="97"/>
      <c r="C122" s="97"/>
      <c r="D122" s="97"/>
      <c r="E122" s="121"/>
      <c r="F122" s="97"/>
      <c r="G122" s="97"/>
      <c r="H122" s="97"/>
      <c r="I122" s="117"/>
      <c r="J122" s="97"/>
      <c r="K122" s="97"/>
      <c r="L122" s="97"/>
      <c r="M122" s="128"/>
      <c r="N122" s="126"/>
      <c r="O122" s="97"/>
      <c r="P122" s="97"/>
      <c r="Q122" s="97"/>
      <c r="R122" s="97"/>
      <c r="S122" s="97"/>
      <c r="T122" s="24"/>
      <c r="U122" s="16" t="s">
        <v>24</v>
      </c>
      <c r="V122" s="3"/>
      <c r="W122" s="3"/>
      <c r="X122" s="3"/>
      <c r="Y122" s="3"/>
      <c r="Z122" s="3"/>
      <c r="AA122" s="17" t="s">
        <v>18</v>
      </c>
      <c r="AB122" s="28">
        <f>$H$3</f>
        <v>0.98</v>
      </c>
      <c r="AC122" s="25" t="s">
        <v>25</v>
      </c>
      <c r="AF122" s="40"/>
      <c r="AG122" s="40"/>
      <c r="AH122" s="40"/>
      <c r="AI122" s="40"/>
      <c r="AJ122" s="40"/>
      <c r="AK122" s="40"/>
      <c r="AL122" s="3"/>
      <c r="AM122" s="139" t="s">
        <v>42</v>
      </c>
      <c r="AN122" s="55" t="s">
        <v>29</v>
      </c>
      <c r="AO122" s="85">
        <v>9.75</v>
      </c>
      <c r="AP122" s="68">
        <f t="dataTable" ref="AP122:AR124" dt2D="1" dtr="1" r1="AD132" r2="AD136"/>
        <v>-12.10163586688383</v>
      </c>
      <c r="AQ122">
        <v>-8.5040896672095663</v>
      </c>
      <c r="AR122">
        <v>-2.4298072441115934</v>
      </c>
      <c r="AV122" s="143"/>
    </row>
    <row r="123" spans="1:49" ht="15.4" x14ac:dyDescent="0.45">
      <c r="A123" s="97"/>
      <c r="B123" s="97"/>
      <c r="C123" s="97"/>
      <c r="D123" s="97"/>
      <c r="E123" s="121"/>
      <c r="F123" s="97"/>
      <c r="G123" s="97"/>
      <c r="H123" s="97"/>
      <c r="I123" s="117"/>
      <c r="J123" s="97"/>
      <c r="K123" s="120" t="s">
        <v>31</v>
      </c>
      <c r="L123" s="122">
        <v>0.25</v>
      </c>
      <c r="M123" s="128">
        <f>1-EXP(-N123*$E$2)</f>
        <v>-8.4363929293292506E-2</v>
      </c>
      <c r="N123" s="126">
        <f>AR122</f>
        <v>-2.4298072441115934</v>
      </c>
      <c r="O123" s="97"/>
      <c r="P123" s="97"/>
      <c r="Q123" s="97"/>
      <c r="R123" s="97"/>
      <c r="S123" s="97"/>
      <c r="T123" s="24"/>
      <c r="U123" s="16"/>
      <c r="V123" s="3"/>
      <c r="W123" s="3"/>
      <c r="X123" s="3"/>
      <c r="Y123" s="3"/>
      <c r="Z123" s="3"/>
      <c r="AA123" s="17"/>
      <c r="AB123" s="40"/>
      <c r="AC123" s="25"/>
      <c r="AF123" s="40"/>
      <c r="AG123" s="40"/>
      <c r="AH123" s="40"/>
      <c r="AI123" s="40"/>
      <c r="AJ123" s="40"/>
      <c r="AK123" s="40"/>
      <c r="AL123" s="3"/>
      <c r="AM123" s="75"/>
      <c r="AN123" s="55" t="s">
        <v>30</v>
      </c>
      <c r="AO123" s="86">
        <v>10.75</v>
      </c>
      <c r="AP123" s="68">
        <v>-3.0420332032869943</v>
      </c>
      <c r="AQ123">
        <v>8.9463754450642767</v>
      </c>
      <c r="AR123">
        <v>30.507873443782131</v>
      </c>
      <c r="AV123" s="143"/>
    </row>
    <row r="124" spans="1:49" ht="15.4" x14ac:dyDescent="0.45">
      <c r="A124" s="97"/>
      <c r="B124" s="97"/>
      <c r="C124" s="97"/>
      <c r="D124" s="97"/>
      <c r="E124" s="121"/>
      <c r="F124" s="97"/>
      <c r="G124" s="97"/>
      <c r="H124" s="97"/>
      <c r="I124" s="117"/>
      <c r="J124" s="97"/>
      <c r="K124" s="117"/>
      <c r="L124" s="97"/>
      <c r="M124" s="128"/>
      <c r="N124" s="126"/>
      <c r="O124" s="97"/>
      <c r="P124" s="97"/>
      <c r="Q124" s="97"/>
      <c r="R124" s="97"/>
      <c r="S124" s="97"/>
      <c r="T124" s="24"/>
      <c r="U124" s="16"/>
      <c r="V124" s="3"/>
      <c r="W124" s="3"/>
      <c r="X124" s="3"/>
      <c r="Y124" s="3"/>
      <c r="Z124" s="3"/>
      <c r="AA124" s="17"/>
      <c r="AB124" s="39"/>
      <c r="AC124" s="25"/>
      <c r="AF124" s="39"/>
      <c r="AG124" s="39"/>
      <c r="AH124" s="39"/>
      <c r="AI124" s="39"/>
      <c r="AJ124" s="39"/>
      <c r="AK124" s="39"/>
      <c r="AL124" s="3"/>
      <c r="AM124" s="75"/>
      <c r="AN124" s="55" t="s">
        <v>31</v>
      </c>
      <c r="AO124" s="87">
        <v>11.5</v>
      </c>
      <c r="AP124" s="68">
        <v>1.897941544251001</v>
      </c>
      <c r="AQ124">
        <v>20.374145977663837</v>
      </c>
      <c r="AR124">
        <v>54.462693531999285</v>
      </c>
      <c r="AV124" s="143"/>
    </row>
    <row r="125" spans="1:49" x14ac:dyDescent="0.35">
      <c r="A125" s="97"/>
      <c r="B125" s="97"/>
      <c r="C125" s="97"/>
      <c r="D125" s="97"/>
      <c r="E125" s="121"/>
      <c r="F125" s="97"/>
      <c r="G125" s="97"/>
      <c r="H125" s="97"/>
      <c r="I125" s="123"/>
      <c r="J125" s="97"/>
      <c r="K125" s="117"/>
      <c r="L125" s="97"/>
      <c r="M125" s="128"/>
      <c r="N125" s="126"/>
      <c r="O125" s="97"/>
      <c r="P125" s="97"/>
      <c r="Q125" s="97"/>
      <c r="R125" s="97"/>
      <c r="S125" s="97"/>
      <c r="T125" s="24"/>
      <c r="U125" s="16"/>
      <c r="V125" s="3"/>
      <c r="W125" s="3"/>
      <c r="X125" s="3"/>
      <c r="Y125" s="3"/>
      <c r="Z125" s="3"/>
      <c r="AA125" s="17"/>
      <c r="AB125" s="39"/>
      <c r="AC125" s="25"/>
      <c r="AF125" s="39"/>
      <c r="AG125" s="39"/>
      <c r="AH125" s="39"/>
      <c r="AI125" s="39"/>
      <c r="AJ125" s="39"/>
      <c r="AK125" s="39"/>
      <c r="AL125" s="3"/>
      <c r="AM125" s="75"/>
      <c r="AN125" s="68"/>
      <c r="AO125" s="68"/>
      <c r="AP125" s="68"/>
      <c r="AV125" s="143"/>
    </row>
    <row r="126" spans="1:49" x14ac:dyDescent="0.35">
      <c r="A126" s="97"/>
      <c r="B126" s="97"/>
      <c r="C126" s="97"/>
      <c r="D126" s="97"/>
      <c r="E126" s="121"/>
      <c r="F126" s="97"/>
      <c r="G126" s="97"/>
      <c r="H126" s="97"/>
      <c r="I126" s="122" t="s">
        <v>29</v>
      </c>
      <c r="J126" s="122">
        <v>0.25</v>
      </c>
      <c r="K126" s="120" t="s">
        <v>30</v>
      </c>
      <c r="L126" s="122">
        <v>0.5</v>
      </c>
      <c r="M126" s="128">
        <f>1-EXP(-N126*$E$2)</f>
        <v>-0.32772859054015502</v>
      </c>
      <c r="N126" s="126">
        <f>AQ122</f>
        <v>-8.5040896672095663</v>
      </c>
      <c r="O126" s="97"/>
      <c r="P126" s="97"/>
      <c r="Q126" s="97"/>
      <c r="R126" s="97"/>
      <c r="S126" s="97"/>
      <c r="T126" s="24" t="s">
        <v>16</v>
      </c>
      <c r="U126" s="18"/>
      <c r="V126" s="19"/>
      <c r="W126" s="19"/>
      <c r="X126" s="19"/>
      <c r="Y126" s="19"/>
      <c r="Z126" s="19"/>
      <c r="AA126" s="19"/>
      <c r="AB126" s="19"/>
      <c r="AC126" s="59"/>
      <c r="AD126" s="23"/>
      <c r="AE126" s="3"/>
      <c r="AF126" s="3"/>
      <c r="AG126" s="3"/>
      <c r="AH126" s="3"/>
      <c r="AI126" s="3"/>
      <c r="AJ126" s="3"/>
      <c r="AK126" s="3"/>
      <c r="AL126" s="3"/>
      <c r="AM126" s="75"/>
      <c r="AN126" s="68"/>
      <c r="AO126" s="68"/>
      <c r="AP126" s="68"/>
      <c r="AV126" s="143"/>
    </row>
    <row r="127" spans="1:49" ht="13.15" thickBot="1" x14ac:dyDescent="0.4">
      <c r="A127" s="97"/>
      <c r="B127" s="97"/>
      <c r="C127" s="97"/>
      <c r="D127" s="97"/>
      <c r="E127" s="121"/>
      <c r="F127" s="97"/>
      <c r="G127" s="97"/>
      <c r="H127" s="97"/>
      <c r="I127" s="97">
        <f>M123*L123+M126*L126+M129*L129</f>
        <v>-0.30917711888218447</v>
      </c>
      <c r="J127" s="97"/>
      <c r="K127" s="117"/>
      <c r="L127" s="97"/>
      <c r="M127" s="128"/>
      <c r="N127" s="126"/>
      <c r="O127" s="97"/>
      <c r="P127" s="97"/>
      <c r="Q127" s="97"/>
      <c r="R127" s="97"/>
      <c r="S127" s="97"/>
      <c r="T127" s="24"/>
      <c r="U127" s="3"/>
      <c r="V127" s="3"/>
      <c r="W127" s="3"/>
      <c r="X127" s="3"/>
      <c r="Y127" s="3"/>
      <c r="Z127" s="3"/>
      <c r="AA127" s="3"/>
      <c r="AB127" s="3"/>
      <c r="AD127" s="23"/>
      <c r="AE127" s="3"/>
      <c r="AF127" s="3"/>
      <c r="AG127" s="3"/>
      <c r="AH127" s="3"/>
      <c r="AI127" s="3"/>
      <c r="AJ127" s="3"/>
      <c r="AK127" s="3"/>
      <c r="AL127" s="3"/>
      <c r="AM127" s="75"/>
      <c r="AN127" s="68"/>
      <c r="AO127" s="68"/>
      <c r="AP127" s="68"/>
      <c r="AV127" s="143"/>
    </row>
    <row r="128" spans="1:49" ht="15.4" x14ac:dyDescent="0.45">
      <c r="A128" s="97"/>
      <c r="B128" s="97"/>
      <c r="C128" s="97"/>
      <c r="D128" s="97"/>
      <c r="E128" s="121"/>
      <c r="F128" s="97"/>
      <c r="G128" s="97"/>
      <c r="H128" s="97"/>
      <c r="I128" s="97"/>
      <c r="J128" s="97"/>
      <c r="K128" s="123"/>
      <c r="L128" s="97"/>
      <c r="M128" s="128"/>
      <c r="N128" s="126"/>
      <c r="O128" s="97"/>
      <c r="P128" s="97"/>
      <c r="Q128" s="97"/>
      <c r="R128" s="97"/>
      <c r="S128" s="97"/>
      <c r="T128" s="53" t="s">
        <v>26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75"/>
      <c r="AN128" s="68"/>
      <c r="AO128" s="68"/>
      <c r="AP128" s="68"/>
      <c r="AV128" s="143"/>
    </row>
    <row r="129" spans="1:48" ht="15.4" x14ac:dyDescent="0.45">
      <c r="A129" s="97"/>
      <c r="B129" s="97"/>
      <c r="C129" s="97"/>
      <c r="D129" s="97"/>
      <c r="E129" s="121"/>
      <c r="F129" s="97"/>
      <c r="G129" s="97"/>
      <c r="H129" s="97"/>
      <c r="I129" s="97"/>
      <c r="J129" s="97"/>
      <c r="K129" s="122" t="s">
        <v>29</v>
      </c>
      <c r="L129" s="122">
        <v>0.25</v>
      </c>
      <c r="M129" s="128">
        <f>1-EXP(-N129*$E$2)</f>
        <v>-0.49688736515513532</v>
      </c>
      <c r="N129" s="126">
        <f>AP122</f>
        <v>-12.10163586688383</v>
      </c>
      <c r="O129" s="97"/>
      <c r="P129" s="97"/>
      <c r="Q129" s="97"/>
      <c r="R129" s="97"/>
      <c r="S129" s="97"/>
      <c r="T129" s="54"/>
      <c r="AM129" s="75"/>
      <c r="AN129" s="68"/>
      <c r="AO129" s="68"/>
      <c r="AP129" s="68"/>
      <c r="AV129" s="143"/>
    </row>
    <row r="130" spans="1:48" ht="15.4" x14ac:dyDescent="0.45">
      <c r="A130" s="97"/>
      <c r="B130" s="97"/>
      <c r="C130" s="97"/>
      <c r="D130" s="97"/>
      <c r="E130" s="121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49"/>
      <c r="U130" s="49" t="s">
        <v>12</v>
      </c>
      <c r="V130" s="49"/>
      <c r="W130" s="49"/>
      <c r="X130" s="49"/>
      <c r="Y130" s="49"/>
      <c r="Z130" s="49"/>
      <c r="AA130" s="55" t="s">
        <v>13</v>
      </c>
      <c r="AB130" s="55" t="s">
        <v>27</v>
      </c>
      <c r="AC130" s="56"/>
      <c r="AD130" s="55" t="s">
        <v>28</v>
      </c>
      <c r="AE130" s="55" t="s">
        <v>15</v>
      </c>
      <c r="AF130" s="55" t="s">
        <v>29</v>
      </c>
      <c r="AG130" s="55" t="s">
        <v>30</v>
      </c>
      <c r="AH130" s="55" t="s">
        <v>31</v>
      </c>
      <c r="AI130" s="9"/>
      <c r="AK130" s="55"/>
      <c r="AM130" s="75"/>
      <c r="AN130" s="68"/>
      <c r="AO130" s="68"/>
      <c r="AP130" s="68"/>
      <c r="AV130" s="143"/>
    </row>
    <row r="131" spans="1:48" x14ac:dyDescent="0.35">
      <c r="A131" s="97"/>
      <c r="B131" s="97"/>
      <c r="C131" s="97"/>
      <c r="D131" s="97"/>
      <c r="E131" s="121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24" t="s">
        <v>16</v>
      </c>
      <c r="U131" s="60" t="s">
        <v>32</v>
      </c>
      <c r="V131" s="5"/>
      <c r="W131" s="5"/>
      <c r="X131" s="5"/>
      <c r="Y131" s="5"/>
      <c r="Z131" s="5"/>
      <c r="AA131" s="5"/>
      <c r="AB131" s="5"/>
      <c r="AC131" s="14"/>
      <c r="AD131" s="21"/>
      <c r="AE131" s="5"/>
      <c r="AF131" s="5"/>
      <c r="AG131" s="5"/>
      <c r="AH131" s="5"/>
      <c r="AI131" s="58"/>
      <c r="AK131" s="3"/>
      <c r="AM131" s="75"/>
      <c r="AN131" s="68"/>
      <c r="AO131" s="68"/>
      <c r="AP131" s="68"/>
      <c r="AV131" s="143"/>
    </row>
    <row r="132" spans="1:48" x14ac:dyDescent="0.35">
      <c r="A132" s="97"/>
      <c r="B132" s="97"/>
      <c r="C132" s="97"/>
      <c r="D132" s="97"/>
      <c r="E132" s="121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46" t="s">
        <v>16</v>
      </c>
      <c r="U132" s="140" t="s">
        <v>33</v>
      </c>
      <c r="V132" s="95"/>
      <c r="W132" s="95"/>
      <c r="X132" s="3"/>
      <c r="Y132" s="3"/>
      <c r="Z132" s="3"/>
      <c r="AA132" s="17" t="s">
        <v>34</v>
      </c>
      <c r="AB132" s="44">
        <v>2</v>
      </c>
      <c r="AC132" s="7"/>
      <c r="AD132" s="41">
        <f>INDEX(AF132:AH132,AB132)</f>
        <v>2.5</v>
      </c>
      <c r="AE132" s="7" t="s">
        <v>35</v>
      </c>
      <c r="AF132" s="62">
        <v>1</v>
      </c>
      <c r="AG132" s="63">
        <v>2.5</v>
      </c>
      <c r="AH132" s="64">
        <v>5.5</v>
      </c>
      <c r="AI132" s="58"/>
      <c r="AK132" s="42"/>
      <c r="AM132" s="75"/>
      <c r="AN132" s="68"/>
      <c r="AO132" s="68"/>
      <c r="AP132" s="68"/>
      <c r="AV132" s="143"/>
    </row>
    <row r="133" spans="1:48" x14ac:dyDescent="0.35">
      <c r="A133" s="97"/>
      <c r="B133" s="97"/>
      <c r="C133" s="97"/>
      <c r="D133" s="97"/>
      <c r="E133" s="121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46" t="s">
        <v>16</v>
      </c>
      <c r="U133" s="43" t="s">
        <v>36</v>
      </c>
      <c r="V133" s="95"/>
      <c r="W133" s="95"/>
      <c r="X133" s="3"/>
      <c r="Y133" s="3"/>
      <c r="Z133" s="3"/>
      <c r="AA133" s="17" t="s">
        <v>34</v>
      </c>
      <c r="AB133" s="44">
        <v>2</v>
      </c>
      <c r="AC133" s="7"/>
      <c r="AD133" s="41">
        <f>INDEX(AF133:AH133,AB133)</f>
        <v>1.6</v>
      </c>
      <c r="AE133" s="7" t="s">
        <v>37</v>
      </c>
      <c r="AF133" s="62">
        <v>1.3</v>
      </c>
      <c r="AG133" s="63">
        <v>1.6</v>
      </c>
      <c r="AH133" s="64">
        <v>1.8</v>
      </c>
      <c r="AI133" s="58"/>
      <c r="AK133" s="3"/>
      <c r="AM133" s="68"/>
      <c r="AN133" s="68"/>
      <c r="AO133" s="68"/>
      <c r="AP133" s="68"/>
      <c r="AV133" s="143"/>
    </row>
    <row r="134" spans="1:48" x14ac:dyDescent="0.35">
      <c r="A134" s="97"/>
      <c r="B134" s="97"/>
      <c r="C134" s="97"/>
      <c r="D134" s="97"/>
      <c r="E134" s="121"/>
      <c r="F134" s="97"/>
      <c r="G134" s="97"/>
      <c r="H134" s="97"/>
      <c r="I134" s="97"/>
      <c r="J134" s="97"/>
      <c r="K134" s="97"/>
      <c r="L134" s="97"/>
      <c r="M134" s="97"/>
      <c r="N134" s="97"/>
      <c r="O134" s="127" t="s">
        <v>84</v>
      </c>
      <c r="P134" s="127" t="s">
        <v>88</v>
      </c>
      <c r="Q134" s="97"/>
      <c r="R134" s="97"/>
      <c r="S134" s="97"/>
      <c r="T134" s="24" t="s">
        <v>16</v>
      </c>
      <c r="U134" s="43" t="s">
        <v>38</v>
      </c>
      <c r="V134" s="3"/>
      <c r="X134" s="3"/>
      <c r="Y134" s="3"/>
      <c r="Z134" s="3"/>
      <c r="AA134" s="17" t="s">
        <v>39</v>
      </c>
      <c r="AB134" s="44">
        <v>2</v>
      </c>
      <c r="AC134" s="7"/>
      <c r="AD134" s="84">
        <f>INDEX(AF134:AH134,AB134)</f>
        <v>7.0000000000000007E-2</v>
      </c>
      <c r="AE134" s="7" t="s">
        <v>40</v>
      </c>
      <c r="AF134" s="81">
        <v>-0.05</v>
      </c>
      <c r="AG134" s="82">
        <v>7.0000000000000007E-2</v>
      </c>
      <c r="AH134" s="83">
        <v>0.09</v>
      </c>
      <c r="AI134" s="58"/>
      <c r="AK134" s="47"/>
      <c r="AM134" s="68"/>
      <c r="AN134" s="68"/>
      <c r="AO134" s="68"/>
      <c r="AP134" s="68"/>
      <c r="AV134" s="143"/>
    </row>
    <row r="135" spans="1:48" x14ac:dyDescent="0.35">
      <c r="A135" s="97"/>
      <c r="B135" s="97"/>
      <c r="C135" s="97"/>
      <c r="D135" s="97"/>
      <c r="E135" s="121"/>
      <c r="F135" s="97"/>
      <c r="G135" s="97"/>
      <c r="H135" s="97"/>
      <c r="I135" s="97"/>
      <c r="J135" s="97"/>
      <c r="K135" s="97"/>
      <c r="L135" s="97"/>
      <c r="M135" s="155" t="s">
        <v>42</v>
      </c>
      <c r="N135" s="155"/>
      <c r="O135" s="97"/>
      <c r="P135" s="97"/>
      <c r="Q135" s="97"/>
      <c r="R135" s="97"/>
      <c r="S135" s="97"/>
      <c r="T135" s="24" t="s">
        <v>16</v>
      </c>
      <c r="U135" s="13" t="s">
        <v>41</v>
      </c>
      <c r="W135" s="3"/>
      <c r="X135" s="3"/>
      <c r="Y135" s="3"/>
      <c r="Z135" s="3"/>
      <c r="AA135" s="3"/>
      <c r="AB135" s="132"/>
      <c r="AD135" s="40"/>
      <c r="AE135" s="3"/>
      <c r="AF135" s="26"/>
      <c r="AG135" s="26"/>
      <c r="AH135" s="26"/>
      <c r="AI135" s="58"/>
      <c r="AK135" s="3"/>
      <c r="AM135" s="68"/>
      <c r="AN135" s="68"/>
      <c r="AO135" s="68"/>
      <c r="AP135" s="68"/>
      <c r="AV135" s="143"/>
    </row>
    <row r="136" spans="1:48" x14ac:dyDescent="0.35">
      <c r="A136" s="97"/>
      <c r="B136" s="97"/>
      <c r="C136" s="97"/>
      <c r="D136" s="97"/>
      <c r="E136" s="121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24" t="s">
        <v>16</v>
      </c>
      <c r="U136" s="139" t="s">
        <v>42</v>
      </c>
      <c r="V136" s="3"/>
      <c r="W136" s="3"/>
      <c r="X136" s="3"/>
      <c r="Y136" s="3"/>
      <c r="Z136" s="3"/>
      <c r="AA136" s="17" t="s">
        <v>43</v>
      </c>
      <c r="AB136" s="44">
        <v>2</v>
      </c>
      <c r="AD136" s="84">
        <f>INDEX(AF136:AH136,AB136)</f>
        <v>10.75</v>
      </c>
      <c r="AE136" s="7" t="s">
        <v>44</v>
      </c>
      <c r="AF136" s="85">
        <v>9.75</v>
      </c>
      <c r="AG136" s="86">
        <v>10.75</v>
      </c>
      <c r="AH136" s="87">
        <v>11.5</v>
      </c>
      <c r="AI136" s="58"/>
      <c r="AM136" s="68"/>
      <c r="AN136" s="68"/>
      <c r="AO136" s="68"/>
      <c r="AP136" s="68"/>
      <c r="AV136" s="143"/>
    </row>
    <row r="137" spans="1:48" x14ac:dyDescent="0.35">
      <c r="A137" s="97"/>
      <c r="B137" s="97"/>
      <c r="C137" s="97"/>
      <c r="D137" s="97"/>
      <c r="E137" s="121"/>
      <c r="F137" s="97"/>
      <c r="G137" s="97"/>
      <c r="H137" s="97"/>
      <c r="I137" s="97"/>
      <c r="J137" s="97"/>
      <c r="K137" s="97"/>
      <c r="L137" s="97"/>
      <c r="M137" s="120" t="s">
        <v>31</v>
      </c>
      <c r="N137" s="122">
        <v>0.25</v>
      </c>
      <c r="O137" s="128">
        <f>1-EXP(-P137*$E$2)</f>
        <v>0.63883823351259683</v>
      </c>
      <c r="P137" s="126">
        <f>AK197</f>
        <v>30.552879432172091</v>
      </c>
      <c r="Q137" s="97"/>
      <c r="R137" s="97"/>
      <c r="S137" s="97"/>
      <c r="T137" s="24" t="s">
        <v>16</v>
      </c>
      <c r="U137" s="16" t="s">
        <v>45</v>
      </c>
      <c r="W137" s="3"/>
      <c r="X137" s="3"/>
      <c r="Y137" s="3"/>
      <c r="Z137" s="3"/>
      <c r="AA137" s="17" t="s">
        <v>43</v>
      </c>
      <c r="AB137" s="44">
        <v>2</v>
      </c>
      <c r="AC137" s="7"/>
      <c r="AD137" s="41">
        <f>INDEX(AF137:AH137,AB137)</f>
        <v>9.5</v>
      </c>
      <c r="AE137" s="7" t="s">
        <v>46</v>
      </c>
      <c r="AF137" s="85">
        <v>9.25</v>
      </c>
      <c r="AG137" s="86">
        <v>9.5</v>
      </c>
      <c r="AH137" s="87">
        <v>9.75</v>
      </c>
      <c r="AI137" s="58"/>
      <c r="AM137" s="78"/>
      <c r="AN137" s="68"/>
      <c r="AO137" s="68"/>
      <c r="AP137" s="68"/>
      <c r="AV137" s="143"/>
    </row>
    <row r="138" spans="1:48" x14ac:dyDescent="0.35">
      <c r="A138" s="97"/>
      <c r="B138" s="97"/>
      <c r="C138" s="97"/>
      <c r="D138" s="97"/>
      <c r="E138" s="121"/>
      <c r="F138" s="97"/>
      <c r="G138" s="97"/>
      <c r="H138" s="97"/>
      <c r="I138" s="97"/>
      <c r="J138" s="97"/>
      <c r="K138" s="155" t="s">
        <v>33</v>
      </c>
      <c r="L138" s="164"/>
      <c r="M138" s="117"/>
      <c r="N138" s="97"/>
      <c r="O138" s="128"/>
      <c r="P138" s="126"/>
      <c r="Q138" s="97"/>
      <c r="R138" s="97"/>
      <c r="S138" s="97"/>
      <c r="T138" s="24"/>
      <c r="U138" s="16" t="s">
        <v>47</v>
      </c>
      <c r="W138" s="3"/>
      <c r="X138" s="3"/>
      <c r="Y138" s="3"/>
      <c r="Z138" s="3"/>
      <c r="AA138" s="17" t="s">
        <v>48</v>
      </c>
      <c r="AB138" s="44">
        <v>2</v>
      </c>
      <c r="AC138" s="7"/>
      <c r="AD138" s="84">
        <f>INDEX(AF138:AH138,AB138)</f>
        <v>14.5</v>
      </c>
      <c r="AE138" s="7" t="s">
        <v>49</v>
      </c>
      <c r="AF138" s="88">
        <v>13</v>
      </c>
      <c r="AG138" s="89">
        <v>14.5</v>
      </c>
      <c r="AH138" s="90">
        <v>17</v>
      </c>
      <c r="AI138" s="58"/>
      <c r="AM138" s="68"/>
      <c r="AN138" s="68"/>
      <c r="AO138" s="68"/>
      <c r="AP138" s="68"/>
      <c r="AV138" s="143"/>
    </row>
    <row r="139" spans="1:48" x14ac:dyDescent="0.35">
      <c r="A139" s="97"/>
      <c r="B139" s="97"/>
      <c r="C139" s="97"/>
      <c r="D139" s="97"/>
      <c r="E139" s="121"/>
      <c r="F139" s="97"/>
      <c r="G139" s="97"/>
      <c r="H139" s="97"/>
      <c r="I139" s="97"/>
      <c r="J139" s="97"/>
      <c r="K139" s="97"/>
      <c r="L139" s="97"/>
      <c r="M139" s="117"/>
      <c r="N139" s="97"/>
      <c r="O139" s="128"/>
      <c r="P139" s="126"/>
      <c r="Q139" s="97"/>
      <c r="R139" s="97"/>
      <c r="S139" s="97"/>
      <c r="U139" s="16"/>
      <c r="AB139" s="66"/>
      <c r="AI139" s="58"/>
      <c r="AM139" s="75"/>
      <c r="AN139" s="68"/>
      <c r="AO139" s="68"/>
      <c r="AP139" s="68"/>
    </row>
    <row r="140" spans="1:48" x14ac:dyDescent="0.35">
      <c r="A140" s="97"/>
      <c r="B140" s="97"/>
      <c r="C140" s="97"/>
      <c r="D140" s="97"/>
      <c r="E140" s="121"/>
      <c r="F140" s="97"/>
      <c r="G140" s="97"/>
      <c r="H140" s="97"/>
      <c r="I140" s="97"/>
      <c r="J140" s="97"/>
      <c r="K140" s="120" t="s">
        <v>31</v>
      </c>
      <c r="L140" s="122">
        <v>0.25</v>
      </c>
      <c r="M140" s="120" t="s">
        <v>30</v>
      </c>
      <c r="N140" s="122">
        <v>0.5</v>
      </c>
      <c r="O140" s="128">
        <f>1-EXP(-P140*$E$2)</f>
        <v>0.47086851360869486</v>
      </c>
      <c r="P140" s="126">
        <f>AK196</f>
        <v>19.09554964510756</v>
      </c>
      <c r="Q140" s="97"/>
      <c r="R140" s="97"/>
      <c r="S140" s="97"/>
      <c r="T140" s="24" t="s">
        <v>16</v>
      </c>
      <c r="U140" s="22"/>
      <c r="V140" s="3"/>
      <c r="W140" s="3"/>
      <c r="X140" s="3"/>
      <c r="Y140" s="3"/>
      <c r="Z140" s="3"/>
      <c r="AB140" s="66"/>
      <c r="AI140" s="58"/>
      <c r="AM140" s="68"/>
      <c r="AN140" s="68"/>
      <c r="AO140" s="68"/>
      <c r="AP140" s="68"/>
    </row>
    <row r="141" spans="1:48" x14ac:dyDescent="0.35">
      <c r="A141" s="97"/>
      <c r="B141" s="97"/>
      <c r="C141" s="97"/>
      <c r="D141" s="97"/>
      <c r="E141" s="121"/>
      <c r="F141" s="97"/>
      <c r="G141" s="97"/>
      <c r="H141" s="97"/>
      <c r="I141" s="97"/>
      <c r="J141" s="97"/>
      <c r="K141" s="117">
        <f>O137*N137+O140*N140+O143*N143</f>
        <v>0.42502724872615916</v>
      </c>
      <c r="L141" s="97"/>
      <c r="M141" s="117"/>
      <c r="N141" s="97"/>
      <c r="O141" s="128"/>
      <c r="P141" s="126"/>
      <c r="Q141" s="97"/>
      <c r="R141" s="97"/>
      <c r="S141" s="97"/>
      <c r="T141" s="46" t="s">
        <v>16</v>
      </c>
      <c r="U141" s="43"/>
      <c r="V141" s="95"/>
      <c r="W141" s="3"/>
      <c r="X141" s="3"/>
      <c r="Y141" s="3"/>
      <c r="Z141" s="3"/>
      <c r="AA141" s="17"/>
      <c r="AB141" s="65"/>
      <c r="AC141" s="7"/>
      <c r="AD141" s="42"/>
      <c r="AE141" s="7"/>
      <c r="AF141" s="42"/>
      <c r="AG141" s="42"/>
      <c r="AH141" s="42"/>
      <c r="AI141" s="58"/>
      <c r="AM141" s="68"/>
      <c r="AN141" s="68"/>
      <c r="AO141" s="68"/>
      <c r="AP141" s="68"/>
    </row>
    <row r="142" spans="1:48" x14ac:dyDescent="0.35">
      <c r="A142" s="97"/>
      <c r="B142" s="97"/>
      <c r="C142" s="97"/>
      <c r="D142" s="97"/>
      <c r="E142" s="121"/>
      <c r="F142" s="97"/>
      <c r="G142" s="97"/>
      <c r="H142" s="97"/>
      <c r="I142" s="97"/>
      <c r="J142" s="97"/>
      <c r="K142" s="117"/>
      <c r="L142" s="97"/>
      <c r="M142" s="123"/>
      <c r="N142" s="97"/>
      <c r="O142" s="128"/>
      <c r="P142" s="126"/>
      <c r="Q142" s="97"/>
      <c r="R142" s="97"/>
      <c r="S142" s="97"/>
      <c r="T142" s="2"/>
      <c r="U142" s="29"/>
      <c r="V142" s="19"/>
      <c r="W142" s="19"/>
      <c r="X142" s="19"/>
      <c r="Y142" s="19"/>
      <c r="Z142" s="19"/>
      <c r="AA142" s="20"/>
      <c r="AB142" s="20"/>
      <c r="AC142" s="9"/>
      <c r="AD142" s="30"/>
      <c r="AE142" s="61"/>
      <c r="AF142" s="30"/>
      <c r="AG142" s="30"/>
      <c r="AH142" s="30"/>
      <c r="AI142" s="59"/>
      <c r="AK142" s="42"/>
      <c r="AM142" s="75"/>
      <c r="AN142" s="68"/>
      <c r="AO142" s="68"/>
      <c r="AP142" s="68"/>
    </row>
    <row r="143" spans="1:48" ht="13.15" thickBot="1" x14ac:dyDescent="0.4">
      <c r="A143" s="97"/>
      <c r="B143" s="97"/>
      <c r="C143" s="97"/>
      <c r="D143" s="97"/>
      <c r="E143" s="121"/>
      <c r="F143" s="97"/>
      <c r="G143" s="97"/>
      <c r="H143" s="97"/>
      <c r="I143" s="97"/>
      <c r="J143" s="97"/>
      <c r="K143" s="117"/>
      <c r="L143" s="97"/>
      <c r="M143" s="122" t="s">
        <v>29</v>
      </c>
      <c r="N143" s="122">
        <v>0.25</v>
      </c>
      <c r="O143" s="128">
        <f>1-EXP(-P143*$E$2)</f>
        <v>0.11953373417465019</v>
      </c>
      <c r="P143" s="126">
        <f>AK195</f>
        <v>3.8191099290215114</v>
      </c>
      <c r="Q143" s="97"/>
      <c r="R143" s="97"/>
      <c r="S143" s="97"/>
      <c r="AM143" s="75"/>
      <c r="AN143" s="68"/>
      <c r="AO143" s="68"/>
      <c r="AP143" s="68"/>
    </row>
    <row r="144" spans="1:48" ht="15.4" x14ac:dyDescent="0.45">
      <c r="A144" s="97"/>
      <c r="B144" s="97"/>
      <c r="C144" s="97"/>
      <c r="D144" s="97"/>
      <c r="E144" s="121"/>
      <c r="F144" s="97"/>
      <c r="G144" s="97"/>
      <c r="H144" s="97"/>
      <c r="I144" s="97"/>
      <c r="J144" s="97"/>
      <c r="K144" s="117"/>
      <c r="L144" s="97"/>
      <c r="M144" s="97"/>
      <c r="N144" s="97"/>
      <c r="O144" s="128"/>
      <c r="P144" s="126"/>
      <c r="Q144" s="97"/>
      <c r="R144" s="97"/>
      <c r="S144" s="97"/>
      <c r="T144" s="53" t="s">
        <v>50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75"/>
      <c r="AN144" s="68"/>
      <c r="AO144" s="68"/>
      <c r="AP144" s="68"/>
    </row>
    <row r="145" spans="1:42" ht="15.4" x14ac:dyDescent="0.45">
      <c r="A145" s="97"/>
      <c r="B145" s="158" t="str">
        <f>_xlfn.XLOOKUP(C146,C7:C10,B7:B10)</f>
        <v>No Partnership / No Expansion</v>
      </c>
      <c r="C145" s="158"/>
      <c r="D145" s="158"/>
      <c r="E145" s="159"/>
      <c r="F145" s="97"/>
      <c r="G145" s="97"/>
      <c r="H145" s="97"/>
      <c r="I145" s="97"/>
      <c r="J145" s="97"/>
      <c r="K145" s="117"/>
      <c r="L145" s="97"/>
      <c r="M145" s="155" t="s">
        <v>42</v>
      </c>
      <c r="N145" s="155"/>
      <c r="O145" s="128"/>
      <c r="P145" s="126"/>
      <c r="Q145" s="97"/>
      <c r="R145" s="97"/>
      <c r="S145" s="97"/>
      <c r="T145" s="54"/>
      <c r="AM145" s="68"/>
      <c r="AN145" s="68"/>
      <c r="AO145" s="68"/>
      <c r="AP145" s="68"/>
    </row>
    <row r="146" spans="1:42" ht="15.4" x14ac:dyDescent="0.45">
      <c r="A146" s="97"/>
      <c r="B146" s="129" t="s">
        <v>89</v>
      </c>
      <c r="C146" s="130">
        <f>MAX(G52,G117,G182,G247)</f>
        <v>10.935148456403384</v>
      </c>
      <c r="D146" s="122"/>
      <c r="E146" s="125"/>
      <c r="F146" s="97"/>
      <c r="G146" s="97"/>
      <c r="H146" s="97"/>
      <c r="I146" s="97"/>
      <c r="J146" s="97"/>
      <c r="K146" s="117"/>
      <c r="L146" s="97"/>
      <c r="M146" s="97"/>
      <c r="N146" s="97"/>
      <c r="O146" s="128"/>
      <c r="P146" s="126"/>
      <c r="Q146" s="97"/>
      <c r="R146" s="97"/>
      <c r="S146" s="97"/>
      <c r="T146" s="54" t="str">
        <f>b</f>
        <v>No Partnership / Expansion</v>
      </c>
      <c r="AM146" s="75"/>
      <c r="AN146" s="68"/>
      <c r="AO146" s="68"/>
      <c r="AP146" s="68"/>
    </row>
    <row r="147" spans="1:42" x14ac:dyDescent="0.35">
      <c r="A147" s="97"/>
      <c r="B147" s="97"/>
      <c r="C147" s="97"/>
      <c r="D147" s="97"/>
      <c r="E147" s="121"/>
      <c r="F147" s="97"/>
      <c r="G147" s="97"/>
      <c r="H147" s="97"/>
      <c r="I147" s="97"/>
      <c r="J147" s="97"/>
      <c r="K147" s="117"/>
      <c r="L147" s="97"/>
      <c r="M147" s="120" t="s">
        <v>31</v>
      </c>
      <c r="N147" s="122">
        <v>0.25</v>
      </c>
      <c r="O147" s="128">
        <f>1-EXP(-P147*$E$2)</f>
        <v>0.49743437201770402</v>
      </c>
      <c r="P147" s="126">
        <f>AJ197</f>
        <v>20.640871338806591</v>
      </c>
      <c r="Q147" s="97"/>
      <c r="R147" s="97"/>
      <c r="S147" s="97"/>
      <c r="T147" s="13"/>
      <c r="AM147" s="68"/>
      <c r="AN147" s="68"/>
      <c r="AO147" s="68"/>
      <c r="AP147" s="68"/>
    </row>
    <row r="148" spans="1:42" ht="15" x14ac:dyDescent="0.4">
      <c r="A148" s="97"/>
      <c r="B148" s="97"/>
      <c r="C148" s="97"/>
      <c r="D148" s="97"/>
      <c r="E148" s="121"/>
      <c r="F148" s="97"/>
      <c r="G148" s="97"/>
      <c r="H148" s="97"/>
      <c r="I148" s="155" t="s">
        <v>38</v>
      </c>
      <c r="J148" s="164"/>
      <c r="K148" s="117"/>
      <c r="L148" s="97"/>
      <c r="M148" s="117"/>
      <c r="N148" s="97"/>
      <c r="O148" s="128"/>
      <c r="P148" s="126"/>
      <c r="Q148" s="97"/>
      <c r="R148" s="97"/>
      <c r="S148" s="97"/>
      <c r="T148" s="51" t="s">
        <v>51</v>
      </c>
      <c r="U148" s="48"/>
      <c r="V148" s="48"/>
      <c r="Z148" s="7"/>
      <c r="AA148" s="52">
        <v>2026</v>
      </c>
      <c r="AB148" s="52">
        <f t="shared" ref="AB148:AJ148" si="47">AA148+1</f>
        <v>2027</v>
      </c>
      <c r="AC148" s="52">
        <f t="shared" si="47"/>
        <v>2028</v>
      </c>
      <c r="AD148" s="52">
        <f t="shared" si="47"/>
        <v>2029</v>
      </c>
      <c r="AE148" s="52">
        <f t="shared" si="47"/>
        <v>2030</v>
      </c>
      <c r="AF148" s="52">
        <f t="shared" si="47"/>
        <v>2031</v>
      </c>
      <c r="AG148" s="52">
        <f t="shared" si="47"/>
        <v>2032</v>
      </c>
      <c r="AH148" s="52">
        <f t="shared" si="47"/>
        <v>2033</v>
      </c>
      <c r="AI148" s="52">
        <f t="shared" si="47"/>
        <v>2034</v>
      </c>
      <c r="AJ148" s="52">
        <f t="shared" si="47"/>
        <v>2035</v>
      </c>
      <c r="AM148" s="68"/>
      <c r="AN148" s="68"/>
      <c r="AO148" s="68"/>
      <c r="AP148" s="68"/>
    </row>
    <row r="149" spans="1:42" ht="15" x14ac:dyDescent="0.4">
      <c r="A149" s="97"/>
      <c r="B149" s="97"/>
      <c r="C149" s="97"/>
      <c r="D149" s="97"/>
      <c r="E149" s="121"/>
      <c r="F149" s="97"/>
      <c r="G149" s="97"/>
      <c r="H149" s="97"/>
      <c r="I149" s="97"/>
      <c r="J149" s="97"/>
      <c r="K149" s="117"/>
      <c r="L149" s="97"/>
      <c r="M149" s="117"/>
      <c r="N149" s="97"/>
      <c r="O149" s="128"/>
      <c r="P149" s="126"/>
      <c r="Q149" s="97"/>
      <c r="R149" s="97"/>
      <c r="S149" s="97"/>
      <c r="T149" s="51" t="s">
        <v>52</v>
      </c>
      <c r="U149" s="48"/>
      <c r="V149" s="48"/>
      <c r="Z149" s="7"/>
      <c r="AA149" s="52">
        <f t="shared" ref="AA149:AJ149" si="48">AA148-$AA$148</f>
        <v>0</v>
      </c>
      <c r="AB149" s="52">
        <f t="shared" si="48"/>
        <v>1</v>
      </c>
      <c r="AC149" s="52">
        <f t="shared" si="48"/>
        <v>2</v>
      </c>
      <c r="AD149" s="52">
        <f t="shared" si="48"/>
        <v>3</v>
      </c>
      <c r="AE149" s="52">
        <f t="shared" si="48"/>
        <v>4</v>
      </c>
      <c r="AF149" s="52">
        <f t="shared" si="48"/>
        <v>5</v>
      </c>
      <c r="AG149" s="52">
        <f t="shared" si="48"/>
        <v>6</v>
      </c>
      <c r="AH149" s="52">
        <f t="shared" si="48"/>
        <v>7</v>
      </c>
      <c r="AI149" s="52">
        <f t="shared" si="48"/>
        <v>8</v>
      </c>
      <c r="AJ149" s="52">
        <f t="shared" si="48"/>
        <v>9</v>
      </c>
      <c r="AM149" s="75"/>
      <c r="AN149" s="68"/>
      <c r="AO149" s="68"/>
      <c r="AP149" s="68"/>
    </row>
    <row r="150" spans="1:42" ht="15.4" x14ac:dyDescent="0.45">
      <c r="A150" s="97"/>
      <c r="B150" s="97"/>
      <c r="C150" s="97"/>
      <c r="D150" s="97"/>
      <c r="E150" s="121"/>
      <c r="F150" s="97"/>
      <c r="G150" s="97"/>
      <c r="H150" s="97"/>
      <c r="I150" s="120" t="s">
        <v>31</v>
      </c>
      <c r="J150" s="122">
        <v>0.25</v>
      </c>
      <c r="K150" s="120" t="s">
        <v>30</v>
      </c>
      <c r="L150" s="122">
        <v>0.5</v>
      </c>
      <c r="M150" s="120" t="s">
        <v>30</v>
      </c>
      <c r="N150" s="122">
        <v>0.5</v>
      </c>
      <c r="O150" s="128">
        <f>1-EXP(-P150*$E$2)</f>
        <v>0.34950271379071784</v>
      </c>
      <c r="P150" s="126">
        <f>AJ196</f>
        <v>12.900544586754121</v>
      </c>
      <c r="Q150" s="97"/>
      <c r="R150" s="97"/>
      <c r="S150" s="97"/>
      <c r="T150" s="49"/>
      <c r="U150" s="48"/>
      <c r="V150" s="48"/>
      <c r="Z150" s="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8"/>
      <c r="AL150" s="68"/>
      <c r="AM150" s="75"/>
      <c r="AN150" s="68"/>
      <c r="AO150" s="68"/>
      <c r="AP150" s="68"/>
    </row>
    <row r="151" spans="1:42" ht="15.4" x14ac:dyDescent="0.45">
      <c r="A151" s="97"/>
      <c r="B151" s="97"/>
      <c r="C151" s="97"/>
      <c r="D151" s="97"/>
      <c r="E151" s="121"/>
      <c r="F151" s="97"/>
      <c r="G151" s="97"/>
      <c r="H151" s="97"/>
      <c r="I151" s="117">
        <f>L140*K141+L150*K151+L160*K161</f>
        <v>0.3030915472464551</v>
      </c>
      <c r="J151" s="97"/>
      <c r="K151" s="117">
        <f>O147*N147+O150*N150+O153*N153</f>
        <v>0.31971222494267526</v>
      </c>
      <c r="L151" s="97"/>
      <c r="M151" s="117"/>
      <c r="N151" s="97"/>
      <c r="O151" s="128"/>
      <c r="P151" s="126"/>
      <c r="Q151" s="97"/>
      <c r="R151" s="97"/>
      <c r="S151" s="97"/>
      <c r="T151" s="49" t="s">
        <v>53</v>
      </c>
      <c r="U151" s="50"/>
      <c r="V151" s="50"/>
      <c r="W151" s="3"/>
      <c r="X151" s="3"/>
      <c r="Y151" s="3"/>
      <c r="Z151" s="3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8"/>
      <c r="AL151" s="68"/>
      <c r="AM151" s="75"/>
      <c r="AN151" s="68"/>
      <c r="AO151" s="68"/>
      <c r="AP151" s="68"/>
    </row>
    <row r="152" spans="1:42" ht="15" x14ac:dyDescent="0.4">
      <c r="A152" s="97"/>
      <c r="B152" s="97"/>
      <c r="C152" s="97"/>
      <c r="D152" s="97"/>
      <c r="E152" s="121"/>
      <c r="F152" s="97"/>
      <c r="G152" s="97"/>
      <c r="H152" s="97"/>
      <c r="I152" s="117"/>
      <c r="J152" s="97"/>
      <c r="K152" s="117"/>
      <c r="L152" s="97"/>
      <c r="M152" s="123"/>
      <c r="N152" s="97"/>
      <c r="O152" s="128"/>
      <c r="P152" s="126"/>
      <c r="Q152" s="97"/>
      <c r="R152" s="97"/>
      <c r="S152" s="97"/>
      <c r="T152" s="48"/>
      <c r="U152" s="48" t="s">
        <v>54</v>
      </c>
      <c r="V152" s="48"/>
      <c r="Z152" s="11" t="s">
        <v>55</v>
      </c>
      <c r="AA152" s="70">
        <f>IF(h&lt;3,g,0)</f>
        <v>2.5</v>
      </c>
      <c r="AB152" s="70">
        <f t="shared" ref="AB152:AJ152" si="49">AA152*(1+$AD$134)</f>
        <v>2.6750000000000003</v>
      </c>
      <c r="AC152" s="70">
        <f t="shared" si="49"/>
        <v>2.8622500000000004</v>
      </c>
      <c r="AD152" s="70">
        <f t="shared" si="49"/>
        <v>3.0626075000000008</v>
      </c>
      <c r="AE152" s="70">
        <f t="shared" si="49"/>
        <v>3.2769900250000012</v>
      </c>
      <c r="AF152" s="70">
        <f t="shared" si="49"/>
        <v>3.5063793267500016</v>
      </c>
      <c r="AG152" s="70">
        <f t="shared" si="49"/>
        <v>3.7518258796225021</v>
      </c>
      <c r="AH152" s="70">
        <f t="shared" si="49"/>
        <v>4.0144536911960778</v>
      </c>
      <c r="AI152" s="70">
        <f t="shared" si="49"/>
        <v>4.2954654495798037</v>
      </c>
      <c r="AJ152" s="70">
        <f t="shared" si="49"/>
        <v>4.5961480310503902</v>
      </c>
      <c r="AK152" s="68"/>
      <c r="AL152" s="68"/>
      <c r="AM152" s="75"/>
      <c r="AN152" s="68"/>
      <c r="AO152" s="68"/>
      <c r="AP152" s="68"/>
    </row>
    <row r="153" spans="1:42" ht="15" x14ac:dyDescent="0.4">
      <c r="A153" s="97"/>
      <c r="B153" s="97"/>
      <c r="C153" s="97"/>
      <c r="D153" s="97"/>
      <c r="E153" s="121"/>
      <c r="F153" s="97"/>
      <c r="G153" s="97"/>
      <c r="H153" s="97"/>
      <c r="I153" s="117"/>
      <c r="J153" s="97"/>
      <c r="K153" s="117"/>
      <c r="L153" s="97"/>
      <c r="M153" s="122" t="s">
        <v>29</v>
      </c>
      <c r="N153" s="122">
        <v>0.25</v>
      </c>
      <c r="O153" s="128">
        <f>1-EXP(-P153*$E$2)</f>
        <v>8.2409100171561556E-2</v>
      </c>
      <c r="P153" s="126">
        <f>AJ195</f>
        <v>2.5801089173508274</v>
      </c>
      <c r="Q153" s="97"/>
      <c r="R153" s="97"/>
      <c r="S153" s="97"/>
      <c r="T153" s="48"/>
      <c r="U153" s="48" t="s">
        <v>56</v>
      </c>
      <c r="V153" s="48"/>
      <c r="Z153" s="11" t="s">
        <v>55</v>
      </c>
      <c r="AA153" s="70">
        <f>IF(h&gt;2,g*AD133,0)</f>
        <v>0</v>
      </c>
      <c r="AB153" s="70">
        <f t="shared" ref="AB153:AJ153" si="50">AA153*(1+$AD$134)</f>
        <v>0</v>
      </c>
      <c r="AC153" s="70">
        <f t="shared" si="50"/>
        <v>0</v>
      </c>
      <c r="AD153" s="70">
        <f t="shared" si="50"/>
        <v>0</v>
      </c>
      <c r="AE153" s="70">
        <f t="shared" si="50"/>
        <v>0</v>
      </c>
      <c r="AF153" s="70">
        <f t="shared" si="50"/>
        <v>0</v>
      </c>
      <c r="AG153" s="70">
        <f t="shared" si="50"/>
        <v>0</v>
      </c>
      <c r="AH153" s="70">
        <f t="shared" si="50"/>
        <v>0</v>
      </c>
      <c r="AI153" s="70">
        <f t="shared" si="50"/>
        <v>0</v>
      </c>
      <c r="AJ153" s="70">
        <f t="shared" si="50"/>
        <v>0</v>
      </c>
      <c r="AK153" s="68"/>
      <c r="AL153" s="68"/>
      <c r="AM153" s="68"/>
      <c r="AN153" s="68"/>
      <c r="AO153" s="68"/>
      <c r="AP153" s="68"/>
    </row>
    <row r="154" spans="1:42" ht="15" x14ac:dyDescent="0.4">
      <c r="A154" s="97"/>
      <c r="B154" s="97"/>
      <c r="C154" s="97"/>
      <c r="D154" s="97"/>
      <c r="E154" s="121"/>
      <c r="F154" s="97"/>
      <c r="G154" s="97"/>
      <c r="H154" s="97"/>
      <c r="I154" s="117"/>
      <c r="J154" s="97"/>
      <c r="K154" s="117"/>
      <c r="L154" s="97"/>
      <c r="M154" s="97"/>
      <c r="N154" s="97"/>
      <c r="O154" s="128"/>
      <c r="P154" s="126"/>
      <c r="Q154" s="97"/>
      <c r="R154" s="97"/>
      <c r="S154" s="97"/>
      <c r="T154" s="48"/>
      <c r="U154" s="48" t="s">
        <v>57</v>
      </c>
      <c r="V154" s="48"/>
      <c r="Z154" s="11" t="s">
        <v>55</v>
      </c>
      <c r="AA154" s="71">
        <f>IF(h=1,2.5,IF(OR(h=2,h=3),8.5,IF(h=4,0,"error")))</f>
        <v>8.5</v>
      </c>
      <c r="AB154" s="71">
        <f t="shared" ref="AB154:AJ154" si="51">$AA$154</f>
        <v>8.5</v>
      </c>
      <c r="AC154" s="71">
        <f t="shared" si="51"/>
        <v>8.5</v>
      </c>
      <c r="AD154" s="71">
        <f t="shared" si="51"/>
        <v>8.5</v>
      </c>
      <c r="AE154" s="71">
        <f t="shared" si="51"/>
        <v>8.5</v>
      </c>
      <c r="AF154" s="71">
        <f t="shared" si="51"/>
        <v>8.5</v>
      </c>
      <c r="AG154" s="71">
        <f t="shared" si="51"/>
        <v>8.5</v>
      </c>
      <c r="AH154" s="71">
        <f t="shared" si="51"/>
        <v>8.5</v>
      </c>
      <c r="AI154" s="71">
        <f t="shared" si="51"/>
        <v>8.5</v>
      </c>
      <c r="AJ154" s="71">
        <f t="shared" si="51"/>
        <v>8.5</v>
      </c>
      <c r="AK154" s="68"/>
      <c r="AL154" s="68"/>
      <c r="AM154" s="75"/>
      <c r="AN154" s="68"/>
      <c r="AO154" s="68"/>
      <c r="AP154" s="68"/>
    </row>
    <row r="155" spans="1:42" ht="15" x14ac:dyDescent="0.4">
      <c r="A155" s="97"/>
      <c r="B155" s="97"/>
      <c r="C155" s="97"/>
      <c r="D155" s="97"/>
      <c r="E155" s="121"/>
      <c r="F155" s="97"/>
      <c r="G155" s="97"/>
      <c r="H155" s="97"/>
      <c r="I155" s="117"/>
      <c r="J155" s="97"/>
      <c r="K155" s="117"/>
      <c r="L155" s="97"/>
      <c r="M155" s="155" t="s">
        <v>42</v>
      </c>
      <c r="N155" s="155"/>
      <c r="O155" s="128"/>
      <c r="P155" s="126"/>
      <c r="Q155" s="97"/>
      <c r="R155" s="97"/>
      <c r="S155" s="97"/>
      <c r="T155" s="48"/>
      <c r="U155" s="48" t="s">
        <v>53</v>
      </c>
      <c r="V155" s="48"/>
      <c r="Z155" s="11" t="s">
        <v>55</v>
      </c>
      <c r="AA155" s="70">
        <f t="shared" ref="AA155:AJ155" si="52">MIN(IF(h&lt;=2,AA152,AA153),IF(h=4,AA153,AA154))</f>
        <v>2.5</v>
      </c>
      <c r="AB155" s="70">
        <f t="shared" si="52"/>
        <v>2.6750000000000003</v>
      </c>
      <c r="AC155" s="70">
        <f t="shared" si="52"/>
        <v>2.8622500000000004</v>
      </c>
      <c r="AD155" s="70">
        <f t="shared" si="52"/>
        <v>3.0626075000000008</v>
      </c>
      <c r="AE155" s="70">
        <f t="shared" si="52"/>
        <v>3.2769900250000012</v>
      </c>
      <c r="AF155" s="70">
        <f t="shared" si="52"/>
        <v>3.5063793267500016</v>
      </c>
      <c r="AG155" s="70">
        <f t="shared" si="52"/>
        <v>3.7518258796225021</v>
      </c>
      <c r="AH155" s="70">
        <f t="shared" si="52"/>
        <v>4.0144536911960778</v>
      </c>
      <c r="AI155" s="70">
        <f t="shared" si="52"/>
        <v>4.2954654495798037</v>
      </c>
      <c r="AJ155" s="70">
        <f t="shared" si="52"/>
        <v>4.5961480310503902</v>
      </c>
      <c r="AK155" s="68"/>
      <c r="AL155" s="68"/>
      <c r="AM155" s="75"/>
      <c r="AN155" s="68"/>
      <c r="AO155" s="68"/>
      <c r="AP155" s="68"/>
    </row>
    <row r="156" spans="1:42" ht="15" x14ac:dyDescent="0.4">
      <c r="A156" s="97"/>
      <c r="B156" s="97"/>
      <c r="C156" s="97"/>
      <c r="D156" s="97"/>
      <c r="E156" s="121"/>
      <c r="F156" s="97"/>
      <c r="G156" s="97"/>
      <c r="H156" s="97"/>
      <c r="I156" s="117"/>
      <c r="J156" s="97"/>
      <c r="K156" s="117"/>
      <c r="L156" s="97"/>
      <c r="M156" s="97"/>
      <c r="N156" s="97"/>
      <c r="O156" s="128"/>
      <c r="P156" s="126"/>
      <c r="Q156" s="97"/>
      <c r="R156" s="97"/>
      <c r="S156" s="97"/>
      <c r="T156" s="48"/>
      <c r="U156" s="48"/>
      <c r="V156" s="48"/>
      <c r="Z156" s="11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136"/>
      <c r="AK156" s="68"/>
      <c r="AL156" s="68"/>
      <c r="AM156" s="68"/>
      <c r="AN156" s="68"/>
      <c r="AO156" s="68"/>
      <c r="AP156" s="68"/>
    </row>
    <row r="157" spans="1:42" ht="15.4" x14ac:dyDescent="0.45">
      <c r="A157" s="97"/>
      <c r="B157" s="97"/>
      <c r="C157" s="97"/>
      <c r="D157" s="97"/>
      <c r="E157" s="121"/>
      <c r="F157" s="97"/>
      <c r="G157" s="97"/>
      <c r="H157" s="97"/>
      <c r="I157" s="117"/>
      <c r="J157" s="97"/>
      <c r="K157" s="117"/>
      <c r="L157" s="97"/>
      <c r="M157" s="120" t="s">
        <v>31</v>
      </c>
      <c r="N157" s="122">
        <v>0.25</v>
      </c>
      <c r="O157" s="128">
        <f>1-EXP(-P157*$E$2)</f>
        <v>0.24105970581343095</v>
      </c>
      <c r="P157" s="126">
        <f>AI197</f>
        <v>8.2749650539942969</v>
      </c>
      <c r="Q157" s="97"/>
      <c r="R157" s="97"/>
      <c r="S157" s="97"/>
      <c r="T157" s="49" t="s">
        <v>58</v>
      </c>
      <c r="U157" s="48"/>
      <c r="V157" s="48"/>
      <c r="Z157" s="80" t="s">
        <v>59</v>
      </c>
      <c r="AA157" s="72">
        <f t="shared" ref="AA157:AJ157" si="53">AA155*$AD$136</f>
        <v>26.875</v>
      </c>
      <c r="AB157" s="72">
        <f t="shared" si="53"/>
        <v>28.756250000000001</v>
      </c>
      <c r="AC157" s="72">
        <f t="shared" si="53"/>
        <v>30.769187500000005</v>
      </c>
      <c r="AD157" s="72">
        <f t="shared" si="53"/>
        <v>32.92303062500001</v>
      </c>
      <c r="AE157" s="72">
        <f t="shared" si="53"/>
        <v>35.227642768750016</v>
      </c>
      <c r="AF157" s="72">
        <f t="shared" si="53"/>
        <v>37.693577762562519</v>
      </c>
      <c r="AG157" s="72">
        <f t="shared" si="53"/>
        <v>40.332128205941899</v>
      </c>
      <c r="AH157" s="72">
        <f t="shared" si="53"/>
        <v>43.155377180357839</v>
      </c>
      <c r="AI157" s="72">
        <f t="shared" si="53"/>
        <v>46.176253582982888</v>
      </c>
      <c r="AJ157" s="72">
        <f t="shared" si="53"/>
        <v>49.408591333791691</v>
      </c>
      <c r="AK157" s="68"/>
      <c r="AL157" s="68"/>
      <c r="AM157" s="75"/>
      <c r="AN157" s="68"/>
      <c r="AO157" s="68"/>
      <c r="AP157" s="68"/>
    </row>
    <row r="158" spans="1:42" ht="15.4" x14ac:dyDescent="0.45">
      <c r="A158" s="97"/>
      <c r="B158" s="97"/>
      <c r="C158" s="97"/>
      <c r="D158" s="97"/>
      <c r="E158" s="121"/>
      <c r="F158" s="97"/>
      <c r="G158" s="97"/>
      <c r="H158" s="97"/>
      <c r="I158" s="117"/>
      <c r="J158" s="97"/>
      <c r="K158" s="117"/>
      <c r="L158" s="97"/>
      <c r="M158" s="117"/>
      <c r="N158" s="97"/>
      <c r="O158" s="128"/>
      <c r="P158" s="126"/>
      <c r="Q158" s="97"/>
      <c r="R158" s="97"/>
      <c r="S158" s="97"/>
      <c r="T158" s="50"/>
      <c r="U158" s="48"/>
      <c r="V158" s="48"/>
      <c r="Z158" s="80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68"/>
      <c r="AL158" s="68"/>
      <c r="AM158" s="68"/>
      <c r="AN158" s="68"/>
      <c r="AO158" s="68"/>
      <c r="AP158" s="68"/>
    </row>
    <row r="159" spans="1:42" ht="15.4" x14ac:dyDescent="0.45">
      <c r="A159" s="97"/>
      <c r="B159" s="97"/>
      <c r="C159" s="97"/>
      <c r="D159" s="97"/>
      <c r="E159" s="121"/>
      <c r="F159" s="97"/>
      <c r="G159" s="97"/>
      <c r="H159" s="97"/>
      <c r="I159" s="117"/>
      <c r="J159" s="97"/>
      <c r="K159" s="123"/>
      <c r="L159" s="97"/>
      <c r="M159" s="117"/>
      <c r="N159" s="97"/>
      <c r="O159" s="128"/>
      <c r="P159" s="126"/>
      <c r="Q159" s="97"/>
      <c r="R159" s="97"/>
      <c r="S159" s="97"/>
      <c r="T159" s="49" t="s">
        <v>60</v>
      </c>
      <c r="U159" s="48"/>
      <c r="V159" s="48"/>
      <c r="Z159" s="80" t="s">
        <v>59</v>
      </c>
      <c r="AA159" s="72">
        <f t="shared" ref="AA159:AJ159" si="54">IF(h=4,0,AA155*$AD$137)</f>
        <v>23.75</v>
      </c>
      <c r="AB159" s="72">
        <f t="shared" si="54"/>
        <v>25.412500000000001</v>
      </c>
      <c r="AC159" s="72">
        <f t="shared" si="54"/>
        <v>27.191375000000004</v>
      </c>
      <c r="AD159" s="72">
        <f t="shared" si="54"/>
        <v>29.094771250000008</v>
      </c>
      <c r="AE159" s="72">
        <f t="shared" si="54"/>
        <v>31.131405237500012</v>
      </c>
      <c r="AF159" s="72">
        <f t="shared" si="54"/>
        <v>33.310603604125014</v>
      </c>
      <c r="AG159" s="72">
        <f t="shared" si="54"/>
        <v>35.642345856413769</v>
      </c>
      <c r="AH159" s="72">
        <f t="shared" si="54"/>
        <v>38.137310066362737</v>
      </c>
      <c r="AI159" s="72">
        <f t="shared" si="54"/>
        <v>40.806921771008135</v>
      </c>
      <c r="AJ159" s="72">
        <f t="shared" si="54"/>
        <v>43.663406294978707</v>
      </c>
      <c r="AK159" s="68"/>
      <c r="AL159" s="68"/>
    </row>
    <row r="160" spans="1:42" ht="15.4" x14ac:dyDescent="0.45">
      <c r="A160" s="97"/>
      <c r="B160" s="97"/>
      <c r="C160" s="97"/>
      <c r="D160" s="97"/>
      <c r="E160" s="121"/>
      <c r="F160" s="97"/>
      <c r="G160" s="97"/>
      <c r="H160" s="97"/>
      <c r="I160" s="117"/>
      <c r="J160" s="97"/>
      <c r="K160" s="122" t="s">
        <v>29</v>
      </c>
      <c r="L160" s="122">
        <v>0.25</v>
      </c>
      <c r="M160" s="120" t="s">
        <v>30</v>
      </c>
      <c r="N160" s="122">
        <v>0.5</v>
      </c>
      <c r="O160" s="128">
        <f>1-EXP(-P160*$E$2)</f>
        <v>0.15835343154692361</v>
      </c>
      <c r="P160" s="126">
        <f>AI196</f>
        <v>5.1718531587464343</v>
      </c>
      <c r="Q160" s="97"/>
      <c r="R160" s="97"/>
      <c r="S160" s="97"/>
      <c r="T160" s="50"/>
      <c r="U160" s="48"/>
      <c r="V160" s="48"/>
      <c r="Z160" s="80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68"/>
      <c r="AL160" s="68"/>
    </row>
    <row r="161" spans="1:49" ht="15" x14ac:dyDescent="0.4">
      <c r="A161" s="97"/>
      <c r="B161" s="97"/>
      <c r="C161" s="97"/>
      <c r="D161" s="97"/>
      <c r="E161" s="121"/>
      <c r="F161" s="97"/>
      <c r="G161" s="97"/>
      <c r="H161" s="97"/>
      <c r="I161" s="117"/>
      <c r="J161" s="97"/>
      <c r="K161" s="97">
        <f>O157*N157+O160*N160+O163*N163</f>
        <v>0.14791449037431087</v>
      </c>
      <c r="L161" s="97"/>
      <c r="M161" s="117"/>
      <c r="N161" s="97"/>
      <c r="O161" s="128"/>
      <c r="P161" s="126"/>
      <c r="Q161" s="97"/>
      <c r="R161" s="97"/>
      <c r="S161" s="97"/>
      <c r="T161" s="51" t="s">
        <v>61</v>
      </c>
      <c r="U161" s="48"/>
      <c r="V161" s="48"/>
      <c r="Z161" s="80" t="s">
        <v>59</v>
      </c>
      <c r="AA161" s="72">
        <f>IF(h=2,$AD$138,0)</f>
        <v>14.5</v>
      </c>
      <c r="AB161" s="72">
        <v>0</v>
      </c>
      <c r="AC161" s="72">
        <v>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68"/>
      <c r="AL161" s="68"/>
      <c r="AM161" s="32"/>
    </row>
    <row r="162" spans="1:49" ht="15" x14ac:dyDescent="0.4">
      <c r="A162" s="97"/>
      <c r="B162" s="97"/>
      <c r="C162" s="97"/>
      <c r="D162" s="97"/>
      <c r="E162" s="121"/>
      <c r="F162" s="97"/>
      <c r="G162" s="97"/>
      <c r="H162" s="97"/>
      <c r="I162" s="117"/>
      <c r="J162" s="97"/>
      <c r="K162" s="97"/>
      <c r="L162" s="97"/>
      <c r="M162" s="123"/>
      <c r="N162" s="97"/>
      <c r="O162" s="128"/>
      <c r="P162" s="126"/>
      <c r="Q162" s="97"/>
      <c r="R162" s="97"/>
      <c r="S162" s="97"/>
      <c r="T162" s="48"/>
      <c r="U162" s="48"/>
      <c r="V162" s="48"/>
      <c r="Z162" s="80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68"/>
      <c r="AL162" s="68"/>
      <c r="AM162" s="31"/>
    </row>
    <row r="163" spans="1:49" ht="15" x14ac:dyDescent="0.4">
      <c r="A163" s="97"/>
      <c r="B163" s="97"/>
      <c r="C163" s="97"/>
      <c r="D163" s="97"/>
      <c r="E163" s="121"/>
      <c r="F163" s="97"/>
      <c r="G163" s="97"/>
      <c r="H163" s="97"/>
      <c r="I163" s="117"/>
      <c r="J163" s="97"/>
      <c r="K163" s="97"/>
      <c r="L163" s="97"/>
      <c r="M163" s="122" t="s">
        <v>29</v>
      </c>
      <c r="N163" s="122">
        <v>0.25</v>
      </c>
      <c r="O163" s="128">
        <f>1-EXP(-P163*$E$2)</f>
        <v>3.3891392589965319E-2</v>
      </c>
      <c r="P163" s="126">
        <f>AI195</f>
        <v>1.0343706317492869</v>
      </c>
      <c r="Q163" s="97"/>
      <c r="R163" s="97"/>
      <c r="S163" s="97"/>
      <c r="T163" s="51" t="s">
        <v>62</v>
      </c>
      <c r="U163" s="48"/>
      <c r="V163" s="48"/>
      <c r="Z163" s="80" t="s">
        <v>59</v>
      </c>
      <c r="AA163" s="72">
        <f t="shared" ref="AA163:AJ163" si="55">IF(h=3,$AB$121*(AA157-AA159),0)</f>
        <v>0</v>
      </c>
      <c r="AB163" s="72">
        <f t="shared" si="55"/>
        <v>0</v>
      </c>
      <c r="AC163" s="72">
        <f t="shared" si="55"/>
        <v>0</v>
      </c>
      <c r="AD163" s="72">
        <f t="shared" si="55"/>
        <v>0</v>
      </c>
      <c r="AE163" s="72">
        <f t="shared" si="55"/>
        <v>0</v>
      </c>
      <c r="AF163" s="72">
        <f t="shared" si="55"/>
        <v>0</v>
      </c>
      <c r="AG163" s="72">
        <f t="shared" si="55"/>
        <v>0</v>
      </c>
      <c r="AH163" s="72">
        <f t="shared" si="55"/>
        <v>0</v>
      </c>
      <c r="AI163" s="72">
        <f t="shared" si="55"/>
        <v>0</v>
      </c>
      <c r="AJ163" s="72">
        <f t="shared" si="55"/>
        <v>0</v>
      </c>
      <c r="AK163" s="68"/>
      <c r="AL163" s="68"/>
      <c r="AM163" s="31"/>
    </row>
    <row r="164" spans="1:49" ht="15" x14ac:dyDescent="0.4">
      <c r="A164" s="97"/>
      <c r="B164" s="97"/>
      <c r="C164" s="97"/>
      <c r="D164" s="97"/>
      <c r="E164" s="121"/>
      <c r="F164" s="97"/>
      <c r="G164" s="97"/>
      <c r="H164" s="97"/>
      <c r="I164" s="117"/>
      <c r="J164" s="97"/>
      <c r="K164" s="155"/>
      <c r="L164" s="155"/>
      <c r="M164" s="97"/>
      <c r="N164" s="97"/>
      <c r="O164" s="128"/>
      <c r="P164" s="126"/>
      <c r="Q164" s="97"/>
      <c r="R164" s="97"/>
      <c r="S164" s="97"/>
      <c r="T164" s="51" t="s">
        <v>63</v>
      </c>
      <c r="U164" s="48"/>
      <c r="V164" s="48"/>
      <c r="Z164" s="80" t="s">
        <v>59</v>
      </c>
      <c r="AA164" s="72">
        <f t="shared" ref="AA164:AJ164" si="56">$AB$122*(AA157)</f>
        <v>26.337499999999999</v>
      </c>
      <c r="AB164" s="72">
        <f t="shared" si="56"/>
        <v>28.181125000000002</v>
      </c>
      <c r="AC164" s="72">
        <f t="shared" si="56"/>
        <v>30.153803750000005</v>
      </c>
      <c r="AD164" s="72">
        <f t="shared" si="56"/>
        <v>32.264570012500009</v>
      </c>
      <c r="AE164" s="72">
        <f t="shared" si="56"/>
        <v>34.523089913375017</v>
      </c>
      <c r="AF164" s="72">
        <f t="shared" si="56"/>
        <v>36.939706207311268</v>
      </c>
      <c r="AG164" s="72">
        <f t="shared" si="56"/>
        <v>39.52548564182306</v>
      </c>
      <c r="AH164" s="72">
        <f t="shared" si="56"/>
        <v>42.292269636750682</v>
      </c>
      <c r="AI164" s="72">
        <f t="shared" si="56"/>
        <v>45.252728511323227</v>
      </c>
      <c r="AJ164" s="72">
        <f t="shared" si="56"/>
        <v>48.420419507115859</v>
      </c>
      <c r="AK164" s="68"/>
      <c r="AL164" s="68"/>
      <c r="AM164" s="31"/>
    </row>
    <row r="165" spans="1:49" ht="15" x14ac:dyDescent="0.4">
      <c r="A165" s="97"/>
      <c r="B165" s="97"/>
      <c r="C165" s="97"/>
      <c r="D165" s="97"/>
      <c r="E165" s="121"/>
      <c r="F165" s="97"/>
      <c r="G165" s="97"/>
      <c r="H165" s="97"/>
      <c r="I165" s="117"/>
      <c r="J165" s="97"/>
      <c r="K165" s="124"/>
      <c r="L165" s="124"/>
      <c r="M165" s="97"/>
      <c r="N165" s="97"/>
      <c r="O165" s="128"/>
      <c r="P165" s="126"/>
      <c r="Q165" s="97"/>
      <c r="R165" s="97"/>
      <c r="S165" s="97"/>
      <c r="T165" s="48"/>
      <c r="U165" s="48"/>
      <c r="V165" s="48"/>
      <c r="Z165" s="80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68"/>
      <c r="AL165" s="68"/>
      <c r="AM165" s="31"/>
    </row>
    <row r="166" spans="1:49" ht="15" x14ac:dyDescent="0.4">
      <c r="A166" s="97"/>
      <c r="B166" s="97"/>
      <c r="C166" s="97"/>
      <c r="D166" s="97"/>
      <c r="E166" s="121"/>
      <c r="F166" s="97"/>
      <c r="G166" s="97"/>
      <c r="H166" s="97"/>
      <c r="I166" s="117"/>
      <c r="J166" s="97"/>
      <c r="K166" s="97"/>
      <c r="L166" s="97"/>
      <c r="M166" s="155" t="s">
        <v>42</v>
      </c>
      <c r="N166" s="155"/>
      <c r="O166" s="128"/>
      <c r="P166" s="126"/>
      <c r="Q166" s="97"/>
      <c r="R166" s="97"/>
      <c r="S166" s="97"/>
      <c r="T166" s="51" t="s">
        <v>64</v>
      </c>
      <c r="U166" s="48"/>
      <c r="V166" s="48"/>
      <c r="Z166" s="80" t="s">
        <v>59</v>
      </c>
      <c r="AA166" s="72">
        <f t="shared" ref="AA166:AJ166" si="57">IF(h=1,AA157-AA159,IF(h=2,AA157-AA159-AA161,IF(h=3,AA157-AA159-AA163,IF(h=4,AA157-AA159-AA164,"error"))))</f>
        <v>-11.375</v>
      </c>
      <c r="AB166" s="72">
        <f t="shared" si="57"/>
        <v>3.34375</v>
      </c>
      <c r="AC166" s="72">
        <f t="shared" si="57"/>
        <v>3.5778125000000003</v>
      </c>
      <c r="AD166" s="72">
        <f t="shared" si="57"/>
        <v>3.8282593750000018</v>
      </c>
      <c r="AE166" s="72">
        <f t="shared" si="57"/>
        <v>4.0962375312500043</v>
      </c>
      <c r="AF166" s="72">
        <f t="shared" si="57"/>
        <v>4.3829741584375057</v>
      </c>
      <c r="AG166" s="72">
        <f t="shared" si="57"/>
        <v>4.6897823495281301</v>
      </c>
      <c r="AH166" s="72">
        <f t="shared" si="57"/>
        <v>5.0180671139951016</v>
      </c>
      <c r="AI166" s="72">
        <f t="shared" si="57"/>
        <v>5.3693318119747531</v>
      </c>
      <c r="AJ166" s="72">
        <f t="shared" si="57"/>
        <v>5.7451850388129841</v>
      </c>
      <c r="AK166" s="68"/>
      <c r="AL166" s="68"/>
      <c r="AM166" s="31"/>
    </row>
    <row r="167" spans="1:49" ht="15" x14ac:dyDescent="0.4">
      <c r="A167" s="97"/>
      <c r="B167" s="97"/>
      <c r="C167" s="97"/>
      <c r="D167" s="97"/>
      <c r="E167" s="121"/>
      <c r="F167" s="97"/>
      <c r="G167" s="97"/>
      <c r="H167" s="97"/>
      <c r="I167" s="117"/>
      <c r="J167" s="97"/>
      <c r="K167" s="97"/>
      <c r="L167" s="97"/>
      <c r="M167" s="97"/>
      <c r="N167" s="97"/>
      <c r="O167" s="128"/>
      <c r="P167" s="126"/>
      <c r="Q167" s="97"/>
      <c r="R167" s="97"/>
      <c r="S167" s="97"/>
      <c r="T167" s="48"/>
      <c r="U167" s="48"/>
      <c r="V167" s="48"/>
      <c r="Z167" s="80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68"/>
      <c r="AL167" s="68"/>
      <c r="AM167" s="31"/>
    </row>
    <row r="168" spans="1:49" ht="15" x14ac:dyDescent="0.4">
      <c r="A168" s="97"/>
      <c r="B168" s="97"/>
      <c r="C168" s="97"/>
      <c r="D168" s="97"/>
      <c r="E168" s="121"/>
      <c r="F168" s="97"/>
      <c r="G168" s="97"/>
      <c r="H168" s="97"/>
      <c r="I168" s="117"/>
      <c r="J168" s="97"/>
      <c r="K168" s="97"/>
      <c r="L168" s="97"/>
      <c r="M168" s="120" t="s">
        <v>31</v>
      </c>
      <c r="N168" s="122">
        <v>0.25</v>
      </c>
      <c r="O168" s="128">
        <f>1-EXP(-P168*$E$2)</f>
        <v>0.63883823351259683</v>
      </c>
      <c r="P168" s="126">
        <f>BF199</f>
        <v>30.552879432172091</v>
      </c>
      <c r="Q168" s="97"/>
      <c r="R168" s="97"/>
      <c r="S168" s="97"/>
      <c r="T168" s="51" t="s">
        <v>65</v>
      </c>
      <c r="U168" s="48"/>
      <c r="V168" s="48"/>
      <c r="Z168" s="80" t="s">
        <v>59</v>
      </c>
      <c r="AA168" s="72">
        <f t="shared" ref="AA168:AJ168" si="58">k*AA166</f>
        <v>-4.3224999999999998</v>
      </c>
      <c r="AB168" s="72">
        <f t="shared" si="58"/>
        <v>1.2706250000000001</v>
      </c>
      <c r="AC168" s="72">
        <f t="shared" si="58"/>
        <v>1.3595687500000002</v>
      </c>
      <c r="AD168" s="72">
        <f t="shared" si="58"/>
        <v>1.4547385625000007</v>
      </c>
      <c r="AE168" s="72">
        <f t="shared" si="58"/>
        <v>1.5565702618750017</v>
      </c>
      <c r="AF168" s="72">
        <f t="shared" si="58"/>
        <v>1.6655301802062521</v>
      </c>
      <c r="AG168" s="72">
        <f t="shared" si="58"/>
        <v>1.7821172928206894</v>
      </c>
      <c r="AH168" s="72">
        <f t="shared" si="58"/>
        <v>1.9068655033181388</v>
      </c>
      <c r="AI168" s="72">
        <f t="shared" si="58"/>
        <v>2.0403460885504061</v>
      </c>
      <c r="AJ168" s="72">
        <f t="shared" si="58"/>
        <v>2.1831703147489341</v>
      </c>
      <c r="AK168" s="68"/>
      <c r="AL168" s="68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</row>
    <row r="169" spans="1:49" ht="15" x14ac:dyDescent="0.4">
      <c r="A169" s="97"/>
      <c r="B169" s="97"/>
      <c r="C169" s="97"/>
      <c r="D169" s="97"/>
      <c r="E169" s="121"/>
      <c r="F169" s="97"/>
      <c r="G169" s="97"/>
      <c r="H169" s="97"/>
      <c r="I169" s="117"/>
      <c r="J169" s="97"/>
      <c r="K169" s="155" t="s">
        <v>33</v>
      </c>
      <c r="L169" s="164"/>
      <c r="M169" s="117"/>
      <c r="N169" s="97"/>
      <c r="O169" s="128"/>
      <c r="P169" s="126"/>
      <c r="Q169" s="97"/>
      <c r="R169" s="97"/>
      <c r="S169" s="97"/>
      <c r="T169" s="51" t="s">
        <v>66</v>
      </c>
      <c r="U169" s="48"/>
      <c r="V169" s="48"/>
      <c r="Z169" s="80" t="s">
        <v>59</v>
      </c>
      <c r="AA169" s="72">
        <f>IF(AA168&lt;0,ABS(AA168),0)</f>
        <v>4.3224999999999998</v>
      </c>
      <c r="AB169" s="72">
        <f t="shared" ref="AB169:AJ169" si="59">IF((AB168-AA169)&lt;0,ABS(AA169-AB168),0)</f>
        <v>3.0518749999999999</v>
      </c>
      <c r="AC169" s="72">
        <f t="shared" si="59"/>
        <v>1.6923062499999997</v>
      </c>
      <c r="AD169" s="72">
        <f t="shared" si="59"/>
        <v>0.23756768749999901</v>
      </c>
      <c r="AE169" s="72">
        <f t="shared" si="59"/>
        <v>0</v>
      </c>
      <c r="AF169" s="72">
        <f t="shared" si="59"/>
        <v>0</v>
      </c>
      <c r="AG169" s="72">
        <f t="shared" si="59"/>
        <v>0</v>
      </c>
      <c r="AH169" s="72">
        <f t="shared" si="59"/>
        <v>0</v>
      </c>
      <c r="AI169" s="72">
        <f t="shared" si="59"/>
        <v>0</v>
      </c>
      <c r="AJ169" s="72">
        <f t="shared" si="59"/>
        <v>0</v>
      </c>
      <c r="AK169" s="68"/>
      <c r="AL169" s="68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</row>
    <row r="170" spans="1:49" ht="15" x14ac:dyDescent="0.4">
      <c r="A170" s="97"/>
      <c r="B170" s="97"/>
      <c r="C170" s="97"/>
      <c r="D170" s="97"/>
      <c r="E170" s="121"/>
      <c r="F170" s="97"/>
      <c r="G170" s="97"/>
      <c r="H170" s="97"/>
      <c r="I170" s="117"/>
      <c r="J170" s="97"/>
      <c r="K170" s="97"/>
      <c r="L170" s="97"/>
      <c r="M170" s="117"/>
      <c r="N170" s="97"/>
      <c r="O170" s="128"/>
      <c r="P170" s="126"/>
      <c r="Q170" s="97"/>
      <c r="R170" s="97"/>
      <c r="S170" s="97"/>
      <c r="T170" s="51" t="s">
        <v>67</v>
      </c>
      <c r="U170" s="48"/>
      <c r="V170" s="48"/>
      <c r="Z170" s="80" t="s">
        <v>59</v>
      </c>
      <c r="AA170" s="72">
        <f>IF(AA168&lt;0,0,AA168)</f>
        <v>0</v>
      </c>
      <c r="AB170" s="72">
        <f t="shared" ref="AB170:AJ170" si="60">IF(AB168&lt;0,0,IF((AB168-AA169)&lt;0,0,(AB168-AA169)))</f>
        <v>0</v>
      </c>
      <c r="AC170" s="72">
        <f t="shared" si="60"/>
        <v>0</v>
      </c>
      <c r="AD170" s="72">
        <f t="shared" si="60"/>
        <v>0</v>
      </c>
      <c r="AE170" s="72">
        <f t="shared" si="60"/>
        <v>1.3190025743750027</v>
      </c>
      <c r="AF170" s="72">
        <f t="shared" si="60"/>
        <v>1.6655301802062521</v>
      </c>
      <c r="AG170" s="72">
        <f t="shared" si="60"/>
        <v>1.7821172928206894</v>
      </c>
      <c r="AH170" s="72">
        <f t="shared" si="60"/>
        <v>1.9068655033181388</v>
      </c>
      <c r="AI170" s="72">
        <f t="shared" si="60"/>
        <v>2.0403460885504061</v>
      </c>
      <c r="AJ170" s="72">
        <f t="shared" si="60"/>
        <v>2.1831703147489341</v>
      </c>
      <c r="AK170" s="68"/>
      <c r="AL170" s="68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</row>
    <row r="171" spans="1:49" ht="15" x14ac:dyDescent="0.4">
      <c r="A171" s="97"/>
      <c r="B171" s="97"/>
      <c r="C171" s="97"/>
      <c r="D171" s="97"/>
      <c r="E171" s="121"/>
      <c r="F171" s="97"/>
      <c r="G171" s="97"/>
      <c r="H171" s="97"/>
      <c r="I171" s="117"/>
      <c r="J171" s="97"/>
      <c r="K171" s="120" t="s">
        <v>31</v>
      </c>
      <c r="L171" s="122">
        <v>0.25</v>
      </c>
      <c r="M171" s="120" t="s">
        <v>30</v>
      </c>
      <c r="N171" s="122">
        <v>0.5</v>
      </c>
      <c r="O171" s="128">
        <f>1-EXP(-P171*$E$2)</f>
        <v>0.47086851360869486</v>
      </c>
      <c r="P171" s="126">
        <f>BF198</f>
        <v>19.09554964510756</v>
      </c>
      <c r="Q171" s="97"/>
      <c r="R171" s="97"/>
      <c r="S171" s="97"/>
      <c r="T171" s="48"/>
      <c r="U171" s="48"/>
      <c r="V171" s="48"/>
      <c r="Z171" s="80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3"/>
      <c r="AL171" s="73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</row>
    <row r="172" spans="1:49" ht="15" x14ac:dyDescent="0.4">
      <c r="A172" s="97"/>
      <c r="B172" s="97"/>
      <c r="C172" s="97"/>
      <c r="D172" s="97"/>
      <c r="E172" s="121"/>
      <c r="F172" s="97"/>
      <c r="G172" s="97"/>
      <c r="H172" s="97"/>
      <c r="I172" s="117"/>
      <c r="J172" s="97"/>
      <c r="K172" s="117">
        <f>O168*N168+O171*N171+O174*N174</f>
        <v>0.42502724872615916</v>
      </c>
      <c r="L172" s="97"/>
      <c r="M172" s="117"/>
      <c r="N172" s="97"/>
      <c r="O172" s="128"/>
      <c r="P172" s="126"/>
      <c r="Q172" s="97"/>
      <c r="R172" s="97"/>
      <c r="S172" s="97"/>
      <c r="T172" s="51" t="s">
        <v>68</v>
      </c>
      <c r="Z172" s="80" t="s">
        <v>69</v>
      </c>
      <c r="AA172" s="74">
        <f t="shared" ref="AA172:AJ172" si="61">AA166-AA170</f>
        <v>-11.375</v>
      </c>
      <c r="AB172" s="74">
        <f t="shared" si="61"/>
        <v>3.34375</v>
      </c>
      <c r="AC172" s="74">
        <f t="shared" si="61"/>
        <v>3.5778125000000003</v>
      </c>
      <c r="AD172" s="74">
        <f t="shared" si="61"/>
        <v>3.8282593750000018</v>
      </c>
      <c r="AE172" s="74">
        <f t="shared" si="61"/>
        <v>2.7772349568750014</v>
      </c>
      <c r="AF172" s="74">
        <f t="shared" si="61"/>
        <v>2.7174439782312536</v>
      </c>
      <c r="AG172" s="74">
        <f t="shared" si="61"/>
        <v>2.9076650567074407</v>
      </c>
      <c r="AH172" s="74">
        <f t="shared" si="61"/>
        <v>3.1112016106769627</v>
      </c>
      <c r="AI172" s="74">
        <f t="shared" si="61"/>
        <v>3.328985723424347</v>
      </c>
      <c r="AJ172" s="74">
        <f t="shared" si="61"/>
        <v>3.5620147240640501</v>
      </c>
      <c r="AK172" s="75"/>
      <c r="AL172" s="75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</row>
    <row r="173" spans="1:49" x14ac:dyDescent="0.35">
      <c r="A173" s="97"/>
      <c r="B173" s="97"/>
      <c r="C173" s="97"/>
      <c r="D173" s="97"/>
      <c r="E173" s="121"/>
      <c r="F173" s="97"/>
      <c r="G173" s="97"/>
      <c r="H173" s="97"/>
      <c r="I173" s="117"/>
      <c r="J173" s="97"/>
      <c r="K173" s="117"/>
      <c r="L173" s="97"/>
      <c r="M173" s="123"/>
      <c r="N173" s="97"/>
      <c r="O173" s="128"/>
      <c r="P173" s="126"/>
      <c r="Q173" s="97"/>
      <c r="R173" s="97"/>
      <c r="S173" s="97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</row>
    <row r="174" spans="1:49" ht="15" x14ac:dyDescent="0.4">
      <c r="A174" s="97"/>
      <c r="B174" s="97"/>
      <c r="C174" s="97"/>
      <c r="D174" s="97"/>
      <c r="E174" s="121"/>
      <c r="F174" s="97"/>
      <c r="G174" s="97"/>
      <c r="H174" s="97"/>
      <c r="I174" s="117"/>
      <c r="J174" s="97"/>
      <c r="K174" s="117"/>
      <c r="L174" s="97"/>
      <c r="M174" s="122" t="s">
        <v>29</v>
      </c>
      <c r="N174" s="122">
        <v>0.25</v>
      </c>
      <c r="O174" s="128">
        <f>1-EXP(-P174*$E$2)</f>
        <v>0.11953373417465019</v>
      </c>
      <c r="P174" s="126">
        <f>BF197</f>
        <v>3.8191099290215114</v>
      </c>
      <c r="Q174" s="97"/>
      <c r="R174" s="97"/>
      <c r="S174" s="97"/>
      <c r="T174" s="51" t="s">
        <v>70</v>
      </c>
      <c r="U174" s="48"/>
      <c r="V174" s="48"/>
      <c r="Z174" s="80" t="s">
        <v>71</v>
      </c>
      <c r="AA174" s="93">
        <f>AA172+NPV(l,AB172,AC172,AD172,AE172,AF172,AG172,AH172,AI172,AJ172)</f>
        <v>8.9463754450642767</v>
      </c>
      <c r="AB174" s="92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</row>
    <row r="175" spans="1:49" x14ac:dyDescent="0.35">
      <c r="A175" s="97"/>
      <c r="B175" s="97"/>
      <c r="C175" s="97"/>
      <c r="D175" s="97"/>
      <c r="E175" s="121"/>
      <c r="F175" s="97"/>
      <c r="G175" s="97"/>
      <c r="H175" s="97"/>
      <c r="I175" s="117"/>
      <c r="J175" s="97"/>
      <c r="K175" s="117"/>
      <c r="L175" s="97"/>
      <c r="M175" s="97"/>
      <c r="N175" s="97"/>
      <c r="O175" s="128"/>
      <c r="P175" s="126"/>
      <c r="Q175" s="97"/>
      <c r="R175" s="97"/>
      <c r="S175" s="97"/>
      <c r="T175" s="2"/>
    </row>
    <row r="176" spans="1:49" x14ac:dyDescent="0.35">
      <c r="A176" s="97"/>
      <c r="B176" s="97"/>
      <c r="C176" s="97"/>
      <c r="D176" s="97"/>
      <c r="E176" s="121"/>
      <c r="F176" s="97"/>
      <c r="G176" s="97"/>
      <c r="H176" s="97"/>
      <c r="I176" s="117"/>
      <c r="J176" s="97"/>
      <c r="K176" s="117"/>
      <c r="L176" s="97"/>
      <c r="M176" s="155" t="s">
        <v>42</v>
      </c>
      <c r="N176" s="155"/>
      <c r="O176" s="128"/>
      <c r="P176" s="126"/>
      <c r="Q176" s="97"/>
      <c r="R176" s="97"/>
      <c r="S176" s="97"/>
      <c r="U176" s="13"/>
      <c r="AA176" s="33"/>
      <c r="AB176" s="33"/>
      <c r="AC176" s="33"/>
    </row>
    <row r="177" spans="1:79" x14ac:dyDescent="0.35">
      <c r="A177" s="97"/>
      <c r="B177" s="97"/>
      <c r="C177" s="97"/>
      <c r="D177" s="97"/>
      <c r="E177" s="121"/>
      <c r="F177" s="97"/>
      <c r="G177" s="97"/>
      <c r="H177" s="97"/>
      <c r="I177" s="117"/>
      <c r="J177" s="97"/>
      <c r="K177" s="117"/>
      <c r="L177" s="97"/>
      <c r="M177" s="97"/>
      <c r="N177" s="97"/>
      <c r="O177" s="128"/>
      <c r="P177" s="126"/>
      <c r="Q177" s="97"/>
      <c r="R177" s="97"/>
      <c r="S177" s="97"/>
      <c r="T177" s="13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</row>
    <row r="178" spans="1:79" ht="19.149999999999999" x14ac:dyDescent="0.65">
      <c r="A178" s="97"/>
      <c r="B178" s="97"/>
      <c r="C178" s="97"/>
      <c r="D178" s="97"/>
      <c r="E178" s="121"/>
      <c r="F178" s="97"/>
      <c r="G178" s="97"/>
      <c r="H178" s="97"/>
      <c r="I178" s="117"/>
      <c r="J178" s="97"/>
      <c r="K178" s="117"/>
      <c r="L178" s="97"/>
      <c r="M178" s="120" t="s">
        <v>31</v>
      </c>
      <c r="N178" s="122">
        <v>0.25</v>
      </c>
      <c r="O178" s="128">
        <f>1-EXP(-P178*$E$2)</f>
        <v>0.46977151347263058</v>
      </c>
      <c r="P178" s="126">
        <f>BE199</f>
        <v>19.033417760409925</v>
      </c>
      <c r="Q178" s="97"/>
      <c r="R178" s="97"/>
      <c r="S178" s="38" t="s">
        <v>0</v>
      </c>
      <c r="AO178" s="38" t="s">
        <v>0</v>
      </c>
      <c r="BK178" s="38" t="s">
        <v>0</v>
      </c>
    </row>
    <row r="179" spans="1:79" ht="13.15" thickBot="1" x14ac:dyDescent="0.4">
      <c r="A179" s="97"/>
      <c r="B179" s="97"/>
      <c r="C179" s="97"/>
      <c r="D179" s="97"/>
      <c r="E179" s="121"/>
      <c r="F179" s="97"/>
      <c r="G179" s="97"/>
      <c r="H179" s="97"/>
      <c r="I179" s="117"/>
      <c r="J179" s="97"/>
      <c r="K179" s="117"/>
      <c r="L179" s="97"/>
      <c r="M179" s="117"/>
      <c r="N179" s="97"/>
      <c r="O179" s="128"/>
      <c r="P179" s="126"/>
      <c r="Q179" s="97"/>
      <c r="R179" s="97"/>
    </row>
    <row r="180" spans="1:79" ht="15.4" x14ac:dyDescent="0.45">
      <c r="A180" s="97"/>
      <c r="B180" s="97"/>
      <c r="C180" s="97"/>
      <c r="D180" s="97"/>
      <c r="E180" s="121"/>
      <c r="F180" s="165" t="s">
        <v>9</v>
      </c>
      <c r="G180" s="156"/>
      <c r="H180" s="157"/>
      <c r="I180" s="117"/>
      <c r="J180" s="97"/>
      <c r="K180" s="117"/>
      <c r="L180" s="97"/>
      <c r="M180" s="117"/>
      <c r="N180" s="97"/>
      <c r="O180" s="128"/>
      <c r="P180" s="126"/>
      <c r="Q180" s="97"/>
      <c r="R180" s="97"/>
      <c r="S180" s="53" t="s">
        <v>1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53" t="s">
        <v>1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K180" s="53" t="s">
        <v>1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1:79" x14ac:dyDescent="0.35">
      <c r="A181" s="97"/>
      <c r="B181" s="97"/>
      <c r="C181" s="97"/>
      <c r="D181" s="97"/>
      <c r="E181" s="121"/>
      <c r="F181" s="120" t="s">
        <v>84</v>
      </c>
      <c r="G181" s="122">
        <f>J150*I151+J181*I182+J212*I213</f>
        <v>0.27590368490627992</v>
      </c>
      <c r="H181" s="122"/>
      <c r="I181" s="120" t="s">
        <v>30</v>
      </c>
      <c r="J181" s="122">
        <v>0.5</v>
      </c>
      <c r="K181" s="120" t="s">
        <v>30</v>
      </c>
      <c r="L181" s="122">
        <v>0.5</v>
      </c>
      <c r="M181" s="120" t="s">
        <v>30</v>
      </c>
      <c r="N181" s="122">
        <v>0.5</v>
      </c>
      <c r="O181" s="128">
        <f>1-EXP(-P181*$E$2)</f>
        <v>0.32734959144882769</v>
      </c>
      <c r="P181" s="126">
        <f>BE198</f>
        <v>11.895886100256202</v>
      </c>
      <c r="Q181" s="97"/>
      <c r="R181" s="97"/>
      <c r="S181" s="2"/>
      <c r="AO181" s="2"/>
      <c r="BK181" s="2"/>
    </row>
    <row r="182" spans="1:79" x14ac:dyDescent="0.35">
      <c r="A182" s="97"/>
      <c r="B182" s="97"/>
      <c r="C182" s="97"/>
      <c r="D182" s="97"/>
      <c r="E182" s="121"/>
      <c r="F182" s="97" t="s">
        <v>87</v>
      </c>
      <c r="G182" s="126">
        <f>-LN(-G181+1)/$E$2</f>
        <v>9.6849259064092639</v>
      </c>
      <c r="H182" s="97"/>
      <c r="I182" s="117">
        <f>L171*K172+L181*K182+L191*K192</f>
        <v>0.2906401168206269</v>
      </c>
      <c r="J182" s="97"/>
      <c r="K182" s="117">
        <f>O178*N178+O181*N181+O184*N184</f>
        <v>0.30017834982121572</v>
      </c>
      <c r="L182" s="97"/>
      <c r="M182" s="117"/>
      <c r="N182" s="97"/>
      <c r="O182" s="128"/>
      <c r="P182" s="126"/>
      <c r="Q182" s="97"/>
      <c r="R182" s="97"/>
      <c r="S182" s="3"/>
      <c r="W182" s="4" t="s">
        <v>2</v>
      </c>
      <c r="X182" s="5"/>
      <c r="Y182" s="5"/>
      <c r="Z182" s="5"/>
      <c r="AA182" s="5"/>
      <c r="AB182" s="5"/>
      <c r="AC182" s="6">
        <v>3</v>
      </c>
      <c r="AD182" s="7" t="s">
        <v>3</v>
      </c>
      <c r="AO182" s="3"/>
      <c r="AS182" s="4" t="s">
        <v>2</v>
      </c>
      <c r="AT182" s="5"/>
      <c r="AU182" s="5"/>
      <c r="AV182" s="5"/>
      <c r="AW182" s="5"/>
      <c r="AX182" s="5"/>
      <c r="AY182" s="6">
        <v>3</v>
      </c>
      <c r="AZ182" s="7" t="s">
        <v>3</v>
      </c>
      <c r="BK182" s="3"/>
      <c r="BO182" s="4" t="s">
        <v>2</v>
      </c>
      <c r="BP182" s="5"/>
      <c r="BQ182" s="5"/>
      <c r="BR182" s="5"/>
      <c r="BS182" s="5"/>
      <c r="BT182" s="5"/>
      <c r="BU182" s="6">
        <v>3</v>
      </c>
      <c r="BV182" s="7" t="s">
        <v>3</v>
      </c>
    </row>
    <row r="183" spans="1:79" x14ac:dyDescent="0.35">
      <c r="A183" s="97"/>
      <c r="B183" s="97"/>
      <c r="C183" s="97"/>
      <c r="D183" s="97"/>
      <c r="E183" s="121"/>
      <c r="F183" s="97"/>
      <c r="G183" s="97"/>
      <c r="H183" s="97"/>
      <c r="I183" s="117"/>
      <c r="J183" s="97"/>
      <c r="K183" s="117"/>
      <c r="L183" s="97"/>
      <c r="M183" s="123"/>
      <c r="N183" s="97"/>
      <c r="O183" s="128"/>
      <c r="P183" s="126"/>
      <c r="Q183" s="97"/>
      <c r="R183" s="97"/>
      <c r="W183" s="8" t="s">
        <v>4</v>
      </c>
      <c r="X183" s="9"/>
      <c r="Y183" s="9"/>
      <c r="Z183" s="9"/>
      <c r="AA183" s="9"/>
      <c r="AB183" s="9"/>
      <c r="AC183" s="10" t="str">
        <f>INDEX(X186:X189,AC182)</f>
        <v>Joint Venture</v>
      </c>
      <c r="AD183" s="7" t="s">
        <v>5</v>
      </c>
      <c r="AS183" s="8" t="s">
        <v>4</v>
      </c>
      <c r="AT183" s="9"/>
      <c r="AU183" s="9"/>
      <c r="AV183" s="9"/>
      <c r="AW183" s="9"/>
      <c r="AX183" s="9"/>
      <c r="AY183" s="10" t="str">
        <f>INDEX(AT186:AT189,AY182)</f>
        <v>Joint Venture</v>
      </c>
      <c r="AZ183" s="7" t="s">
        <v>5</v>
      </c>
      <c r="BO183" s="8" t="s">
        <v>4</v>
      </c>
      <c r="BP183" s="9"/>
      <c r="BQ183" s="9"/>
      <c r="BR183" s="9"/>
      <c r="BS183" s="9"/>
      <c r="BT183" s="9"/>
      <c r="BU183" s="10" t="str">
        <f>INDEX(BP186:BP189,BU182)</f>
        <v>Joint Venture</v>
      </c>
      <c r="BV183" s="7" t="s">
        <v>5</v>
      </c>
    </row>
    <row r="184" spans="1:79" x14ac:dyDescent="0.35">
      <c r="A184" s="97"/>
      <c r="B184" s="97"/>
      <c r="C184" s="97"/>
      <c r="D184" s="97"/>
      <c r="E184" s="121"/>
      <c r="F184" s="97"/>
      <c r="G184" s="97"/>
      <c r="H184" s="97"/>
      <c r="I184" s="117"/>
      <c r="J184" s="97"/>
      <c r="K184" s="117"/>
      <c r="L184" s="97"/>
      <c r="M184" s="122" t="s">
        <v>29</v>
      </c>
      <c r="N184" s="122">
        <v>0.25</v>
      </c>
      <c r="O184" s="128">
        <f>1-EXP(-P184*$E$2)</f>
        <v>7.6242702914576799E-2</v>
      </c>
      <c r="P184" s="126">
        <f>BE197</f>
        <v>2.3791772200512398</v>
      </c>
      <c r="Q184" s="97"/>
      <c r="R184" s="97"/>
    </row>
    <row r="185" spans="1:79" x14ac:dyDescent="0.35">
      <c r="A185" s="97"/>
      <c r="B185" s="97"/>
      <c r="C185" s="97"/>
      <c r="D185" s="97"/>
      <c r="E185" s="121"/>
      <c r="F185" s="97"/>
      <c r="G185" s="97"/>
      <c r="H185" s="97"/>
      <c r="I185" s="117"/>
      <c r="J185" s="97"/>
      <c r="K185" s="117"/>
      <c r="L185" s="97"/>
      <c r="M185" s="97"/>
      <c r="N185" s="97"/>
      <c r="O185" s="128"/>
      <c r="P185" s="126"/>
      <c r="Q185" s="97"/>
      <c r="R185" s="97"/>
      <c r="W185" t="s">
        <v>6</v>
      </c>
      <c r="AS185" t="s">
        <v>6</v>
      </c>
      <c r="BO185" t="s">
        <v>6</v>
      </c>
    </row>
    <row r="186" spans="1:79" x14ac:dyDescent="0.35">
      <c r="A186" s="97"/>
      <c r="B186" s="97"/>
      <c r="C186" s="97"/>
      <c r="D186" s="97"/>
      <c r="E186" s="121"/>
      <c r="F186" s="97"/>
      <c r="G186" s="97"/>
      <c r="H186" s="97"/>
      <c r="I186" s="117"/>
      <c r="J186" s="97"/>
      <c r="K186" s="117"/>
      <c r="L186" s="97"/>
      <c r="M186" s="155" t="s">
        <v>42</v>
      </c>
      <c r="N186" s="155"/>
      <c r="O186" s="128"/>
      <c r="P186" s="126"/>
      <c r="Q186" s="97"/>
      <c r="R186" s="97"/>
      <c r="W186">
        <v>1</v>
      </c>
      <c r="X186" s="37" t="s">
        <v>7</v>
      </c>
      <c r="AS186">
        <v>1</v>
      </c>
      <c r="AT186" s="37" t="s">
        <v>7</v>
      </c>
      <c r="BO186">
        <v>1</v>
      </c>
      <c r="BP186" s="37" t="s">
        <v>7</v>
      </c>
    </row>
    <row r="187" spans="1:79" x14ac:dyDescent="0.35">
      <c r="A187" s="97"/>
      <c r="B187" s="97"/>
      <c r="C187" s="97"/>
      <c r="D187" s="97"/>
      <c r="E187" s="121"/>
      <c r="F187" s="97"/>
      <c r="G187" s="97"/>
      <c r="H187" s="97"/>
      <c r="I187" s="117"/>
      <c r="J187" s="97"/>
      <c r="K187" s="117"/>
      <c r="L187" s="97"/>
      <c r="M187" s="97"/>
      <c r="N187" s="97"/>
      <c r="O187" s="128"/>
      <c r="P187" s="126"/>
      <c r="Q187" s="97"/>
      <c r="R187" s="97"/>
      <c r="W187">
        <v>2</v>
      </c>
      <c r="X187" s="37" t="s">
        <v>8</v>
      </c>
      <c r="AE187" s="11"/>
      <c r="AS187">
        <v>2</v>
      </c>
      <c r="AT187" s="37" t="s">
        <v>8</v>
      </c>
      <c r="BA187" s="11"/>
      <c r="BO187">
        <v>2</v>
      </c>
      <c r="BP187" s="37" t="s">
        <v>8</v>
      </c>
      <c r="BW187" s="11"/>
    </row>
    <row r="188" spans="1:79" x14ac:dyDescent="0.35">
      <c r="A188" s="97"/>
      <c r="B188" s="97"/>
      <c r="C188" s="97"/>
      <c r="D188" s="97"/>
      <c r="E188" s="121"/>
      <c r="F188" s="97"/>
      <c r="G188" s="97"/>
      <c r="H188" s="97"/>
      <c r="I188" s="117"/>
      <c r="J188" s="97"/>
      <c r="K188" s="117"/>
      <c r="L188" s="97"/>
      <c r="M188" s="120" t="s">
        <v>31</v>
      </c>
      <c r="N188" s="122">
        <v>0.25</v>
      </c>
      <c r="O188" s="128">
        <f>1-EXP(-P188*$E$2)</f>
        <v>0.22413667622866595</v>
      </c>
      <c r="P188" s="126">
        <f>BD199</f>
        <v>7.613367104163971</v>
      </c>
      <c r="Q188" s="97"/>
      <c r="R188" s="97"/>
      <c r="W188">
        <v>3</v>
      </c>
      <c r="X188" s="37" t="s">
        <v>9</v>
      </c>
      <c r="AE188" s="11"/>
      <c r="AS188">
        <v>3</v>
      </c>
      <c r="AT188" s="37" t="s">
        <v>9</v>
      </c>
      <c r="BA188" s="11"/>
      <c r="BO188">
        <v>3</v>
      </c>
      <c r="BP188" s="37" t="s">
        <v>9</v>
      </c>
      <c r="BW188" s="11"/>
    </row>
    <row r="189" spans="1:79" x14ac:dyDescent="0.35">
      <c r="A189" s="97"/>
      <c r="B189" s="97"/>
      <c r="C189" s="97"/>
      <c r="D189" s="97"/>
      <c r="E189" s="121"/>
      <c r="F189" s="97"/>
      <c r="G189" s="97"/>
      <c r="H189" s="97"/>
      <c r="I189" s="117"/>
      <c r="J189" s="97"/>
      <c r="K189" s="117"/>
      <c r="L189" s="97"/>
      <c r="M189" s="117"/>
      <c r="N189" s="97"/>
      <c r="O189" s="128"/>
      <c r="P189" s="126"/>
      <c r="Q189" s="97"/>
      <c r="R189" s="97"/>
      <c r="W189">
        <v>4</v>
      </c>
      <c r="X189" s="37" t="s">
        <v>10</v>
      </c>
      <c r="AS189">
        <v>4</v>
      </c>
      <c r="AT189" s="37" t="s">
        <v>10</v>
      </c>
      <c r="BO189">
        <v>4</v>
      </c>
      <c r="BP189" s="37" t="s">
        <v>10</v>
      </c>
    </row>
    <row r="190" spans="1:79" ht="13.15" thickBot="1" x14ac:dyDescent="0.4">
      <c r="A190" s="97"/>
      <c r="B190" s="97"/>
      <c r="C190" s="97"/>
      <c r="D190" s="97"/>
      <c r="E190" s="121"/>
      <c r="F190" s="97"/>
      <c r="G190" s="97"/>
      <c r="H190" s="97"/>
      <c r="I190" s="117"/>
      <c r="J190" s="97"/>
      <c r="K190" s="123"/>
      <c r="L190" s="97"/>
      <c r="M190" s="117"/>
      <c r="N190" s="97"/>
      <c r="O190" s="128"/>
      <c r="P190" s="126"/>
      <c r="Q190" s="97"/>
      <c r="R190" s="97"/>
    </row>
    <row r="191" spans="1:79" ht="15.4" x14ac:dyDescent="0.45">
      <c r="A191" s="97"/>
      <c r="B191" s="97"/>
      <c r="C191" s="97"/>
      <c r="D191" s="97"/>
      <c r="E191" s="121"/>
      <c r="F191" s="97"/>
      <c r="G191" s="97"/>
      <c r="H191" s="97"/>
      <c r="I191" s="117"/>
      <c r="J191" s="97"/>
      <c r="K191" s="122" t="s">
        <v>29</v>
      </c>
      <c r="L191" s="122">
        <v>0.25</v>
      </c>
      <c r="M191" s="120" t="s">
        <v>30</v>
      </c>
      <c r="N191" s="122">
        <v>0.5</v>
      </c>
      <c r="O191" s="128">
        <f>1-EXP(-P191*$E$2)</f>
        <v>0.1466724560814332</v>
      </c>
      <c r="P191" s="126">
        <f>BD198</f>
        <v>4.7583544401024813</v>
      </c>
      <c r="Q191" s="97"/>
      <c r="R191" s="97"/>
      <c r="S191" s="53" t="s">
        <v>11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53" t="s">
        <v>11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K191" s="53" t="s">
        <v>11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1:79" x14ac:dyDescent="0.35">
      <c r="A192" s="97"/>
      <c r="B192" s="97"/>
      <c r="C192" s="97"/>
      <c r="D192" s="97"/>
      <c r="E192" s="121"/>
      <c r="F192" s="97"/>
      <c r="G192" s="97"/>
      <c r="H192" s="97"/>
      <c r="I192" s="117"/>
      <c r="J192" s="97"/>
      <c r="K192" s="97">
        <f>O188*N188+O191*N191+O194*N194</f>
        <v>0.13717651891391722</v>
      </c>
      <c r="L192" s="97"/>
      <c r="M192" s="117"/>
      <c r="N192" s="97"/>
      <c r="O192" s="128"/>
      <c r="P192" s="126"/>
      <c r="Q192" s="97"/>
      <c r="R192" s="97"/>
      <c r="AF192" s="68"/>
      <c r="AG192" s="68"/>
      <c r="AH192" s="68"/>
      <c r="AI192" s="140" t="s">
        <v>33</v>
      </c>
    </row>
    <row r="193" spans="1:80" ht="15.4" x14ac:dyDescent="0.45">
      <c r="A193" s="97"/>
      <c r="B193" s="97"/>
      <c r="C193" s="97"/>
      <c r="D193" s="97"/>
      <c r="E193" s="121"/>
      <c r="F193" s="97"/>
      <c r="G193" s="97"/>
      <c r="H193" s="97"/>
      <c r="I193" s="117"/>
      <c r="J193" s="97"/>
      <c r="K193" s="97"/>
      <c r="L193" s="97"/>
      <c r="M193" s="123"/>
      <c r="N193" s="97"/>
      <c r="O193" s="128"/>
      <c r="P193" s="126"/>
      <c r="Q193" s="97"/>
      <c r="R193" s="97"/>
      <c r="S193" s="49"/>
      <c r="T193" s="49" t="s">
        <v>12</v>
      </c>
      <c r="U193" s="49"/>
      <c r="V193" s="49"/>
      <c r="W193" s="49"/>
      <c r="X193" s="49"/>
      <c r="Y193" s="49"/>
      <c r="Z193" s="55" t="s">
        <v>13</v>
      </c>
      <c r="AA193" s="55" t="s">
        <v>14</v>
      </c>
      <c r="AB193" s="56" t="s">
        <v>15</v>
      </c>
      <c r="AC193" s="55"/>
      <c r="AD193" s="55"/>
      <c r="AE193" s="55"/>
      <c r="AF193" s="68"/>
      <c r="AG193" s="68"/>
      <c r="AH193" s="68"/>
      <c r="AI193" s="55" t="s">
        <v>29</v>
      </c>
      <c r="AJ193" s="55" t="s">
        <v>30</v>
      </c>
      <c r="AK193" s="55" t="s">
        <v>31</v>
      </c>
      <c r="AL193" s="55"/>
      <c r="AM193" s="51"/>
      <c r="AN193" s="51"/>
      <c r="AO193" s="49"/>
      <c r="AP193" s="49" t="s">
        <v>12</v>
      </c>
      <c r="AQ193" s="49"/>
      <c r="AR193" s="49"/>
      <c r="AS193" s="49"/>
      <c r="AT193" s="49"/>
      <c r="AU193" s="49"/>
      <c r="AV193" s="55" t="s">
        <v>13</v>
      </c>
      <c r="AW193" s="55" t="s">
        <v>14</v>
      </c>
      <c r="AX193" s="56" t="s">
        <v>15</v>
      </c>
      <c r="AY193" s="55"/>
      <c r="AZ193" s="55"/>
      <c r="BA193" s="55"/>
      <c r="BB193" s="55"/>
      <c r="BC193" s="55"/>
      <c r="BD193" s="55"/>
      <c r="BE193" s="55"/>
      <c r="BF193" s="55"/>
      <c r="BG193" s="55"/>
      <c r="BH193" s="51"/>
      <c r="BI193" s="51"/>
      <c r="BJ193" s="51"/>
      <c r="BK193" s="49"/>
      <c r="BL193" s="49" t="s">
        <v>12</v>
      </c>
      <c r="BM193" s="49"/>
      <c r="BN193" s="49"/>
      <c r="BO193" s="49"/>
      <c r="BP193" s="49"/>
      <c r="BQ193" s="49"/>
      <c r="BR193" s="55" t="s">
        <v>13</v>
      </c>
      <c r="BS193" s="55" t="s">
        <v>14</v>
      </c>
      <c r="BT193" s="56" t="s">
        <v>15</v>
      </c>
      <c r="BU193" s="55"/>
      <c r="BV193" s="55"/>
      <c r="BW193" s="55"/>
      <c r="BX193" s="55"/>
      <c r="BY193" s="55"/>
      <c r="BZ193" s="55"/>
      <c r="CA193" s="55"/>
      <c r="CB193" s="51"/>
    </row>
    <row r="194" spans="1:80" ht="15.4" x14ac:dyDescent="0.45">
      <c r="A194" s="97"/>
      <c r="B194" s="97"/>
      <c r="C194" s="97"/>
      <c r="D194" s="97"/>
      <c r="E194" s="121"/>
      <c r="F194" s="97"/>
      <c r="G194" s="97"/>
      <c r="H194" s="97"/>
      <c r="I194" s="117"/>
      <c r="J194" s="97"/>
      <c r="K194" s="97"/>
      <c r="L194" s="97"/>
      <c r="M194" s="122" t="s">
        <v>29</v>
      </c>
      <c r="N194" s="122">
        <v>0.25</v>
      </c>
      <c r="O194" s="128">
        <f>1-EXP(-P194*$E$2)</f>
        <v>3.1224487264136513E-2</v>
      </c>
      <c r="P194" s="126">
        <f>BD197</f>
        <v>0.95167088802049649</v>
      </c>
      <c r="Q194" s="97"/>
      <c r="R194" s="97"/>
      <c r="S194" s="2"/>
      <c r="T194" s="4"/>
      <c r="U194" s="5"/>
      <c r="V194" s="5"/>
      <c r="W194" s="5"/>
      <c r="X194" s="5"/>
      <c r="Y194" s="5"/>
      <c r="Z194" s="5"/>
      <c r="AA194" s="5"/>
      <c r="AB194" s="15"/>
      <c r="AC194" s="23"/>
      <c r="AD194" s="3"/>
      <c r="AE194" s="3"/>
      <c r="AF194" s="78"/>
      <c r="AG194" s="68"/>
      <c r="AH194" s="141">
        <f>Z250</f>
        <v>12.900544586754121</v>
      </c>
      <c r="AI194" s="62">
        <v>1</v>
      </c>
      <c r="AJ194" s="63">
        <v>2.5</v>
      </c>
      <c r="AK194" s="64">
        <v>5.5</v>
      </c>
      <c r="AL194" s="3"/>
      <c r="AO194" s="2"/>
      <c r="AP194" s="4"/>
      <c r="AQ194" s="5"/>
      <c r="AR194" s="5"/>
      <c r="AS194" s="5"/>
      <c r="AT194" s="5"/>
      <c r="AU194" s="5"/>
      <c r="AV194" s="5"/>
      <c r="AW194" s="5"/>
      <c r="AX194" s="15"/>
      <c r="AY194" s="23"/>
      <c r="AZ194" s="3"/>
      <c r="BA194" s="68"/>
      <c r="BB194" s="68"/>
      <c r="BC194" s="68"/>
      <c r="BD194" s="140" t="s">
        <v>33</v>
      </c>
      <c r="BG194" s="3"/>
      <c r="BK194" s="2"/>
      <c r="BL194" s="4"/>
      <c r="BM194" s="5"/>
      <c r="BN194" s="5"/>
      <c r="BO194" s="5"/>
      <c r="BP194" s="5"/>
      <c r="BQ194" s="5"/>
      <c r="BR194" s="5"/>
      <c r="BS194" s="5"/>
      <c r="BT194" s="15"/>
      <c r="BU194" s="23"/>
      <c r="BV194" s="55"/>
      <c r="BW194" s="55"/>
      <c r="BX194" s="55"/>
      <c r="BY194" s="55"/>
      <c r="BZ194" s="55"/>
      <c r="CA194" s="55"/>
    </row>
    <row r="195" spans="1:80" ht="15.4" x14ac:dyDescent="0.45">
      <c r="A195" s="97"/>
      <c r="B195" s="97"/>
      <c r="C195" s="97"/>
      <c r="D195" s="97"/>
      <c r="E195" s="121"/>
      <c r="F195" s="97"/>
      <c r="G195" s="97"/>
      <c r="H195" s="97"/>
      <c r="I195" s="117"/>
      <c r="J195" s="97"/>
      <c r="K195" s="97"/>
      <c r="L195" s="97"/>
      <c r="M195" s="97"/>
      <c r="N195" s="97"/>
      <c r="O195" s="128"/>
      <c r="P195" s="126"/>
      <c r="Q195" s="97"/>
      <c r="R195" s="97"/>
      <c r="S195" s="24" t="s">
        <v>16</v>
      </c>
      <c r="T195" s="16" t="s">
        <v>17</v>
      </c>
      <c r="U195" s="3"/>
      <c r="V195" s="3"/>
      <c r="W195" s="3"/>
      <c r="X195" s="3"/>
      <c r="Y195" s="3"/>
      <c r="Z195" s="17" t="s">
        <v>18</v>
      </c>
      <c r="AA195" s="27">
        <f>$H$1</f>
        <v>0.08</v>
      </c>
      <c r="AB195" s="25" t="s">
        <v>19</v>
      </c>
      <c r="AE195" s="26"/>
      <c r="AF195" s="139" t="s">
        <v>42</v>
      </c>
      <c r="AG195" s="55" t="s">
        <v>29</v>
      </c>
      <c r="AH195" s="85">
        <v>9.75</v>
      </c>
      <c r="AI195" s="68">
        <f t="dataTable" ref="AI195:AK197" dt2D="1" dtr="1" r1="AC208" r2="AC212"/>
        <v>1.0343706317492869</v>
      </c>
      <c r="AJ195">
        <v>2.5801089173508274</v>
      </c>
      <c r="AK195">
        <v>3.8191099290215114</v>
      </c>
      <c r="AL195" s="57"/>
      <c r="AO195" s="24" t="s">
        <v>16</v>
      </c>
      <c r="AP195" s="16" t="s">
        <v>17</v>
      </c>
      <c r="AQ195" s="3"/>
      <c r="AR195" s="3"/>
      <c r="AS195" s="3"/>
      <c r="AT195" s="3"/>
      <c r="AU195" s="3"/>
      <c r="AV195" s="17" t="s">
        <v>18</v>
      </c>
      <c r="AW195" s="27">
        <f>$H$1</f>
        <v>0.08</v>
      </c>
      <c r="AX195" s="25" t="s">
        <v>19</v>
      </c>
      <c r="BA195" s="68"/>
      <c r="BB195" s="68"/>
      <c r="BC195" s="68"/>
      <c r="BD195" s="55" t="s">
        <v>29</v>
      </c>
      <c r="BE195" s="55" t="s">
        <v>30</v>
      </c>
      <c r="BF195" s="55" t="s">
        <v>31</v>
      </c>
      <c r="BG195" s="3"/>
      <c r="BK195" s="24" t="s">
        <v>16</v>
      </c>
      <c r="BL195" s="16" t="s">
        <v>17</v>
      </c>
      <c r="BM195" s="3"/>
      <c r="BN195" s="3"/>
      <c r="BO195" s="3"/>
      <c r="BP195" s="3"/>
      <c r="BQ195" s="3"/>
      <c r="BR195" s="17" t="s">
        <v>18</v>
      </c>
      <c r="BS195" s="27">
        <f>$H$1</f>
        <v>0.08</v>
      </c>
      <c r="BT195" s="25" t="s">
        <v>19</v>
      </c>
      <c r="BV195" s="68"/>
      <c r="BW195" s="68"/>
      <c r="BX195" s="68"/>
      <c r="BY195" s="140" t="s">
        <v>33</v>
      </c>
    </row>
    <row r="196" spans="1:80" ht="15.4" x14ac:dyDescent="0.45">
      <c r="A196" s="97"/>
      <c r="B196" s="97"/>
      <c r="C196" s="97"/>
      <c r="D196" s="97"/>
      <c r="E196" s="121"/>
      <c r="F196" s="97"/>
      <c r="G196" s="97"/>
      <c r="H196" s="97"/>
      <c r="I196" s="117"/>
      <c r="J196" s="97"/>
      <c r="K196" s="97"/>
      <c r="L196" s="97"/>
      <c r="M196" s="97"/>
      <c r="N196" s="97"/>
      <c r="O196" s="128"/>
      <c r="P196" s="126"/>
      <c r="Q196" s="97"/>
      <c r="R196" s="97"/>
      <c r="S196" s="24" t="s">
        <v>16</v>
      </c>
      <c r="T196" s="16" t="s">
        <v>20</v>
      </c>
      <c r="U196" s="3"/>
      <c r="V196" s="3"/>
      <c r="W196" s="3"/>
      <c r="X196" s="3"/>
      <c r="Y196" s="3"/>
      <c r="Z196" s="17" t="s">
        <v>18</v>
      </c>
      <c r="AA196" s="91">
        <f>$H$2</f>
        <v>0.38</v>
      </c>
      <c r="AB196" s="25" t="s">
        <v>21</v>
      </c>
      <c r="AE196" s="26"/>
      <c r="AF196" s="75"/>
      <c r="AG196" s="55" t="s">
        <v>30</v>
      </c>
      <c r="AH196" s="86">
        <v>10.75</v>
      </c>
      <c r="AI196" s="68">
        <v>5.1718531587464343</v>
      </c>
      <c r="AJ196">
        <v>12.900544586754121</v>
      </c>
      <c r="AK196">
        <v>19.09554964510756</v>
      </c>
      <c r="AL196" s="57"/>
      <c r="AO196" s="24" t="s">
        <v>16</v>
      </c>
      <c r="AP196" s="16" t="s">
        <v>20</v>
      </c>
      <c r="AQ196" s="3"/>
      <c r="AR196" s="3"/>
      <c r="AS196" s="3"/>
      <c r="AT196" s="3"/>
      <c r="AU196" s="3"/>
      <c r="AV196" s="17" t="s">
        <v>18</v>
      </c>
      <c r="AW196" s="91">
        <f>$H$2</f>
        <v>0.38</v>
      </c>
      <c r="AX196" s="25" t="s">
        <v>21</v>
      </c>
      <c r="BA196" s="78"/>
      <c r="BB196" s="68"/>
      <c r="BC196" s="141">
        <f>AV250</f>
        <v>11.895886100256202</v>
      </c>
      <c r="BD196" s="62">
        <v>1</v>
      </c>
      <c r="BE196" s="63">
        <v>2.5</v>
      </c>
      <c r="BF196" s="64">
        <v>5.5</v>
      </c>
      <c r="BG196" s="3"/>
      <c r="BK196" s="24" t="s">
        <v>16</v>
      </c>
      <c r="BL196" s="16" t="s">
        <v>20</v>
      </c>
      <c r="BM196" s="3"/>
      <c r="BN196" s="3"/>
      <c r="BO196" s="3"/>
      <c r="BP196" s="3"/>
      <c r="BQ196" s="3"/>
      <c r="BR196" s="17" t="s">
        <v>18</v>
      </c>
      <c r="BS196" s="91">
        <f>$H$2</f>
        <v>0.38</v>
      </c>
      <c r="BT196" s="25" t="s">
        <v>21</v>
      </c>
      <c r="BV196" s="68"/>
      <c r="BW196" s="68"/>
      <c r="BX196" s="68"/>
      <c r="BY196" s="55" t="s">
        <v>29</v>
      </c>
      <c r="BZ196" s="55" t="s">
        <v>30</v>
      </c>
      <c r="CA196" s="55" t="s">
        <v>31</v>
      </c>
    </row>
    <row r="197" spans="1:80" ht="15.4" x14ac:dyDescent="0.45">
      <c r="A197" s="97"/>
      <c r="B197" s="97"/>
      <c r="C197" s="97"/>
      <c r="D197" s="97"/>
      <c r="E197" s="121"/>
      <c r="F197" s="97"/>
      <c r="G197" s="97"/>
      <c r="H197" s="97"/>
      <c r="I197" s="117"/>
      <c r="J197" s="97"/>
      <c r="K197" s="97"/>
      <c r="L197" s="97"/>
      <c r="M197" s="155" t="s">
        <v>42</v>
      </c>
      <c r="N197" s="155"/>
      <c r="O197" s="128"/>
      <c r="P197" s="126"/>
      <c r="Q197" s="97"/>
      <c r="R197" s="97"/>
      <c r="S197" s="24"/>
      <c r="T197" s="16" t="s">
        <v>22</v>
      </c>
      <c r="U197" s="3"/>
      <c r="V197" s="3"/>
      <c r="W197" s="3"/>
      <c r="X197" s="3"/>
      <c r="Y197" s="3"/>
      <c r="Z197" s="17" t="s">
        <v>18</v>
      </c>
      <c r="AA197" s="91">
        <v>0.6</v>
      </c>
      <c r="AB197" s="25" t="s">
        <v>23</v>
      </c>
      <c r="AE197" s="26"/>
      <c r="AF197" s="75"/>
      <c r="AG197" s="55" t="s">
        <v>31</v>
      </c>
      <c r="AH197" s="87">
        <v>11.5</v>
      </c>
      <c r="AI197" s="68">
        <v>8.2749650539942969</v>
      </c>
      <c r="AJ197">
        <v>20.640871338806591</v>
      </c>
      <c r="AK197">
        <v>30.552879432172091</v>
      </c>
      <c r="AL197" s="57"/>
      <c r="AO197" s="24"/>
      <c r="AP197" s="16" t="s">
        <v>22</v>
      </c>
      <c r="AQ197" s="3"/>
      <c r="AR197" s="3"/>
      <c r="AS197" s="3"/>
      <c r="AT197" s="3"/>
      <c r="AU197" s="3"/>
      <c r="AV197" s="17" t="s">
        <v>18</v>
      </c>
      <c r="AW197" s="91">
        <v>0.6</v>
      </c>
      <c r="AX197" s="25" t="s">
        <v>23</v>
      </c>
      <c r="BA197" s="139" t="s">
        <v>42</v>
      </c>
      <c r="BB197" s="55" t="s">
        <v>29</v>
      </c>
      <c r="BC197" s="85">
        <v>9.75</v>
      </c>
      <c r="BD197" s="68">
        <f t="dataTable" ref="BD197:BF199" dt2D="1" dtr="1" r1="AY208" r2="AY212"/>
        <v>0.95167088802049649</v>
      </c>
      <c r="BE197">
        <v>2.3791772200512398</v>
      </c>
      <c r="BF197">
        <v>3.8191099290215114</v>
      </c>
      <c r="BG197" s="3"/>
      <c r="BK197" s="24"/>
      <c r="BL197" s="16" t="s">
        <v>22</v>
      </c>
      <c r="BM197" s="3"/>
      <c r="BN197" s="3"/>
      <c r="BO197" s="3"/>
      <c r="BP197" s="3"/>
      <c r="BQ197" s="3"/>
      <c r="BR197" s="17" t="s">
        <v>18</v>
      </c>
      <c r="BS197" s="91">
        <v>0.6</v>
      </c>
      <c r="BT197" s="25" t="s">
        <v>23</v>
      </c>
      <c r="BV197" s="78"/>
      <c r="BW197" s="68"/>
      <c r="BX197" s="141">
        <f>BR250</f>
        <v>7.444601969673549</v>
      </c>
      <c r="BY197" s="62">
        <v>1</v>
      </c>
      <c r="BZ197" s="63">
        <v>2.5</v>
      </c>
      <c r="CA197" s="64">
        <v>5.5</v>
      </c>
    </row>
    <row r="198" spans="1:80" ht="15.4" x14ac:dyDescent="0.45">
      <c r="A198" s="97"/>
      <c r="B198" s="97"/>
      <c r="C198" s="97"/>
      <c r="D198" s="97"/>
      <c r="E198" s="121"/>
      <c r="F198" s="97"/>
      <c r="G198" s="97"/>
      <c r="H198" s="97"/>
      <c r="I198" s="117"/>
      <c r="J198" s="97"/>
      <c r="K198" s="97"/>
      <c r="L198" s="97"/>
      <c r="M198" s="97"/>
      <c r="N198" s="97"/>
      <c r="O198" s="128"/>
      <c r="P198" s="126"/>
      <c r="Q198" s="97"/>
      <c r="R198" s="97"/>
      <c r="S198" s="24"/>
      <c r="T198" s="16" t="s">
        <v>24</v>
      </c>
      <c r="U198" s="3"/>
      <c r="V198" s="3"/>
      <c r="W198" s="3"/>
      <c r="X198" s="3"/>
      <c r="Y198" s="3"/>
      <c r="Z198" s="17" t="s">
        <v>18</v>
      </c>
      <c r="AA198" s="28">
        <f>$H$3</f>
        <v>0.98</v>
      </c>
      <c r="AB198" s="25" t="s">
        <v>25</v>
      </c>
      <c r="AE198" s="40"/>
      <c r="AF198" s="40"/>
      <c r="AG198" s="40"/>
      <c r="AH198" s="40"/>
      <c r="AI198" s="40"/>
      <c r="AJ198" s="40"/>
      <c r="AK198" s="3"/>
      <c r="AL198" s="57"/>
      <c r="AO198" s="24"/>
      <c r="AP198" s="16" t="s">
        <v>24</v>
      </c>
      <c r="AQ198" s="3"/>
      <c r="AR198" s="3"/>
      <c r="AS198" s="3"/>
      <c r="AT198" s="3"/>
      <c r="AU198" s="3"/>
      <c r="AV198" s="17" t="s">
        <v>18</v>
      </c>
      <c r="AW198" s="28">
        <f>$H$3</f>
        <v>0.98</v>
      </c>
      <c r="AX198" s="25" t="s">
        <v>25</v>
      </c>
      <c r="BA198" s="75"/>
      <c r="BB198" s="55" t="s">
        <v>30</v>
      </c>
      <c r="BC198" s="86">
        <v>10.75</v>
      </c>
      <c r="BD198" s="68">
        <v>4.7583544401024813</v>
      </c>
      <c r="BE198">
        <v>11.895886100256202</v>
      </c>
      <c r="BF198">
        <v>19.09554964510756</v>
      </c>
      <c r="BG198" s="3"/>
      <c r="BK198" s="24"/>
      <c r="BL198" s="16" t="s">
        <v>24</v>
      </c>
      <c r="BM198" s="3"/>
      <c r="BN198" s="3"/>
      <c r="BO198" s="3"/>
      <c r="BP198" s="3"/>
      <c r="BQ198" s="3"/>
      <c r="BR198" s="17" t="s">
        <v>18</v>
      </c>
      <c r="BS198" s="28">
        <f>$H$3</f>
        <v>0.98</v>
      </c>
      <c r="BT198" s="25" t="s">
        <v>25</v>
      </c>
      <c r="BV198" s="139" t="s">
        <v>42</v>
      </c>
      <c r="BW198" s="55" t="s">
        <v>29</v>
      </c>
      <c r="BX198" s="85">
        <v>9.75</v>
      </c>
      <c r="BY198" s="68">
        <f t="dataTable" ref="BY198:CA200" dt2D="1" dtr="1" r1="BU208" r2="BU212"/>
        <v>0.59556815757388404</v>
      </c>
      <c r="BZ198">
        <v>1.4889203939347093</v>
      </c>
      <c r="CA198">
        <v>3.2570248666563595</v>
      </c>
    </row>
    <row r="199" spans="1:80" ht="15.4" x14ac:dyDescent="0.45">
      <c r="A199" s="97"/>
      <c r="B199" s="97"/>
      <c r="C199" s="97"/>
      <c r="D199" s="97"/>
      <c r="E199" s="121"/>
      <c r="F199" s="97"/>
      <c r="G199" s="97"/>
      <c r="H199" s="97"/>
      <c r="I199" s="117"/>
      <c r="J199" s="97"/>
      <c r="K199" s="97"/>
      <c r="L199" s="97"/>
      <c r="M199" s="120" t="s">
        <v>31</v>
      </c>
      <c r="N199" s="122">
        <v>0.25</v>
      </c>
      <c r="O199" s="128">
        <f>1-EXP(-P199*$E$2)</f>
        <v>0.58043631983554078</v>
      </c>
      <c r="P199" s="126">
        <f>CA200</f>
        <v>26.05619893325089</v>
      </c>
      <c r="Q199" s="97"/>
      <c r="R199" s="97"/>
      <c r="S199" s="24"/>
      <c r="T199" s="16"/>
      <c r="U199" s="3"/>
      <c r="V199" s="3"/>
      <c r="W199" s="3"/>
      <c r="X199" s="3"/>
      <c r="Y199" s="3"/>
      <c r="Z199" s="17"/>
      <c r="AA199" s="40"/>
      <c r="AB199" s="25"/>
      <c r="AE199" s="40"/>
      <c r="AF199" s="40"/>
      <c r="AG199" s="40"/>
      <c r="AH199" s="40"/>
      <c r="AI199" s="40"/>
      <c r="AJ199" s="40"/>
      <c r="AK199" s="3"/>
      <c r="AL199" s="57"/>
      <c r="AO199" s="24"/>
      <c r="AP199" s="16"/>
      <c r="AQ199" s="3"/>
      <c r="AR199" s="3"/>
      <c r="AS199" s="3"/>
      <c r="AT199" s="3"/>
      <c r="AU199" s="3"/>
      <c r="AV199" s="17"/>
      <c r="AW199" s="40"/>
      <c r="AX199" s="25"/>
      <c r="BA199" s="75"/>
      <c r="BB199" s="55" t="s">
        <v>31</v>
      </c>
      <c r="BC199" s="87">
        <v>11.5</v>
      </c>
      <c r="BD199" s="68">
        <v>7.613367104163971</v>
      </c>
      <c r="BE199">
        <v>19.033417760409925</v>
      </c>
      <c r="BF199">
        <v>30.552879432172091</v>
      </c>
      <c r="BG199" s="3"/>
      <c r="BK199" s="24"/>
      <c r="BL199" s="16"/>
      <c r="BM199" s="3"/>
      <c r="BN199" s="3"/>
      <c r="BO199" s="3"/>
      <c r="BP199" s="3"/>
      <c r="BQ199" s="3"/>
      <c r="BR199" s="17"/>
      <c r="BS199" s="40"/>
      <c r="BT199" s="25"/>
      <c r="BV199" s="75"/>
      <c r="BW199" s="55" t="s">
        <v>30</v>
      </c>
      <c r="BX199" s="86">
        <v>10.75</v>
      </c>
      <c r="BY199" s="68">
        <v>2.9778407878694191</v>
      </c>
      <c r="BZ199">
        <v>7.444601969673549</v>
      </c>
      <c r="CA199">
        <v>16.285124333281807</v>
      </c>
    </row>
    <row r="200" spans="1:80" ht="15.4" x14ac:dyDescent="0.45">
      <c r="A200" s="97"/>
      <c r="B200" s="97"/>
      <c r="C200" s="97"/>
      <c r="D200" s="97"/>
      <c r="E200" s="121"/>
      <c r="F200" s="97"/>
      <c r="G200" s="97"/>
      <c r="H200" s="97"/>
      <c r="I200" s="117"/>
      <c r="J200" s="97"/>
      <c r="K200" s="155" t="s">
        <v>33</v>
      </c>
      <c r="L200" s="164"/>
      <c r="M200" s="117"/>
      <c r="N200" s="97"/>
      <c r="O200" s="128"/>
      <c r="P200" s="126"/>
      <c r="Q200" s="97"/>
      <c r="R200" s="97"/>
      <c r="S200" s="24"/>
      <c r="T200" s="16"/>
      <c r="U200" s="3"/>
      <c r="V200" s="3"/>
      <c r="W200" s="3"/>
      <c r="X200" s="3"/>
      <c r="Y200" s="3"/>
      <c r="Z200" s="17"/>
      <c r="AA200" s="39"/>
      <c r="AB200" s="25"/>
      <c r="AE200" s="39"/>
      <c r="AF200" s="39"/>
      <c r="AG200" s="39"/>
      <c r="AH200" s="39"/>
      <c r="AI200" s="39"/>
      <c r="AJ200" s="39"/>
      <c r="AK200" s="3"/>
      <c r="AL200" s="57"/>
      <c r="AO200" s="24"/>
      <c r="AP200" s="16"/>
      <c r="AQ200" s="3"/>
      <c r="AR200" s="3"/>
      <c r="AS200" s="3"/>
      <c r="AT200" s="3"/>
      <c r="AU200" s="3"/>
      <c r="AV200" s="17"/>
      <c r="AW200" s="39"/>
      <c r="AX200" s="25"/>
      <c r="BA200" s="39"/>
      <c r="BB200" s="39"/>
      <c r="BC200" s="39"/>
      <c r="BD200" s="39"/>
      <c r="BE200" s="39"/>
      <c r="BF200" s="39"/>
      <c r="BG200" s="3"/>
      <c r="BK200" s="24"/>
      <c r="BL200" s="16"/>
      <c r="BM200" s="3"/>
      <c r="BN200" s="3"/>
      <c r="BO200" s="3"/>
      <c r="BP200" s="3"/>
      <c r="BQ200" s="3"/>
      <c r="BR200" s="17"/>
      <c r="BS200" s="39"/>
      <c r="BT200" s="25"/>
      <c r="BV200" s="75"/>
      <c r="BW200" s="55" t="s">
        <v>31</v>
      </c>
      <c r="BX200" s="87">
        <v>11.5</v>
      </c>
      <c r="BY200" s="68">
        <v>4.7645452605910714</v>
      </c>
      <c r="BZ200">
        <v>11.911363151477678</v>
      </c>
      <c r="CA200">
        <v>26.05619893325089</v>
      </c>
    </row>
    <row r="201" spans="1:80" x14ac:dyDescent="0.35">
      <c r="A201" s="97"/>
      <c r="B201" s="97"/>
      <c r="C201" s="97"/>
      <c r="D201" s="97"/>
      <c r="E201" s="121"/>
      <c r="F201" s="97"/>
      <c r="G201" s="97"/>
      <c r="H201" s="97"/>
      <c r="I201" s="117"/>
      <c r="J201" s="97"/>
      <c r="K201" s="97"/>
      <c r="L201" s="97"/>
      <c r="M201" s="117"/>
      <c r="N201" s="97"/>
      <c r="O201" s="128"/>
      <c r="P201" s="126"/>
      <c r="Q201" s="97"/>
      <c r="R201" s="97"/>
      <c r="S201" s="24"/>
      <c r="T201" s="16"/>
      <c r="U201" s="3"/>
      <c r="V201" s="3"/>
      <c r="W201" s="3"/>
      <c r="X201" s="3"/>
      <c r="Y201" s="3"/>
      <c r="Z201" s="17"/>
      <c r="AA201" s="39"/>
      <c r="AB201" s="25"/>
      <c r="AE201" s="39"/>
      <c r="AF201" s="39"/>
      <c r="AG201" s="39"/>
      <c r="AH201" s="39"/>
      <c r="AI201" s="39"/>
      <c r="AJ201" s="39"/>
      <c r="AK201" s="3"/>
      <c r="AL201" s="57"/>
      <c r="AO201" s="24"/>
      <c r="AP201" s="16"/>
      <c r="AQ201" s="3"/>
      <c r="AR201" s="3"/>
      <c r="AS201" s="3"/>
      <c r="AT201" s="3"/>
      <c r="AU201" s="3"/>
      <c r="AV201" s="17"/>
      <c r="AW201" s="39"/>
      <c r="AX201" s="25"/>
      <c r="BA201" s="39"/>
      <c r="BB201" s="39"/>
      <c r="BC201" s="39"/>
      <c r="BD201" s="39"/>
      <c r="BE201" s="39"/>
      <c r="BF201" s="39"/>
      <c r="BG201" s="3"/>
      <c r="BK201" s="24"/>
      <c r="BL201" s="16"/>
      <c r="BM201" s="3"/>
      <c r="BN201" s="3"/>
      <c r="BO201" s="3"/>
      <c r="BP201" s="3"/>
      <c r="BQ201" s="3"/>
      <c r="BR201" s="17"/>
      <c r="BS201" s="39"/>
      <c r="BT201" s="25"/>
      <c r="BW201" s="39"/>
      <c r="BX201" s="39"/>
      <c r="BY201" s="39"/>
      <c r="BZ201" s="39"/>
      <c r="CA201" s="39"/>
    </row>
    <row r="202" spans="1:80" x14ac:dyDescent="0.35">
      <c r="A202" s="97"/>
      <c r="B202" s="97"/>
      <c r="C202" s="97"/>
      <c r="D202" s="97"/>
      <c r="E202" s="121"/>
      <c r="F202" s="97"/>
      <c r="G202" s="97"/>
      <c r="H202" s="97"/>
      <c r="I202" s="117"/>
      <c r="J202" s="97"/>
      <c r="K202" s="120" t="s">
        <v>31</v>
      </c>
      <c r="L202" s="122">
        <v>0.25</v>
      </c>
      <c r="M202" s="120" t="s">
        <v>30</v>
      </c>
      <c r="N202" s="122">
        <v>0.5</v>
      </c>
      <c r="O202" s="128">
        <f>1-EXP(-P202*$E$2)</f>
        <v>0.41890293912371979</v>
      </c>
      <c r="P202" s="126">
        <f>CA199</f>
        <v>16.285124333281807</v>
      </c>
      <c r="Q202" s="97"/>
      <c r="R202" s="97"/>
      <c r="S202" s="24" t="s">
        <v>16</v>
      </c>
      <c r="T202" s="18"/>
      <c r="U202" s="19"/>
      <c r="V202" s="19"/>
      <c r="W202" s="19"/>
      <c r="X202" s="19"/>
      <c r="Y202" s="19"/>
      <c r="Z202" s="19"/>
      <c r="AA202" s="19"/>
      <c r="AB202" s="59"/>
      <c r="AC202" s="23"/>
      <c r="AD202" s="3"/>
      <c r="AE202" s="3"/>
      <c r="AF202" s="3"/>
      <c r="AG202" s="3"/>
      <c r="AH202" s="3"/>
      <c r="AI202" s="3"/>
      <c r="AJ202" s="3"/>
      <c r="AK202" s="3"/>
      <c r="AL202" s="57"/>
      <c r="AO202" s="24" t="s">
        <v>16</v>
      </c>
      <c r="AP202" s="18"/>
      <c r="AQ202" s="19"/>
      <c r="AR202" s="19"/>
      <c r="AS202" s="19"/>
      <c r="AT202" s="19"/>
      <c r="AU202" s="19"/>
      <c r="AV202" s="19"/>
      <c r="AW202" s="19"/>
      <c r="AX202" s="59"/>
      <c r="AY202" s="23"/>
      <c r="AZ202" s="3"/>
      <c r="BA202" s="3"/>
      <c r="BB202" s="3"/>
      <c r="BC202" s="3"/>
      <c r="BD202" s="3"/>
      <c r="BE202" s="3"/>
      <c r="BF202" s="3"/>
      <c r="BG202" s="3"/>
      <c r="BK202" s="24" t="s">
        <v>16</v>
      </c>
      <c r="BL202" s="18"/>
      <c r="BM202" s="19"/>
      <c r="BN202" s="19"/>
      <c r="BO202" s="19"/>
      <c r="BP202" s="19"/>
      <c r="BQ202" s="19"/>
      <c r="BR202" s="19"/>
      <c r="BS202" s="19"/>
      <c r="BT202" s="59"/>
      <c r="BU202" s="23"/>
      <c r="BV202" s="3"/>
      <c r="BW202" s="3"/>
      <c r="BX202" s="3"/>
      <c r="BY202" s="3"/>
      <c r="BZ202" s="3"/>
      <c r="CA202" s="3"/>
    </row>
    <row r="203" spans="1:80" ht="13.15" thickBot="1" x14ac:dyDescent="0.4">
      <c r="A203" s="97"/>
      <c r="B203" s="97"/>
      <c r="C203" s="97"/>
      <c r="D203" s="97"/>
      <c r="E203" s="121"/>
      <c r="F203" s="97"/>
      <c r="G203" s="97"/>
      <c r="H203" s="97"/>
      <c r="I203" s="117"/>
      <c r="J203" s="97"/>
      <c r="K203" s="117">
        <f>O199*N199+O202*N202+O205*N205</f>
        <v>0.38028096420251728</v>
      </c>
      <c r="L203" s="97"/>
      <c r="M203" s="117"/>
      <c r="N203" s="97"/>
      <c r="O203" s="128"/>
      <c r="P203" s="126"/>
      <c r="Q203" s="97"/>
      <c r="R203" s="97"/>
      <c r="S203" s="24"/>
      <c r="T203" s="3"/>
      <c r="U203" s="3"/>
      <c r="V203" s="3"/>
      <c r="W203" s="3"/>
      <c r="X203" s="3"/>
      <c r="Y203" s="3"/>
      <c r="Z203" s="3"/>
      <c r="AA203" s="3"/>
      <c r="AC203" s="23"/>
      <c r="AD203" s="3"/>
      <c r="AE203" s="3"/>
      <c r="AF203" s="3"/>
      <c r="AG203" s="3"/>
      <c r="AH203" s="3"/>
      <c r="AI203" s="3"/>
      <c r="AJ203" s="3"/>
      <c r="AK203" s="3"/>
      <c r="AL203" s="57"/>
      <c r="AO203" s="24"/>
      <c r="AP203" s="3"/>
      <c r="AQ203" s="3"/>
      <c r="AR203" s="3"/>
      <c r="AS203" s="3"/>
      <c r="AT203" s="3"/>
      <c r="AU203" s="3"/>
      <c r="AV203" s="3"/>
      <c r="AW203" s="3"/>
      <c r="AY203" s="23"/>
      <c r="AZ203" s="3"/>
      <c r="BA203" s="3"/>
      <c r="BB203" s="3"/>
      <c r="BC203" s="3"/>
      <c r="BD203" s="3"/>
      <c r="BE203" s="3"/>
      <c r="BF203" s="3"/>
      <c r="BG203" s="3"/>
      <c r="BK203" s="24"/>
      <c r="BL203" s="3"/>
      <c r="BM203" s="3"/>
      <c r="BN203" s="3"/>
      <c r="BO203" s="3"/>
      <c r="BP203" s="3"/>
      <c r="BQ203" s="3"/>
      <c r="BR203" s="3"/>
      <c r="BS203" s="3"/>
      <c r="BU203" s="23"/>
      <c r="BV203" s="3"/>
      <c r="BW203" s="3"/>
      <c r="BX203" s="3"/>
      <c r="BY203" s="3"/>
      <c r="BZ203" s="3"/>
      <c r="CA203" s="3"/>
    </row>
    <row r="204" spans="1:80" ht="15.4" x14ac:dyDescent="0.45">
      <c r="A204" s="97"/>
      <c r="B204" s="97"/>
      <c r="C204" s="97"/>
      <c r="D204" s="97"/>
      <c r="E204" s="121"/>
      <c r="F204" s="97"/>
      <c r="G204" s="97"/>
      <c r="H204" s="97"/>
      <c r="I204" s="117"/>
      <c r="J204" s="97"/>
      <c r="K204" s="117"/>
      <c r="L204" s="97"/>
      <c r="M204" s="123"/>
      <c r="N204" s="97"/>
      <c r="O204" s="128"/>
      <c r="P204" s="126"/>
      <c r="Q204" s="97"/>
      <c r="R204" s="97"/>
      <c r="S204" s="53" t="s">
        <v>26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53" t="s">
        <v>26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K204" s="53" t="s">
        <v>26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</row>
    <row r="205" spans="1:80" ht="15.4" x14ac:dyDescent="0.45">
      <c r="A205" s="97"/>
      <c r="B205" s="97"/>
      <c r="C205" s="97"/>
      <c r="D205" s="97"/>
      <c r="E205" s="121"/>
      <c r="F205" s="97"/>
      <c r="G205" s="97"/>
      <c r="H205" s="97"/>
      <c r="I205" s="117"/>
      <c r="J205" s="97"/>
      <c r="K205" s="117"/>
      <c r="L205" s="97"/>
      <c r="M205" s="122" t="s">
        <v>29</v>
      </c>
      <c r="N205" s="122">
        <v>0.25</v>
      </c>
      <c r="O205" s="128">
        <f>1-EXP(-P205*$E$2)</f>
        <v>0.10288165872708865</v>
      </c>
      <c r="P205" s="126">
        <f>CA198</f>
        <v>3.2570248666563595</v>
      </c>
      <c r="Q205" s="97"/>
      <c r="R205" s="97"/>
      <c r="S205" s="54"/>
      <c r="AO205" s="54"/>
      <c r="BK205" s="54"/>
    </row>
    <row r="206" spans="1:80" ht="15.4" x14ac:dyDescent="0.45">
      <c r="A206" s="97"/>
      <c r="B206" s="97"/>
      <c r="C206" s="97"/>
      <c r="D206" s="97"/>
      <c r="E206" s="121"/>
      <c r="F206" s="97"/>
      <c r="G206" s="97"/>
      <c r="H206" s="97"/>
      <c r="I206" s="117"/>
      <c r="J206" s="97"/>
      <c r="K206" s="117"/>
      <c r="L206" s="97"/>
      <c r="M206" s="97"/>
      <c r="N206" s="97"/>
      <c r="O206" s="128"/>
      <c r="P206" s="126"/>
      <c r="Q206" s="97"/>
      <c r="R206" s="97"/>
      <c r="S206" s="49"/>
      <c r="T206" s="49" t="s">
        <v>12</v>
      </c>
      <c r="U206" s="49"/>
      <c r="V206" s="49"/>
      <c r="W206" s="49"/>
      <c r="X206" s="49"/>
      <c r="Y206" s="49"/>
      <c r="Z206" s="55" t="s">
        <v>13</v>
      </c>
      <c r="AA206" s="55" t="s">
        <v>27</v>
      </c>
      <c r="AB206" s="56"/>
      <c r="AC206" s="55" t="s">
        <v>28</v>
      </c>
      <c r="AD206" s="55" t="s">
        <v>15</v>
      </c>
      <c r="AE206" s="55" t="s">
        <v>29</v>
      </c>
      <c r="AF206" s="55" t="s">
        <v>30</v>
      </c>
      <c r="AG206" s="55" t="s">
        <v>31</v>
      </c>
      <c r="AH206" s="9"/>
      <c r="AJ206" s="55"/>
      <c r="AM206" s="51"/>
      <c r="AN206" s="51"/>
      <c r="AO206" s="49"/>
      <c r="AP206" s="49" t="s">
        <v>12</v>
      </c>
      <c r="AQ206" s="49"/>
      <c r="AR206" s="49"/>
      <c r="AS206" s="49"/>
      <c r="AT206" s="49"/>
      <c r="AU206" s="49"/>
      <c r="AV206" s="55" t="s">
        <v>13</v>
      </c>
      <c r="AW206" s="55" t="s">
        <v>27</v>
      </c>
      <c r="AX206" s="56"/>
      <c r="AY206" s="55" t="s">
        <v>28</v>
      </c>
      <c r="AZ206" s="55" t="s">
        <v>15</v>
      </c>
      <c r="BA206" s="55" t="s">
        <v>29</v>
      </c>
      <c r="BB206" s="55" t="s">
        <v>30</v>
      </c>
      <c r="BC206" s="55" t="s">
        <v>31</v>
      </c>
      <c r="BD206" s="9"/>
      <c r="BF206" s="55"/>
      <c r="BH206" s="51"/>
      <c r="BI206" s="51"/>
      <c r="BJ206" s="51"/>
      <c r="BK206" s="49"/>
      <c r="BL206" s="49" t="s">
        <v>12</v>
      </c>
      <c r="BM206" s="49"/>
      <c r="BN206" s="49"/>
      <c r="BO206" s="49"/>
      <c r="BP206" s="49"/>
      <c r="BQ206" s="49"/>
      <c r="BR206" s="55" t="s">
        <v>13</v>
      </c>
      <c r="BS206" s="55" t="s">
        <v>27</v>
      </c>
      <c r="BT206" s="56"/>
      <c r="BU206" s="55" t="s">
        <v>28</v>
      </c>
      <c r="BV206" s="55" t="s">
        <v>15</v>
      </c>
      <c r="BW206" s="55" t="s">
        <v>29</v>
      </c>
      <c r="BX206" s="55" t="s">
        <v>30</v>
      </c>
      <c r="BY206" s="55" t="s">
        <v>31</v>
      </c>
      <c r="BZ206" s="9"/>
      <c r="CB206" s="51"/>
    </row>
    <row r="207" spans="1:80" x14ac:dyDescent="0.35">
      <c r="A207" s="97"/>
      <c r="B207" s="97"/>
      <c r="C207" s="97"/>
      <c r="D207" s="97"/>
      <c r="E207" s="121"/>
      <c r="F207" s="97"/>
      <c r="G207" s="97"/>
      <c r="H207" s="97"/>
      <c r="I207" s="117"/>
      <c r="J207" s="97"/>
      <c r="K207" s="117"/>
      <c r="L207" s="97"/>
      <c r="M207" s="155" t="s">
        <v>42</v>
      </c>
      <c r="N207" s="155"/>
      <c r="O207" s="128"/>
      <c r="P207" s="126"/>
      <c r="Q207" s="97"/>
      <c r="R207" s="97"/>
      <c r="S207" s="24" t="s">
        <v>16</v>
      </c>
      <c r="T207" s="60" t="s">
        <v>32</v>
      </c>
      <c r="U207" s="5"/>
      <c r="V207" s="5"/>
      <c r="W207" s="5"/>
      <c r="X207" s="5"/>
      <c r="Y207" s="5"/>
      <c r="Z207" s="5"/>
      <c r="AA207" s="5"/>
      <c r="AB207" s="14"/>
      <c r="AC207" s="21"/>
      <c r="AD207" s="5"/>
      <c r="AE207" s="5"/>
      <c r="AF207" s="5"/>
      <c r="AG207" s="5"/>
      <c r="AH207" s="58"/>
      <c r="AJ207" s="3"/>
      <c r="AO207" s="24" t="s">
        <v>16</v>
      </c>
      <c r="AP207" s="60" t="s">
        <v>32</v>
      </c>
      <c r="AQ207" s="5"/>
      <c r="AR207" s="5"/>
      <c r="AS207" s="5"/>
      <c r="AT207" s="5"/>
      <c r="AU207" s="5"/>
      <c r="AV207" s="5"/>
      <c r="AW207" s="5"/>
      <c r="AX207" s="14"/>
      <c r="AY207" s="21"/>
      <c r="AZ207" s="5"/>
      <c r="BA207" s="5"/>
      <c r="BB207" s="5"/>
      <c r="BC207" s="5"/>
      <c r="BD207" s="58"/>
      <c r="BF207" s="3"/>
      <c r="BK207" s="24" t="s">
        <v>16</v>
      </c>
      <c r="BL207" s="60" t="s">
        <v>32</v>
      </c>
      <c r="BM207" s="5"/>
      <c r="BN207" s="5"/>
      <c r="BO207" s="5"/>
      <c r="BP207" s="5"/>
      <c r="BQ207" s="5"/>
      <c r="BR207" s="5"/>
      <c r="BS207" s="5"/>
      <c r="BT207" s="14"/>
      <c r="BU207" s="21"/>
      <c r="BV207" s="5"/>
      <c r="BW207" s="5"/>
      <c r="BX207" s="5"/>
      <c r="BY207" s="5"/>
      <c r="BZ207" s="58"/>
    </row>
    <row r="208" spans="1:80" x14ac:dyDescent="0.35">
      <c r="A208" s="97"/>
      <c r="B208" s="97"/>
      <c r="C208" s="97"/>
      <c r="D208" s="97"/>
      <c r="E208" s="121"/>
      <c r="F208" s="97"/>
      <c r="G208" s="97"/>
      <c r="H208" s="97"/>
      <c r="I208" s="117"/>
      <c r="J208" s="97"/>
      <c r="K208" s="117"/>
      <c r="L208" s="97"/>
      <c r="M208" s="97"/>
      <c r="N208" s="97"/>
      <c r="O208" s="128"/>
      <c r="P208" s="126"/>
      <c r="Q208" s="97"/>
      <c r="R208" s="97"/>
      <c r="S208" s="46" t="s">
        <v>16</v>
      </c>
      <c r="T208" s="140" t="s">
        <v>33</v>
      </c>
      <c r="U208" s="95"/>
      <c r="V208" s="95"/>
      <c r="W208" s="3"/>
      <c r="X208" s="3"/>
      <c r="Y208" s="3"/>
      <c r="Z208" s="17" t="s">
        <v>34</v>
      </c>
      <c r="AA208" s="44">
        <v>2</v>
      </c>
      <c r="AB208" s="7"/>
      <c r="AC208" s="41">
        <f>INDEX(AE208:AG208,AA208)</f>
        <v>2.5</v>
      </c>
      <c r="AD208" s="7" t="s">
        <v>35</v>
      </c>
      <c r="AE208" s="62">
        <v>1</v>
      </c>
      <c r="AF208" s="63">
        <v>2.5</v>
      </c>
      <c r="AG208" s="64">
        <v>5.5</v>
      </c>
      <c r="AH208" s="58"/>
      <c r="AJ208" s="42"/>
      <c r="AM208" s="95"/>
      <c r="AN208" s="95"/>
      <c r="AO208" s="46" t="s">
        <v>16</v>
      </c>
      <c r="AP208" s="43" t="s">
        <v>33</v>
      </c>
      <c r="AQ208" s="95"/>
      <c r="AR208" s="95"/>
      <c r="AS208" s="3"/>
      <c r="AT208" s="3"/>
      <c r="AU208" s="3"/>
      <c r="AV208" s="17" t="s">
        <v>34</v>
      </c>
      <c r="AW208" s="44">
        <v>2</v>
      </c>
      <c r="AX208" s="7"/>
      <c r="AY208" s="41">
        <f>INDEX(BA208:BC208,AW208)</f>
        <v>2.5</v>
      </c>
      <c r="AZ208" s="7" t="s">
        <v>35</v>
      </c>
      <c r="BA208" s="62">
        <v>1</v>
      </c>
      <c r="BB208" s="63">
        <v>2.5</v>
      </c>
      <c r="BC208" s="64">
        <v>5.5</v>
      </c>
      <c r="BD208" s="58"/>
      <c r="BF208" s="42"/>
      <c r="BH208" s="95"/>
      <c r="BI208" s="95"/>
      <c r="BJ208" s="95"/>
      <c r="BK208" s="46" t="s">
        <v>16</v>
      </c>
      <c r="BL208" s="43" t="s">
        <v>33</v>
      </c>
      <c r="BM208" s="95"/>
      <c r="BN208" s="95"/>
      <c r="BO208" s="3"/>
      <c r="BP208" s="3"/>
      <c r="BQ208" s="3"/>
      <c r="BR208" s="17" t="s">
        <v>34</v>
      </c>
      <c r="BS208" s="44">
        <v>2</v>
      </c>
      <c r="BT208" s="7"/>
      <c r="BU208" s="41">
        <f>INDEX(BW208:BY208,BS208)</f>
        <v>2.5</v>
      </c>
      <c r="BV208" s="7" t="s">
        <v>35</v>
      </c>
      <c r="BW208" s="62">
        <v>1</v>
      </c>
      <c r="BX208" s="63">
        <v>2.5</v>
      </c>
      <c r="BY208" s="64">
        <v>5.5</v>
      </c>
      <c r="BZ208" s="58"/>
      <c r="CB208" s="95"/>
    </row>
    <row r="209" spans="1:80" x14ac:dyDescent="0.35">
      <c r="A209" s="97"/>
      <c r="B209" s="97"/>
      <c r="C209" s="97"/>
      <c r="D209" s="97"/>
      <c r="E209" s="121"/>
      <c r="F209" s="97"/>
      <c r="G209" s="97"/>
      <c r="H209" s="97"/>
      <c r="I209" s="117"/>
      <c r="J209" s="97"/>
      <c r="K209" s="117"/>
      <c r="L209" s="97"/>
      <c r="M209" s="120" t="s">
        <v>31</v>
      </c>
      <c r="N209" s="122">
        <v>0.25</v>
      </c>
      <c r="O209" s="128">
        <f>1-EXP(-P209*$E$2)</f>
        <v>0.3276965234439716</v>
      </c>
      <c r="P209" s="126">
        <f>BZ200</f>
        <v>11.911363151477678</v>
      </c>
      <c r="Q209" s="97"/>
      <c r="R209" s="97"/>
      <c r="S209" s="46" t="s">
        <v>16</v>
      </c>
      <c r="T209" s="43" t="s">
        <v>36</v>
      </c>
      <c r="U209" s="95"/>
      <c r="V209" s="95"/>
      <c r="W209" s="3"/>
      <c r="X209" s="3"/>
      <c r="Y209" s="3"/>
      <c r="Z209" s="17" t="s">
        <v>34</v>
      </c>
      <c r="AA209" s="44">
        <v>2</v>
      </c>
      <c r="AB209" s="7"/>
      <c r="AC209" s="41">
        <f>INDEX(AE209:AG209,AA209)</f>
        <v>1.6</v>
      </c>
      <c r="AD209" s="7" t="s">
        <v>37</v>
      </c>
      <c r="AE209" s="62">
        <v>1.3</v>
      </c>
      <c r="AF209" s="63">
        <v>1.6</v>
      </c>
      <c r="AG209" s="64">
        <v>1.8</v>
      </c>
      <c r="AH209" s="58"/>
      <c r="AJ209" s="3"/>
      <c r="AM209" s="95"/>
      <c r="AN209" s="95"/>
      <c r="AO209" s="46" t="s">
        <v>16</v>
      </c>
      <c r="AP209" s="43" t="s">
        <v>36</v>
      </c>
      <c r="AQ209" s="95"/>
      <c r="AR209" s="95"/>
      <c r="AS209" s="3"/>
      <c r="AT209" s="3"/>
      <c r="AU209" s="3"/>
      <c r="AV209" s="17" t="s">
        <v>34</v>
      </c>
      <c r="AW209" s="44">
        <v>2</v>
      </c>
      <c r="AX209" s="7"/>
      <c r="AY209" s="41">
        <f>INDEX(BA209:BC209,AW209)</f>
        <v>1.6</v>
      </c>
      <c r="AZ209" s="7" t="s">
        <v>37</v>
      </c>
      <c r="BA209" s="62">
        <v>1.3</v>
      </c>
      <c r="BB209" s="63">
        <v>1.6</v>
      </c>
      <c r="BC209" s="64">
        <v>1.8</v>
      </c>
      <c r="BD209" s="58"/>
      <c r="BF209" s="3"/>
      <c r="BH209" s="95"/>
      <c r="BI209" s="95"/>
      <c r="BJ209" s="95"/>
      <c r="BK209" s="46" t="s">
        <v>16</v>
      </c>
      <c r="BL209" s="43" t="s">
        <v>36</v>
      </c>
      <c r="BM209" s="95"/>
      <c r="BN209" s="95"/>
      <c r="BO209" s="3"/>
      <c r="BP209" s="3"/>
      <c r="BQ209" s="3"/>
      <c r="BR209" s="17" t="s">
        <v>34</v>
      </c>
      <c r="BS209" s="44">
        <v>2</v>
      </c>
      <c r="BT209" s="7"/>
      <c r="BU209" s="41">
        <f>INDEX(BW209:BY209,BS209)</f>
        <v>1.6</v>
      </c>
      <c r="BV209" s="7" t="s">
        <v>37</v>
      </c>
      <c r="BW209" s="62">
        <v>1.3</v>
      </c>
      <c r="BX209" s="63">
        <v>1.6</v>
      </c>
      <c r="BY209" s="64">
        <v>1.8</v>
      </c>
      <c r="BZ209" s="58"/>
      <c r="CB209" s="95"/>
    </row>
    <row r="210" spans="1:80" x14ac:dyDescent="0.35">
      <c r="A210" s="97"/>
      <c r="B210" s="97"/>
      <c r="C210" s="97"/>
      <c r="D210" s="97"/>
      <c r="E210" s="121"/>
      <c r="F210" s="97"/>
      <c r="G210" s="97"/>
      <c r="H210" s="97"/>
      <c r="I210" s="117"/>
      <c r="J210" s="97"/>
      <c r="K210" s="117"/>
      <c r="L210" s="97"/>
      <c r="M210" s="117"/>
      <c r="N210" s="97"/>
      <c r="O210" s="128"/>
      <c r="P210" s="126"/>
      <c r="Q210" s="97"/>
      <c r="R210" s="97"/>
      <c r="S210" s="24" t="s">
        <v>16</v>
      </c>
      <c r="T210" s="140" t="s">
        <v>38</v>
      </c>
      <c r="U210" s="3"/>
      <c r="W210" s="3"/>
      <c r="X210" s="3"/>
      <c r="Y210" s="3"/>
      <c r="Z210" s="17" t="s">
        <v>39</v>
      </c>
      <c r="AA210" s="44">
        <v>3</v>
      </c>
      <c r="AB210" s="7"/>
      <c r="AC210" s="84">
        <f>INDEX(AE210:AG210,AA210)</f>
        <v>0.09</v>
      </c>
      <c r="AD210" s="7" t="s">
        <v>40</v>
      </c>
      <c r="AE210" s="81">
        <v>-0.05</v>
      </c>
      <c r="AF210" s="82">
        <v>7.0000000000000007E-2</v>
      </c>
      <c r="AG210" s="83">
        <v>0.09</v>
      </c>
      <c r="AH210" s="58"/>
      <c r="AJ210" s="47"/>
      <c r="AO210" s="24" t="s">
        <v>16</v>
      </c>
      <c r="AP210" s="43" t="s">
        <v>38</v>
      </c>
      <c r="AQ210" s="3"/>
      <c r="AS210" s="3"/>
      <c r="AT210" s="3"/>
      <c r="AU210" s="3"/>
      <c r="AV210" s="17" t="s">
        <v>39</v>
      </c>
      <c r="AW210" s="44">
        <v>2</v>
      </c>
      <c r="AX210" s="7"/>
      <c r="AY210" s="84">
        <f>INDEX(BA210:BC210,AW210)</f>
        <v>7.0000000000000007E-2</v>
      </c>
      <c r="AZ210" s="7" t="s">
        <v>40</v>
      </c>
      <c r="BA210" s="81">
        <v>-0.05</v>
      </c>
      <c r="BB210" s="82">
        <v>7.0000000000000007E-2</v>
      </c>
      <c r="BC210" s="83">
        <v>0.09</v>
      </c>
      <c r="BD210" s="58"/>
      <c r="BF210" s="47"/>
      <c r="BK210" s="24" t="s">
        <v>16</v>
      </c>
      <c r="BL210" s="43" t="s">
        <v>38</v>
      </c>
      <c r="BM210" s="3"/>
      <c r="BO210" s="3"/>
      <c r="BP210" s="3"/>
      <c r="BQ210" s="3"/>
      <c r="BR210" s="17" t="s">
        <v>39</v>
      </c>
      <c r="BS210" s="44">
        <v>1</v>
      </c>
      <c r="BT210" s="7"/>
      <c r="BU210" s="84">
        <f>INDEX(BW210:BY210,BS210)</f>
        <v>-0.05</v>
      </c>
      <c r="BV210" s="7" t="s">
        <v>40</v>
      </c>
      <c r="BW210" s="81">
        <v>-0.05</v>
      </c>
      <c r="BX210" s="82">
        <v>7.0000000000000007E-2</v>
      </c>
      <c r="BY210" s="83">
        <v>0.09</v>
      </c>
      <c r="BZ210" s="58"/>
    </row>
    <row r="211" spans="1:80" x14ac:dyDescent="0.35">
      <c r="A211" s="97"/>
      <c r="B211" s="97"/>
      <c r="C211" s="97"/>
      <c r="D211" s="97"/>
      <c r="E211" s="121"/>
      <c r="F211" s="97"/>
      <c r="G211" s="97"/>
      <c r="H211" s="97"/>
      <c r="I211" s="123"/>
      <c r="J211" s="97"/>
      <c r="K211" s="117"/>
      <c r="L211" s="97"/>
      <c r="M211" s="117"/>
      <c r="N211" s="97"/>
      <c r="O211" s="128"/>
      <c r="P211" s="126"/>
      <c r="Q211" s="97"/>
      <c r="R211" s="97"/>
      <c r="S211" s="24" t="s">
        <v>16</v>
      </c>
      <c r="T211" s="13" t="s">
        <v>41</v>
      </c>
      <c r="V211" s="3"/>
      <c r="W211" s="3"/>
      <c r="X211" s="3"/>
      <c r="Y211" s="3"/>
      <c r="Z211" s="3"/>
      <c r="AA211" s="132"/>
      <c r="AC211" s="40"/>
      <c r="AD211" s="3"/>
      <c r="AE211" s="26"/>
      <c r="AF211" s="26"/>
      <c r="AG211" s="26"/>
      <c r="AH211" s="58"/>
      <c r="AJ211" s="3"/>
      <c r="AO211" s="24" t="s">
        <v>16</v>
      </c>
      <c r="AP211" s="13" t="s">
        <v>41</v>
      </c>
      <c r="AR211" s="3"/>
      <c r="AS211" s="3"/>
      <c r="AT211" s="3"/>
      <c r="AU211" s="3"/>
      <c r="AV211" s="3"/>
      <c r="AW211" s="132"/>
      <c r="AY211" s="40"/>
      <c r="AZ211" s="3"/>
      <c r="BA211" s="26"/>
      <c r="BB211" s="26"/>
      <c r="BC211" s="26"/>
      <c r="BD211" s="58"/>
      <c r="BF211" s="3"/>
      <c r="BK211" s="24" t="s">
        <v>16</v>
      </c>
      <c r="BL211" s="13" t="s">
        <v>41</v>
      </c>
      <c r="BN211" s="3"/>
      <c r="BO211" s="3"/>
      <c r="BP211" s="3"/>
      <c r="BQ211" s="3"/>
      <c r="BR211" s="3"/>
      <c r="BS211" s="132"/>
      <c r="BU211" s="40"/>
      <c r="BV211" s="3"/>
      <c r="BW211" s="26"/>
      <c r="BX211" s="26"/>
      <c r="BY211" s="26"/>
      <c r="BZ211" s="58"/>
    </row>
    <row r="212" spans="1:80" x14ac:dyDescent="0.35">
      <c r="A212" s="97"/>
      <c r="B212" s="97"/>
      <c r="C212" s="97"/>
      <c r="D212" s="97"/>
      <c r="E212" s="121"/>
      <c r="F212" s="97"/>
      <c r="G212" s="97"/>
      <c r="H212" s="97"/>
      <c r="I212" s="122" t="s">
        <v>29</v>
      </c>
      <c r="J212" s="122">
        <v>0.25</v>
      </c>
      <c r="K212" s="120" t="s">
        <v>30</v>
      </c>
      <c r="L212" s="122">
        <v>0.5</v>
      </c>
      <c r="M212" s="120" t="s">
        <v>30</v>
      </c>
      <c r="N212" s="122">
        <v>0.5</v>
      </c>
      <c r="O212" s="128">
        <f>1-EXP(-P212*$E$2)</f>
        <v>0.21975975396746006</v>
      </c>
      <c r="P212" s="126">
        <f>BZ199</f>
        <v>7.444601969673549</v>
      </c>
      <c r="Q212" s="97"/>
      <c r="R212" s="97"/>
      <c r="S212" s="24" t="s">
        <v>16</v>
      </c>
      <c r="T212" s="139" t="s">
        <v>42</v>
      </c>
      <c r="U212" s="3"/>
      <c r="V212" s="3"/>
      <c r="W212" s="3"/>
      <c r="X212" s="3"/>
      <c r="Y212" s="3"/>
      <c r="Z212" s="17" t="s">
        <v>43</v>
      </c>
      <c r="AA212" s="44">
        <v>2</v>
      </c>
      <c r="AC212" s="84">
        <f>INDEX(AE212:AG212,AA212)</f>
        <v>10.75</v>
      </c>
      <c r="AD212" s="7" t="s">
        <v>44</v>
      </c>
      <c r="AE212" s="85">
        <v>9.75</v>
      </c>
      <c r="AF212" s="86">
        <v>10.75</v>
      </c>
      <c r="AG212" s="87">
        <v>11.5</v>
      </c>
      <c r="AH212" s="58"/>
      <c r="AO212" s="24" t="s">
        <v>16</v>
      </c>
      <c r="AP212" s="16" t="s">
        <v>42</v>
      </c>
      <c r="AQ212" s="3"/>
      <c r="AR212" s="3"/>
      <c r="AS212" s="3"/>
      <c r="AT212" s="3"/>
      <c r="AU212" s="3"/>
      <c r="AV212" s="17" t="s">
        <v>43</v>
      </c>
      <c r="AW212" s="44">
        <v>2</v>
      </c>
      <c r="AY212" s="84">
        <f>INDEX(BA212:BC212,AW212)</f>
        <v>10.75</v>
      </c>
      <c r="AZ212" s="7" t="s">
        <v>44</v>
      </c>
      <c r="BA212" s="85">
        <v>9.75</v>
      </c>
      <c r="BB212" s="86">
        <v>10.75</v>
      </c>
      <c r="BC212" s="87">
        <v>11.5</v>
      </c>
      <c r="BD212" s="58"/>
      <c r="BK212" s="24" t="s">
        <v>16</v>
      </c>
      <c r="BL212" s="16" t="s">
        <v>42</v>
      </c>
      <c r="BM212" s="3"/>
      <c r="BN212" s="3"/>
      <c r="BO212" s="3"/>
      <c r="BP212" s="3"/>
      <c r="BQ212" s="3"/>
      <c r="BR212" s="17" t="s">
        <v>43</v>
      </c>
      <c r="BS212" s="44">
        <v>2</v>
      </c>
      <c r="BU212" s="84">
        <f>INDEX(BW212:BY212,BS212)</f>
        <v>10.75</v>
      </c>
      <c r="BV212" s="7" t="s">
        <v>44</v>
      </c>
      <c r="BW212" s="85">
        <v>9.75</v>
      </c>
      <c r="BX212" s="86">
        <v>10.75</v>
      </c>
      <c r="BY212" s="87">
        <v>11.5</v>
      </c>
      <c r="BZ212" s="58"/>
    </row>
    <row r="213" spans="1:80" x14ac:dyDescent="0.35">
      <c r="A213" s="97"/>
      <c r="B213" s="97"/>
      <c r="C213" s="97"/>
      <c r="D213" s="97"/>
      <c r="E213" s="121"/>
      <c r="F213" s="97"/>
      <c r="G213" s="97"/>
      <c r="H213" s="97"/>
      <c r="I213" s="97">
        <f>L202*K203+L212*K213+L222*K223</f>
        <v>0.21924295873741084</v>
      </c>
      <c r="J213" s="97"/>
      <c r="K213" s="117">
        <f>O209*N209+O212*N212+O215*N215</f>
        <v>0.20390880843855058</v>
      </c>
      <c r="L213" s="97"/>
      <c r="M213" s="117"/>
      <c r="N213" s="97"/>
      <c r="O213" s="128"/>
      <c r="P213" s="126"/>
      <c r="Q213" s="97"/>
      <c r="R213" s="97"/>
      <c r="S213" s="24" t="s">
        <v>16</v>
      </c>
      <c r="T213" s="16" t="s">
        <v>45</v>
      </c>
      <c r="V213" s="3"/>
      <c r="W213" s="3"/>
      <c r="X213" s="3"/>
      <c r="Y213" s="3"/>
      <c r="Z213" s="17" t="s">
        <v>43</v>
      </c>
      <c r="AA213" s="44">
        <v>2</v>
      </c>
      <c r="AB213" s="7"/>
      <c r="AC213" s="41">
        <f>INDEX(AE213:AG213,AA213)</f>
        <v>9.5</v>
      </c>
      <c r="AD213" s="7" t="s">
        <v>46</v>
      </c>
      <c r="AE213" s="85">
        <v>9.25</v>
      </c>
      <c r="AF213" s="86">
        <v>9.5</v>
      </c>
      <c r="AG213" s="87">
        <v>9.75</v>
      </c>
      <c r="AH213" s="58"/>
      <c r="AO213" s="24" t="s">
        <v>16</v>
      </c>
      <c r="AP213" s="16" t="s">
        <v>45</v>
      </c>
      <c r="AR213" s="3"/>
      <c r="AS213" s="3"/>
      <c r="AT213" s="3"/>
      <c r="AU213" s="3"/>
      <c r="AV213" s="17" t="s">
        <v>43</v>
      </c>
      <c r="AW213" s="44">
        <v>2</v>
      </c>
      <c r="AX213" s="7"/>
      <c r="AY213" s="41">
        <f>INDEX(BA213:BC213,AW213)</f>
        <v>9.5</v>
      </c>
      <c r="AZ213" s="7" t="s">
        <v>46</v>
      </c>
      <c r="BA213" s="85">
        <v>9.25</v>
      </c>
      <c r="BB213" s="86">
        <v>9.5</v>
      </c>
      <c r="BC213" s="87">
        <v>9.75</v>
      </c>
      <c r="BD213" s="58"/>
      <c r="BK213" s="24" t="s">
        <v>16</v>
      </c>
      <c r="BL213" s="16" t="s">
        <v>45</v>
      </c>
      <c r="BN213" s="3"/>
      <c r="BO213" s="3"/>
      <c r="BP213" s="3"/>
      <c r="BQ213" s="3"/>
      <c r="BR213" s="17" t="s">
        <v>43</v>
      </c>
      <c r="BS213" s="44">
        <v>2</v>
      </c>
      <c r="BT213" s="7"/>
      <c r="BU213" s="41">
        <f>INDEX(BW213:BY213,BS213)</f>
        <v>9.5</v>
      </c>
      <c r="BV213" s="7" t="s">
        <v>46</v>
      </c>
      <c r="BW213" s="85">
        <v>9.25</v>
      </c>
      <c r="BX213" s="86">
        <v>9.5</v>
      </c>
      <c r="BY213" s="87">
        <v>9.75</v>
      </c>
      <c r="BZ213" s="58"/>
    </row>
    <row r="214" spans="1:80" x14ac:dyDescent="0.35">
      <c r="A214" s="97"/>
      <c r="B214" s="97"/>
      <c r="C214" s="97"/>
      <c r="D214" s="97"/>
      <c r="E214" s="121"/>
      <c r="F214" s="97"/>
      <c r="G214" s="97"/>
      <c r="H214" s="97"/>
      <c r="I214" s="97"/>
      <c r="J214" s="97"/>
      <c r="K214" s="117"/>
      <c r="L214" s="97"/>
      <c r="M214" s="123"/>
      <c r="N214" s="97"/>
      <c r="O214" s="128"/>
      <c r="P214" s="126"/>
      <c r="Q214" s="97"/>
      <c r="R214" s="97"/>
      <c r="S214" s="24"/>
      <c r="T214" s="16" t="s">
        <v>47</v>
      </c>
      <c r="V214" s="3"/>
      <c r="W214" s="3"/>
      <c r="X214" s="3"/>
      <c r="Y214" s="3"/>
      <c r="Z214" s="17" t="s">
        <v>48</v>
      </c>
      <c r="AA214" s="44">
        <v>2</v>
      </c>
      <c r="AB214" s="7"/>
      <c r="AC214" s="84">
        <f>INDEX(AE214:AG214,AA214)</f>
        <v>14.5</v>
      </c>
      <c r="AD214" s="7" t="s">
        <v>49</v>
      </c>
      <c r="AE214" s="88">
        <v>13</v>
      </c>
      <c r="AF214" s="89">
        <v>14.5</v>
      </c>
      <c r="AG214" s="90">
        <v>17</v>
      </c>
      <c r="AH214" s="58"/>
      <c r="AO214" s="24"/>
      <c r="AP214" s="16" t="s">
        <v>47</v>
      </c>
      <c r="AR214" s="3"/>
      <c r="AS214" s="3"/>
      <c r="AT214" s="3"/>
      <c r="AU214" s="3"/>
      <c r="AV214" s="17" t="s">
        <v>48</v>
      </c>
      <c r="AW214" s="44">
        <v>2</v>
      </c>
      <c r="AX214" s="7"/>
      <c r="AY214" s="84">
        <f>INDEX(BA214:BC214,AW214)</f>
        <v>14.5</v>
      </c>
      <c r="AZ214" s="7" t="s">
        <v>49</v>
      </c>
      <c r="BA214" s="88">
        <v>13</v>
      </c>
      <c r="BB214" s="89">
        <v>14.5</v>
      </c>
      <c r="BC214" s="90">
        <v>17</v>
      </c>
      <c r="BD214" s="58"/>
      <c r="BK214" s="24"/>
      <c r="BL214" s="16" t="s">
        <v>47</v>
      </c>
      <c r="BN214" s="3"/>
      <c r="BO214" s="3"/>
      <c r="BP214" s="3"/>
      <c r="BQ214" s="3"/>
      <c r="BR214" s="17" t="s">
        <v>48</v>
      </c>
      <c r="BS214" s="44">
        <v>2</v>
      </c>
      <c r="BT214" s="7"/>
      <c r="BU214" s="84">
        <f>INDEX(BW214:BY214,BS214)</f>
        <v>14.5</v>
      </c>
      <c r="BV214" s="7" t="s">
        <v>49</v>
      </c>
      <c r="BW214" s="88">
        <v>13</v>
      </c>
      <c r="BX214" s="89">
        <v>14.5</v>
      </c>
      <c r="BY214" s="90">
        <v>17</v>
      </c>
      <c r="BZ214" s="58"/>
    </row>
    <row r="215" spans="1:80" x14ac:dyDescent="0.35">
      <c r="A215" s="97"/>
      <c r="B215" s="97"/>
      <c r="C215" s="97"/>
      <c r="D215" s="97"/>
      <c r="E215" s="121"/>
      <c r="F215" s="97"/>
      <c r="G215" s="97"/>
      <c r="H215" s="97"/>
      <c r="I215" s="97"/>
      <c r="J215" s="97"/>
      <c r="K215" s="117"/>
      <c r="L215" s="97"/>
      <c r="M215" s="122" t="s">
        <v>29</v>
      </c>
      <c r="N215" s="122">
        <v>0.25</v>
      </c>
      <c r="O215" s="128">
        <f>1-EXP(-P215*$E$2)</f>
        <v>4.841920237531061E-2</v>
      </c>
      <c r="P215" s="126">
        <f>BZ198</f>
        <v>1.4889203939347093</v>
      </c>
      <c r="Q215" s="97"/>
      <c r="R215" s="97"/>
      <c r="T215" s="16"/>
      <c r="AA215" s="66"/>
      <c r="AH215" s="58"/>
      <c r="AP215" s="16"/>
      <c r="AW215" s="66"/>
      <c r="BD215" s="58"/>
      <c r="BL215" s="16"/>
      <c r="BS215" s="66"/>
      <c r="BZ215" s="58"/>
    </row>
    <row r="216" spans="1:80" x14ac:dyDescent="0.35">
      <c r="A216" s="97"/>
      <c r="B216" s="97"/>
      <c r="C216" s="97"/>
      <c r="D216" s="97"/>
      <c r="E216" s="121"/>
      <c r="F216" s="97"/>
      <c r="G216" s="97"/>
      <c r="H216" s="97"/>
      <c r="I216" s="97"/>
      <c r="J216" s="97"/>
      <c r="K216" s="117"/>
      <c r="L216" s="97"/>
      <c r="M216" s="97"/>
      <c r="N216" s="97"/>
      <c r="O216" s="128"/>
      <c r="P216" s="126"/>
      <c r="Q216" s="97"/>
      <c r="R216" s="97"/>
      <c r="S216" s="24" t="s">
        <v>16</v>
      </c>
      <c r="T216" s="22"/>
      <c r="U216" s="3"/>
      <c r="V216" s="3"/>
      <c r="W216" s="3"/>
      <c r="X216" s="3"/>
      <c r="Y216" s="3"/>
      <c r="AA216" s="66"/>
      <c r="AH216" s="58"/>
      <c r="AO216" s="24" t="s">
        <v>16</v>
      </c>
      <c r="AP216" s="22"/>
      <c r="AQ216" s="3"/>
      <c r="AR216" s="3"/>
      <c r="AS216" s="3"/>
      <c r="AT216" s="3"/>
      <c r="AU216" s="3"/>
      <c r="AW216" s="66"/>
      <c r="BD216" s="58"/>
      <c r="BK216" s="24" t="s">
        <v>16</v>
      </c>
      <c r="BL216" s="22"/>
      <c r="BM216" s="3"/>
      <c r="BN216" s="3"/>
      <c r="BO216" s="3"/>
      <c r="BP216" s="3"/>
      <c r="BQ216" s="3"/>
      <c r="BS216" s="66"/>
      <c r="BZ216" s="58"/>
    </row>
    <row r="217" spans="1:80" x14ac:dyDescent="0.35">
      <c r="A217" s="97"/>
      <c r="B217" s="97"/>
      <c r="C217" s="97"/>
      <c r="D217" s="97"/>
      <c r="E217" s="121"/>
      <c r="F217" s="97"/>
      <c r="G217" s="97"/>
      <c r="H217" s="97"/>
      <c r="I217" s="97"/>
      <c r="J217" s="97"/>
      <c r="K217" s="117"/>
      <c r="L217" s="97"/>
      <c r="M217" s="155" t="s">
        <v>42</v>
      </c>
      <c r="N217" s="155"/>
      <c r="O217" s="128"/>
      <c r="P217" s="126"/>
      <c r="Q217" s="97"/>
      <c r="R217" s="97"/>
      <c r="S217" s="46" t="s">
        <v>16</v>
      </c>
      <c r="T217" s="43"/>
      <c r="U217" s="95"/>
      <c r="V217" s="3"/>
      <c r="W217" s="3"/>
      <c r="X217" s="3"/>
      <c r="Y217" s="3"/>
      <c r="Z217" s="17"/>
      <c r="AA217" s="65"/>
      <c r="AB217" s="7"/>
      <c r="AC217" s="42"/>
      <c r="AD217" s="7"/>
      <c r="AE217" s="42"/>
      <c r="AF217" s="42"/>
      <c r="AG217" s="42"/>
      <c r="AH217" s="58"/>
      <c r="AM217" s="95"/>
      <c r="AN217" s="95"/>
      <c r="AO217" s="46" t="s">
        <v>16</v>
      </c>
      <c r="AP217" s="43"/>
      <c r="AQ217" s="95"/>
      <c r="AR217" s="3"/>
      <c r="AS217" s="3"/>
      <c r="AT217" s="3"/>
      <c r="AU217" s="3"/>
      <c r="AV217" s="17"/>
      <c r="AW217" s="65"/>
      <c r="AX217" s="7"/>
      <c r="AY217" s="42"/>
      <c r="AZ217" s="7"/>
      <c r="BA217" s="42"/>
      <c r="BB217" s="42"/>
      <c r="BC217" s="42"/>
      <c r="BD217" s="58"/>
      <c r="BH217" s="95"/>
      <c r="BI217" s="95"/>
      <c r="BJ217" s="95"/>
      <c r="BK217" s="46" t="s">
        <v>16</v>
      </c>
      <c r="BL217" s="43"/>
      <c r="BM217" s="95"/>
      <c r="BN217" s="3"/>
      <c r="BO217" s="3"/>
      <c r="BP217" s="3"/>
      <c r="BQ217" s="3"/>
      <c r="BR217" s="17"/>
      <c r="BS217" s="65"/>
      <c r="BT217" s="7"/>
      <c r="BU217" s="42"/>
      <c r="BV217" s="7"/>
      <c r="BW217" s="42"/>
      <c r="BX217" s="42"/>
      <c r="BY217" s="42"/>
      <c r="BZ217" s="58"/>
      <c r="CB217" s="95"/>
    </row>
    <row r="218" spans="1:80" x14ac:dyDescent="0.35">
      <c r="A218" s="97"/>
      <c r="B218" s="97"/>
      <c r="C218" s="97"/>
      <c r="D218" s="97"/>
      <c r="E218" s="121"/>
      <c r="F218" s="97"/>
      <c r="G218" s="97"/>
      <c r="H218" s="97"/>
      <c r="I218" s="97"/>
      <c r="J218" s="97"/>
      <c r="K218" s="117"/>
      <c r="L218" s="97"/>
      <c r="M218" s="97"/>
      <c r="N218" s="97"/>
      <c r="O218" s="128"/>
      <c r="P218" s="126"/>
      <c r="Q218" s="97"/>
      <c r="R218" s="97"/>
      <c r="S218" s="2"/>
      <c r="T218" s="29"/>
      <c r="U218" s="19"/>
      <c r="V218" s="19"/>
      <c r="W218" s="19"/>
      <c r="X218" s="19"/>
      <c r="Y218" s="19"/>
      <c r="Z218" s="20"/>
      <c r="AA218" s="20"/>
      <c r="AB218" s="9"/>
      <c r="AC218" s="30"/>
      <c r="AD218" s="61"/>
      <c r="AE218" s="30"/>
      <c r="AF218" s="30"/>
      <c r="AG218" s="30"/>
      <c r="AH218" s="59"/>
      <c r="AJ218" s="42"/>
      <c r="AO218" s="2"/>
      <c r="AP218" s="29"/>
      <c r="AQ218" s="19"/>
      <c r="AR218" s="19"/>
      <c r="AS218" s="19"/>
      <c r="AT218" s="19"/>
      <c r="AU218" s="19"/>
      <c r="AV218" s="20"/>
      <c r="AW218" s="20"/>
      <c r="AX218" s="9"/>
      <c r="AY218" s="30"/>
      <c r="AZ218" s="61"/>
      <c r="BA218" s="30"/>
      <c r="BB218" s="30"/>
      <c r="BC218" s="30"/>
      <c r="BD218" s="59"/>
      <c r="BF218" s="42"/>
      <c r="BK218" s="2"/>
      <c r="BL218" s="29"/>
      <c r="BM218" s="19"/>
      <c r="BN218" s="19"/>
      <c r="BO218" s="19"/>
      <c r="BP218" s="19"/>
      <c r="BQ218" s="19"/>
      <c r="BR218" s="20"/>
      <c r="BS218" s="20"/>
      <c r="BT218" s="9"/>
      <c r="BU218" s="30"/>
      <c r="BV218" s="61"/>
      <c r="BW218" s="30"/>
      <c r="BX218" s="30"/>
      <c r="BY218" s="30"/>
      <c r="BZ218" s="59"/>
    </row>
    <row r="219" spans="1:80" ht="13.15" thickBot="1" x14ac:dyDescent="0.4">
      <c r="A219" s="97"/>
      <c r="B219" s="97"/>
      <c r="C219" s="97"/>
      <c r="D219" s="97"/>
      <c r="E219" s="121"/>
      <c r="F219" s="97"/>
      <c r="G219" s="97"/>
      <c r="H219" s="97"/>
      <c r="I219" s="97"/>
      <c r="J219" s="97"/>
      <c r="K219" s="117"/>
      <c r="L219" s="97"/>
      <c r="M219" s="120" t="s">
        <v>31</v>
      </c>
      <c r="N219" s="122">
        <v>0.25</v>
      </c>
      <c r="O219" s="128">
        <f>1-EXP(-P219*$E$2)</f>
        <v>0.1468485311680664</v>
      </c>
      <c r="P219" s="126">
        <f>BY200</f>
        <v>4.7645452605910714</v>
      </c>
      <c r="Q219" s="97"/>
      <c r="R219" s="97"/>
    </row>
    <row r="220" spans="1:80" ht="15.4" x14ac:dyDescent="0.45">
      <c r="A220" s="97"/>
      <c r="B220" s="97"/>
      <c r="C220" s="97"/>
      <c r="D220" s="97"/>
      <c r="E220" s="121"/>
      <c r="F220" s="97"/>
      <c r="G220" s="97"/>
      <c r="H220" s="97"/>
      <c r="I220" s="97"/>
      <c r="J220" s="97"/>
      <c r="K220" s="117"/>
      <c r="L220" s="97"/>
      <c r="M220" s="117"/>
      <c r="N220" s="97"/>
      <c r="O220" s="128"/>
      <c r="P220" s="126"/>
      <c r="Q220" s="97"/>
      <c r="R220" s="97"/>
      <c r="S220" s="53" t="s">
        <v>50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O220" s="53" t="s">
        <v>50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K220" s="53" t="s">
        <v>50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</row>
    <row r="221" spans="1:80" ht="15.4" x14ac:dyDescent="0.45">
      <c r="A221" s="97"/>
      <c r="B221" s="97"/>
      <c r="C221" s="97"/>
      <c r="D221" s="97"/>
      <c r="E221" s="121"/>
      <c r="F221" s="97"/>
      <c r="G221" s="97"/>
      <c r="H221" s="97"/>
      <c r="I221" s="97"/>
      <c r="J221" s="97"/>
      <c r="K221" s="123"/>
      <c r="L221" s="97"/>
      <c r="M221" s="117"/>
      <c r="N221" s="97"/>
      <c r="O221" s="128"/>
      <c r="P221" s="126"/>
      <c r="Q221" s="97"/>
      <c r="R221" s="97"/>
      <c r="S221" s="54"/>
      <c r="AO221" s="54"/>
      <c r="BK221" s="54"/>
    </row>
    <row r="222" spans="1:80" ht="15.4" x14ac:dyDescent="0.45">
      <c r="A222" s="97"/>
      <c r="B222" s="97"/>
      <c r="C222" s="97"/>
      <c r="D222" s="97"/>
      <c r="E222" s="121"/>
      <c r="F222" s="97"/>
      <c r="G222" s="97"/>
      <c r="H222" s="97"/>
      <c r="I222" s="97"/>
      <c r="J222" s="97"/>
      <c r="K222" s="122" t="s">
        <v>29</v>
      </c>
      <c r="L222" s="122">
        <v>0.25</v>
      </c>
      <c r="M222" s="120" t="s">
        <v>30</v>
      </c>
      <c r="N222" s="122">
        <v>0.5</v>
      </c>
      <c r="O222" s="128">
        <f>1-EXP(-P222*$E$2)</f>
        <v>9.4493985591959873E-2</v>
      </c>
      <c r="P222" s="126">
        <f>BY199</f>
        <v>2.9778407878694191</v>
      </c>
      <c r="Q222" s="97"/>
      <c r="R222" s="97"/>
      <c r="S222" s="54" t="str">
        <f>jm</f>
        <v>Joint Venture</v>
      </c>
      <c r="AO222" s="54" t="str">
        <f>nb</f>
        <v>Joint Venture</v>
      </c>
      <c r="BK222" s="54" t="str">
        <f>rrff</f>
        <v>Joint Venture</v>
      </c>
    </row>
    <row r="223" spans="1:80" x14ac:dyDescent="0.35">
      <c r="A223" s="97"/>
      <c r="B223" s="97"/>
      <c r="C223" s="97"/>
      <c r="D223" s="97"/>
      <c r="E223" s="121"/>
      <c r="F223" s="97"/>
      <c r="G223" s="97"/>
      <c r="H223" s="97"/>
      <c r="I223" s="97"/>
      <c r="J223" s="97"/>
      <c r="K223" s="97">
        <f>O219*N219+O222*N222+O225*N225</f>
        <v>8.8873253870024926E-2</v>
      </c>
      <c r="L223" s="97"/>
      <c r="M223" s="117"/>
      <c r="N223" s="97"/>
      <c r="O223" s="128"/>
      <c r="P223" s="126"/>
      <c r="Q223" s="97"/>
      <c r="R223" s="97"/>
      <c r="S223" s="13"/>
      <c r="AO223" s="13"/>
      <c r="BK223" s="13"/>
    </row>
    <row r="224" spans="1:80" ht="15" x14ac:dyDescent="0.4">
      <c r="A224" s="97"/>
      <c r="B224" s="97"/>
      <c r="C224" s="97"/>
      <c r="D224" s="97"/>
      <c r="E224" s="121"/>
      <c r="F224" s="97"/>
      <c r="G224" s="97"/>
      <c r="H224" s="97"/>
      <c r="I224" s="97"/>
      <c r="J224" s="97"/>
      <c r="K224" s="97"/>
      <c r="L224" s="97"/>
      <c r="M224" s="123"/>
      <c r="N224" s="97"/>
      <c r="O224" s="128"/>
      <c r="P224" s="126"/>
      <c r="Q224" s="97"/>
      <c r="R224" s="97"/>
      <c r="S224" s="51" t="s">
        <v>51</v>
      </c>
      <c r="T224" s="48"/>
      <c r="U224" s="48"/>
      <c r="Y224" s="7"/>
      <c r="Z224" s="52">
        <v>2026</v>
      </c>
      <c r="AA224" s="52">
        <f t="shared" ref="AA224:AI224" si="62">Z224+1</f>
        <v>2027</v>
      </c>
      <c r="AB224" s="52">
        <f t="shared" si="62"/>
        <v>2028</v>
      </c>
      <c r="AC224" s="52">
        <f t="shared" si="62"/>
        <v>2029</v>
      </c>
      <c r="AD224" s="52">
        <f t="shared" si="62"/>
        <v>2030</v>
      </c>
      <c r="AE224" s="52">
        <f t="shared" si="62"/>
        <v>2031</v>
      </c>
      <c r="AF224" s="52">
        <f t="shared" si="62"/>
        <v>2032</v>
      </c>
      <c r="AG224" s="52">
        <f t="shared" si="62"/>
        <v>2033</v>
      </c>
      <c r="AH224" s="52">
        <f t="shared" si="62"/>
        <v>2034</v>
      </c>
      <c r="AI224" s="52">
        <f t="shared" si="62"/>
        <v>2035</v>
      </c>
      <c r="AO224" s="51" t="s">
        <v>51</v>
      </c>
      <c r="AP224" s="48"/>
      <c r="AQ224" s="48"/>
      <c r="AU224" s="7"/>
      <c r="AV224" s="52">
        <v>2026</v>
      </c>
      <c r="AW224" s="52">
        <f t="shared" ref="AW224:BE224" si="63">AV224+1</f>
        <v>2027</v>
      </c>
      <c r="AX224" s="52">
        <f t="shared" si="63"/>
        <v>2028</v>
      </c>
      <c r="AY224" s="52">
        <f t="shared" si="63"/>
        <v>2029</v>
      </c>
      <c r="AZ224" s="52">
        <f t="shared" si="63"/>
        <v>2030</v>
      </c>
      <c r="BA224" s="52">
        <f t="shared" si="63"/>
        <v>2031</v>
      </c>
      <c r="BB224" s="52">
        <f t="shared" si="63"/>
        <v>2032</v>
      </c>
      <c r="BC224" s="52">
        <f t="shared" si="63"/>
        <v>2033</v>
      </c>
      <c r="BD224" s="52">
        <f t="shared" si="63"/>
        <v>2034</v>
      </c>
      <c r="BE224" s="52">
        <f t="shared" si="63"/>
        <v>2035</v>
      </c>
      <c r="BK224" s="51" t="s">
        <v>51</v>
      </c>
      <c r="BL224" s="48"/>
      <c r="BM224" s="48"/>
      <c r="BQ224" s="7"/>
      <c r="BR224" s="52">
        <v>2026</v>
      </c>
      <c r="BS224" s="52">
        <f t="shared" ref="BS224:CA224" si="64">BR224+1</f>
        <v>2027</v>
      </c>
      <c r="BT224" s="52">
        <f t="shared" si="64"/>
        <v>2028</v>
      </c>
      <c r="BU224" s="52">
        <f t="shared" si="64"/>
        <v>2029</v>
      </c>
      <c r="BV224" s="52">
        <f t="shared" si="64"/>
        <v>2030</v>
      </c>
      <c r="BW224" s="52">
        <f t="shared" si="64"/>
        <v>2031</v>
      </c>
      <c r="BX224" s="52">
        <f t="shared" si="64"/>
        <v>2032</v>
      </c>
      <c r="BY224" s="52">
        <f t="shared" si="64"/>
        <v>2033</v>
      </c>
      <c r="BZ224" s="52">
        <f t="shared" si="64"/>
        <v>2034</v>
      </c>
      <c r="CA224" s="52">
        <f t="shared" si="64"/>
        <v>2035</v>
      </c>
    </row>
    <row r="225" spans="1:80" ht="15" x14ac:dyDescent="0.4">
      <c r="A225" s="97"/>
      <c r="B225" s="97"/>
      <c r="C225" s="97"/>
      <c r="D225" s="97"/>
      <c r="E225" s="121"/>
      <c r="F225" s="97"/>
      <c r="G225" s="97"/>
      <c r="H225" s="97"/>
      <c r="I225" s="97"/>
      <c r="J225" s="97"/>
      <c r="K225" s="97"/>
      <c r="L225" s="97"/>
      <c r="M225" s="122" t="s">
        <v>29</v>
      </c>
      <c r="N225" s="122">
        <v>0.25</v>
      </c>
      <c r="O225" s="128">
        <f>1-EXP(-P225*$E$2)</f>
        <v>1.9656513128113562E-2</v>
      </c>
      <c r="P225" s="126">
        <f>BY198</f>
        <v>0.59556815757388404</v>
      </c>
      <c r="Q225" s="97"/>
      <c r="R225" s="97"/>
      <c r="S225" s="51" t="s">
        <v>52</v>
      </c>
      <c r="T225" s="48"/>
      <c r="U225" s="48"/>
      <c r="Y225" s="7"/>
      <c r="Z225" s="52">
        <f t="shared" ref="Z225:AI225" si="65">Z224-$Z$224</f>
        <v>0</v>
      </c>
      <c r="AA225" s="52">
        <f t="shared" si="65"/>
        <v>1</v>
      </c>
      <c r="AB225" s="52">
        <f t="shared" si="65"/>
        <v>2</v>
      </c>
      <c r="AC225" s="52">
        <f t="shared" si="65"/>
        <v>3</v>
      </c>
      <c r="AD225" s="52">
        <f t="shared" si="65"/>
        <v>4</v>
      </c>
      <c r="AE225" s="52">
        <f t="shared" si="65"/>
        <v>5</v>
      </c>
      <c r="AF225" s="52">
        <f t="shared" si="65"/>
        <v>6</v>
      </c>
      <c r="AG225" s="52">
        <f t="shared" si="65"/>
        <v>7</v>
      </c>
      <c r="AH225" s="52">
        <f t="shared" si="65"/>
        <v>8</v>
      </c>
      <c r="AI225" s="52">
        <f t="shared" si="65"/>
        <v>9</v>
      </c>
      <c r="AO225" s="51" t="s">
        <v>52</v>
      </c>
      <c r="AP225" s="48"/>
      <c r="AQ225" s="48"/>
      <c r="AU225" s="7"/>
      <c r="AV225" s="52">
        <f t="shared" ref="AV225:BE225" si="66">AV224-$AV$224</f>
        <v>0</v>
      </c>
      <c r="AW225" s="52">
        <f t="shared" si="66"/>
        <v>1</v>
      </c>
      <c r="AX225" s="52">
        <f t="shared" si="66"/>
        <v>2</v>
      </c>
      <c r="AY225" s="52">
        <f t="shared" si="66"/>
        <v>3</v>
      </c>
      <c r="AZ225" s="52">
        <f t="shared" si="66"/>
        <v>4</v>
      </c>
      <c r="BA225" s="52">
        <f t="shared" si="66"/>
        <v>5</v>
      </c>
      <c r="BB225" s="52">
        <f t="shared" si="66"/>
        <v>6</v>
      </c>
      <c r="BC225" s="52">
        <f t="shared" si="66"/>
        <v>7</v>
      </c>
      <c r="BD225" s="52">
        <f t="shared" si="66"/>
        <v>8</v>
      </c>
      <c r="BE225" s="52">
        <f t="shared" si="66"/>
        <v>9</v>
      </c>
      <c r="BK225" s="51" t="s">
        <v>52</v>
      </c>
      <c r="BL225" s="48"/>
      <c r="BM225" s="48"/>
      <c r="BQ225" s="7"/>
      <c r="BR225" s="52">
        <f t="shared" ref="BR225:CA225" si="67">BR224-$BR$224</f>
        <v>0</v>
      </c>
      <c r="BS225" s="52">
        <f t="shared" si="67"/>
        <v>1</v>
      </c>
      <c r="BT225" s="52">
        <f t="shared" si="67"/>
        <v>2</v>
      </c>
      <c r="BU225" s="52">
        <f t="shared" si="67"/>
        <v>3</v>
      </c>
      <c r="BV225" s="52">
        <f t="shared" si="67"/>
        <v>4</v>
      </c>
      <c r="BW225" s="52">
        <f t="shared" si="67"/>
        <v>5</v>
      </c>
      <c r="BX225" s="52">
        <f t="shared" si="67"/>
        <v>6</v>
      </c>
      <c r="BY225" s="52">
        <f t="shared" si="67"/>
        <v>7</v>
      </c>
      <c r="BZ225" s="52">
        <f t="shared" si="67"/>
        <v>8</v>
      </c>
      <c r="CA225" s="52">
        <f t="shared" si="67"/>
        <v>9</v>
      </c>
    </row>
    <row r="226" spans="1:80" ht="15.4" x14ac:dyDescent="0.45">
      <c r="A226" s="97"/>
      <c r="B226" s="97"/>
      <c r="C226" s="97"/>
      <c r="D226" s="97"/>
      <c r="E226" s="121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49"/>
      <c r="T226" s="48"/>
      <c r="U226" s="48"/>
      <c r="Y226" s="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8"/>
      <c r="AK226" s="68"/>
      <c r="AL226" s="68"/>
      <c r="AM226" s="68"/>
      <c r="AN226" s="68"/>
      <c r="AO226" s="49"/>
      <c r="AP226" s="48"/>
      <c r="AQ226" s="48"/>
      <c r="AU226" s="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8"/>
      <c r="BG226" s="68"/>
      <c r="BK226" s="49"/>
      <c r="BL226" s="48"/>
      <c r="BM226" s="48"/>
      <c r="BQ226" s="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</row>
    <row r="227" spans="1:80" ht="15.4" x14ac:dyDescent="0.45">
      <c r="A227" s="97"/>
      <c r="B227" s="97"/>
      <c r="C227" s="97"/>
      <c r="D227" s="97"/>
      <c r="E227" s="121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49" t="s">
        <v>53</v>
      </c>
      <c r="T227" s="50"/>
      <c r="U227" s="50"/>
      <c r="V227" s="3"/>
      <c r="W227" s="3"/>
      <c r="X227" s="3"/>
      <c r="Y227" s="3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8"/>
      <c r="AK227" s="68"/>
      <c r="AL227" s="68"/>
      <c r="AM227" s="68"/>
      <c r="AN227" s="68"/>
      <c r="AO227" s="49" t="s">
        <v>53</v>
      </c>
      <c r="AP227" s="50"/>
      <c r="AQ227" s="50"/>
      <c r="AR227" s="3"/>
      <c r="AS227" s="3"/>
      <c r="AT227" s="3"/>
      <c r="AU227" s="3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8"/>
      <c r="BG227" s="68"/>
      <c r="BK227" s="49" t="s">
        <v>53</v>
      </c>
      <c r="BL227" s="50"/>
      <c r="BM227" s="50"/>
      <c r="BN227" s="3"/>
      <c r="BO227" s="3"/>
      <c r="BP227" s="3"/>
      <c r="BQ227" s="3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3"/>
    </row>
    <row r="228" spans="1:80" ht="15" x14ac:dyDescent="0.4">
      <c r="A228" s="97"/>
      <c r="B228" s="97"/>
      <c r="C228" s="97"/>
      <c r="D228" s="97"/>
      <c r="E228" s="121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48"/>
      <c r="T228" s="48" t="s">
        <v>54</v>
      </c>
      <c r="U228" s="48"/>
      <c r="Y228" s="11" t="s">
        <v>55</v>
      </c>
      <c r="Z228" s="70">
        <f>IF(nnb&lt;3,ssdd,0)</f>
        <v>0</v>
      </c>
      <c r="AA228" s="70">
        <f t="shared" ref="AA228:AI228" si="68">Z228*(1+$AC$210)</f>
        <v>0</v>
      </c>
      <c r="AB228" s="70">
        <f t="shared" si="68"/>
        <v>0</v>
      </c>
      <c r="AC228" s="70">
        <f t="shared" si="68"/>
        <v>0</v>
      </c>
      <c r="AD228" s="70">
        <f t="shared" si="68"/>
        <v>0</v>
      </c>
      <c r="AE228" s="70">
        <f t="shared" si="68"/>
        <v>0</v>
      </c>
      <c r="AF228" s="70">
        <f t="shared" si="68"/>
        <v>0</v>
      </c>
      <c r="AG228" s="70">
        <f t="shared" si="68"/>
        <v>0</v>
      </c>
      <c r="AH228" s="70">
        <f t="shared" si="68"/>
        <v>0</v>
      </c>
      <c r="AI228" s="70">
        <f t="shared" si="68"/>
        <v>0</v>
      </c>
      <c r="AJ228" s="68"/>
      <c r="AK228" s="68"/>
      <c r="AL228" s="68"/>
      <c r="AM228" s="68"/>
      <c r="AN228" s="68"/>
      <c r="AO228" s="48"/>
      <c r="AP228" s="48" t="s">
        <v>54</v>
      </c>
      <c r="AQ228" s="48"/>
      <c r="AU228" s="11" t="s">
        <v>55</v>
      </c>
      <c r="AV228" s="70">
        <f>IF(vvg&lt;3,ggghhh,0)</f>
        <v>0</v>
      </c>
      <c r="AW228" s="70">
        <f t="shared" ref="AW228:BE228" si="69">AV228*(1+$AY$210)</f>
        <v>0</v>
      </c>
      <c r="AX228" s="70">
        <f t="shared" si="69"/>
        <v>0</v>
      </c>
      <c r="AY228" s="70">
        <f t="shared" si="69"/>
        <v>0</v>
      </c>
      <c r="AZ228" s="70">
        <f t="shared" si="69"/>
        <v>0</v>
      </c>
      <c r="BA228" s="70">
        <f t="shared" si="69"/>
        <v>0</v>
      </c>
      <c r="BB228" s="70">
        <f t="shared" si="69"/>
        <v>0</v>
      </c>
      <c r="BC228" s="70">
        <f t="shared" si="69"/>
        <v>0</v>
      </c>
      <c r="BD228" s="70">
        <f t="shared" si="69"/>
        <v>0</v>
      </c>
      <c r="BE228" s="70">
        <f t="shared" si="69"/>
        <v>0</v>
      </c>
      <c r="BF228" s="68"/>
      <c r="BG228" s="68"/>
      <c r="BK228" s="48"/>
      <c r="BL228" s="48" t="s">
        <v>54</v>
      </c>
      <c r="BM228" s="48"/>
      <c r="BQ228" s="11" t="s">
        <v>55</v>
      </c>
      <c r="BR228" s="70">
        <f>IF(dsav&lt;3,cccvvv,0)</f>
        <v>0</v>
      </c>
      <c r="BS228" s="70">
        <f t="shared" ref="BS228:CA228" si="70">BR228*(1+$BU$210)</f>
        <v>0</v>
      </c>
      <c r="BT228" s="70">
        <f t="shared" si="70"/>
        <v>0</v>
      </c>
      <c r="BU228" s="70">
        <f t="shared" si="70"/>
        <v>0</v>
      </c>
      <c r="BV228" s="70">
        <f t="shared" si="70"/>
        <v>0</v>
      </c>
      <c r="BW228" s="70">
        <f t="shared" si="70"/>
        <v>0</v>
      </c>
      <c r="BX228" s="70">
        <f t="shared" si="70"/>
        <v>0</v>
      </c>
      <c r="BY228" s="70">
        <f t="shared" si="70"/>
        <v>0</v>
      </c>
      <c r="BZ228" s="70">
        <f t="shared" si="70"/>
        <v>0</v>
      </c>
      <c r="CA228" s="70">
        <f t="shared" si="70"/>
        <v>0</v>
      </c>
    </row>
    <row r="229" spans="1:80" ht="15" x14ac:dyDescent="0.4">
      <c r="A229" s="97"/>
      <c r="B229" s="97"/>
      <c r="C229" s="97"/>
      <c r="D229" s="97"/>
      <c r="E229" s="121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48"/>
      <c r="T229" s="48" t="s">
        <v>56</v>
      </c>
      <c r="U229" s="48"/>
      <c r="Y229" s="11" t="s">
        <v>55</v>
      </c>
      <c r="Z229" s="70">
        <f>IF(nnb&gt;2,ssdd*AC209,0)</f>
        <v>4</v>
      </c>
      <c r="AA229" s="70">
        <f t="shared" ref="AA229:AI229" si="71">Z229*(1+$AC$210)</f>
        <v>4.3600000000000003</v>
      </c>
      <c r="AB229" s="70">
        <f t="shared" si="71"/>
        <v>4.7524000000000006</v>
      </c>
      <c r="AC229" s="70">
        <f t="shared" si="71"/>
        <v>5.1801160000000008</v>
      </c>
      <c r="AD229" s="70">
        <f t="shared" si="71"/>
        <v>5.6463264400000011</v>
      </c>
      <c r="AE229" s="70">
        <f t="shared" si="71"/>
        <v>6.1544958196000019</v>
      </c>
      <c r="AF229" s="70">
        <f t="shared" si="71"/>
        <v>6.7084004433640025</v>
      </c>
      <c r="AG229" s="70">
        <f t="shared" si="71"/>
        <v>7.3121564832667634</v>
      </c>
      <c r="AH229" s="70">
        <f t="shared" si="71"/>
        <v>7.9702505667607726</v>
      </c>
      <c r="AI229" s="70">
        <f t="shared" si="71"/>
        <v>8.6875731177692419</v>
      </c>
      <c r="AJ229" s="68"/>
      <c r="AK229" s="68"/>
      <c r="AL229" s="68"/>
      <c r="AM229" s="68"/>
      <c r="AN229" s="68"/>
      <c r="AO229" s="48"/>
      <c r="AP229" s="48" t="s">
        <v>56</v>
      </c>
      <c r="AQ229" s="48"/>
      <c r="AU229" s="11" t="s">
        <v>55</v>
      </c>
      <c r="AV229" s="70">
        <f>IF(vvg&gt;2,ggghhh*AY209,0)</f>
        <v>4</v>
      </c>
      <c r="AW229" s="70">
        <f t="shared" ref="AW229:BE229" si="72">AV229*(1+$AY$210)</f>
        <v>4.28</v>
      </c>
      <c r="AX229" s="70">
        <f t="shared" si="72"/>
        <v>4.5796000000000001</v>
      </c>
      <c r="AY229" s="70">
        <f t="shared" si="72"/>
        <v>4.9001720000000004</v>
      </c>
      <c r="AZ229" s="70">
        <f t="shared" si="72"/>
        <v>5.2431840400000009</v>
      </c>
      <c r="BA229" s="70">
        <f t="shared" si="72"/>
        <v>5.6102069228000015</v>
      </c>
      <c r="BB229" s="70">
        <f t="shared" si="72"/>
        <v>6.002921407396002</v>
      </c>
      <c r="BC229" s="70">
        <f t="shared" si="72"/>
        <v>6.4231259059137225</v>
      </c>
      <c r="BD229" s="70">
        <f t="shared" si="72"/>
        <v>6.8727447193276836</v>
      </c>
      <c r="BE229" s="70">
        <f t="shared" si="72"/>
        <v>7.3538368496806221</v>
      </c>
      <c r="BF229" s="68"/>
      <c r="BG229" s="68"/>
      <c r="BK229" s="48"/>
      <c r="BL229" s="48" t="s">
        <v>56</v>
      </c>
      <c r="BM229" s="48"/>
      <c r="BQ229" s="11" t="s">
        <v>55</v>
      </c>
      <c r="BR229" s="70">
        <f>IF(dsav&gt;2,cccvvv*BU209,0)</f>
        <v>4</v>
      </c>
      <c r="BS229" s="70">
        <f t="shared" ref="BS229:CA229" si="73">BR229*(1+$BU$210)</f>
        <v>3.8</v>
      </c>
      <c r="BT229" s="70">
        <f t="shared" si="73"/>
        <v>3.61</v>
      </c>
      <c r="BU229" s="70">
        <f t="shared" si="73"/>
        <v>3.4294999999999995</v>
      </c>
      <c r="BV229" s="70">
        <f t="shared" si="73"/>
        <v>3.2580249999999995</v>
      </c>
      <c r="BW229" s="70">
        <f t="shared" si="73"/>
        <v>3.0951237499999995</v>
      </c>
      <c r="BX229" s="70">
        <f t="shared" si="73"/>
        <v>2.9403675624999992</v>
      </c>
      <c r="BY229" s="70">
        <f t="shared" si="73"/>
        <v>2.7933491843749989</v>
      </c>
      <c r="BZ229" s="70">
        <f t="shared" si="73"/>
        <v>2.653681725156249</v>
      </c>
      <c r="CA229" s="70">
        <f t="shared" si="73"/>
        <v>2.5209976388984363</v>
      </c>
    </row>
    <row r="230" spans="1:80" ht="15" x14ac:dyDescent="0.4">
      <c r="A230" s="97"/>
      <c r="B230" s="97"/>
      <c r="C230" s="97"/>
      <c r="D230" s="97"/>
      <c r="E230" s="121"/>
      <c r="F230" s="97"/>
      <c r="G230" s="97"/>
      <c r="H230" s="97"/>
      <c r="I230" s="97"/>
      <c r="J230" s="97"/>
      <c r="K230" s="97"/>
      <c r="L230" s="97"/>
      <c r="M230" s="127" t="s">
        <v>84</v>
      </c>
      <c r="N230" s="127" t="s">
        <v>88</v>
      </c>
      <c r="O230" s="97"/>
      <c r="P230" s="97"/>
      <c r="Q230" s="97"/>
      <c r="R230" s="97"/>
      <c r="S230" s="48"/>
      <c r="T230" s="48" t="s">
        <v>57</v>
      </c>
      <c r="U230" s="48"/>
      <c r="Y230" s="11" t="s">
        <v>55</v>
      </c>
      <c r="Z230" s="71">
        <f>IF(nnb=1,2.5,IF(OR(nnb=2,nnb=3),8.5,IF(nnb=4,0,"error")))</f>
        <v>8.5</v>
      </c>
      <c r="AA230" s="71">
        <f t="shared" ref="AA230:AI230" si="74">$Z$230</f>
        <v>8.5</v>
      </c>
      <c r="AB230" s="71">
        <f t="shared" si="74"/>
        <v>8.5</v>
      </c>
      <c r="AC230" s="71">
        <f t="shared" si="74"/>
        <v>8.5</v>
      </c>
      <c r="AD230" s="71">
        <f t="shared" si="74"/>
        <v>8.5</v>
      </c>
      <c r="AE230" s="71">
        <f t="shared" si="74"/>
        <v>8.5</v>
      </c>
      <c r="AF230" s="71">
        <f t="shared" si="74"/>
        <v>8.5</v>
      </c>
      <c r="AG230" s="71">
        <f t="shared" si="74"/>
        <v>8.5</v>
      </c>
      <c r="AH230" s="71">
        <f t="shared" si="74"/>
        <v>8.5</v>
      </c>
      <c r="AI230" s="71">
        <f t="shared" si="74"/>
        <v>8.5</v>
      </c>
      <c r="AJ230" s="68"/>
      <c r="AK230" s="68"/>
      <c r="AL230" s="68"/>
      <c r="AM230" s="68"/>
      <c r="AN230" s="68"/>
      <c r="AO230" s="48"/>
      <c r="AP230" s="48" t="s">
        <v>57</v>
      </c>
      <c r="AQ230" s="48"/>
      <c r="AU230" s="11" t="s">
        <v>55</v>
      </c>
      <c r="AV230" s="71">
        <f>IF(vvg=1,2.5,IF(OR(vvg=2,vvg=3),8.5,IF(vvg=4,0,"error")))</f>
        <v>8.5</v>
      </c>
      <c r="AW230" s="71">
        <f t="shared" ref="AW230:BE230" si="75">$AV$230</f>
        <v>8.5</v>
      </c>
      <c r="AX230" s="71">
        <f t="shared" si="75"/>
        <v>8.5</v>
      </c>
      <c r="AY230" s="71">
        <f t="shared" si="75"/>
        <v>8.5</v>
      </c>
      <c r="AZ230" s="71">
        <f t="shared" si="75"/>
        <v>8.5</v>
      </c>
      <c r="BA230" s="71">
        <f t="shared" si="75"/>
        <v>8.5</v>
      </c>
      <c r="BB230" s="71">
        <f t="shared" si="75"/>
        <v>8.5</v>
      </c>
      <c r="BC230" s="71">
        <f t="shared" si="75"/>
        <v>8.5</v>
      </c>
      <c r="BD230" s="71">
        <f t="shared" si="75"/>
        <v>8.5</v>
      </c>
      <c r="BE230" s="71">
        <f t="shared" si="75"/>
        <v>8.5</v>
      </c>
      <c r="BF230" s="68"/>
      <c r="BG230" s="68"/>
      <c r="BK230" s="48"/>
      <c r="BL230" s="48" t="s">
        <v>57</v>
      </c>
      <c r="BM230" s="48"/>
      <c r="BQ230" s="11" t="s">
        <v>55</v>
      </c>
      <c r="BR230" s="71">
        <f>IF(dsav=1,2.5,IF(OR(dsav=2,dsav=3),8.5,IF(dsav=4,0,"error")))</f>
        <v>8.5</v>
      </c>
      <c r="BS230" s="71">
        <f t="shared" ref="BS230:CA230" si="76">$BR$230</f>
        <v>8.5</v>
      </c>
      <c r="BT230" s="71">
        <f t="shared" si="76"/>
        <v>8.5</v>
      </c>
      <c r="BU230" s="71">
        <f t="shared" si="76"/>
        <v>8.5</v>
      </c>
      <c r="BV230" s="71">
        <f t="shared" si="76"/>
        <v>8.5</v>
      </c>
      <c r="BW230" s="71">
        <f t="shared" si="76"/>
        <v>8.5</v>
      </c>
      <c r="BX230" s="71">
        <f t="shared" si="76"/>
        <v>8.5</v>
      </c>
      <c r="BY230" s="71">
        <f t="shared" si="76"/>
        <v>8.5</v>
      </c>
      <c r="BZ230" s="71">
        <f t="shared" si="76"/>
        <v>8.5</v>
      </c>
      <c r="CA230" s="71">
        <f t="shared" si="76"/>
        <v>8.5</v>
      </c>
    </row>
    <row r="231" spans="1:80" ht="15" x14ac:dyDescent="0.4">
      <c r="A231" s="97"/>
      <c r="B231" s="97"/>
      <c r="C231" s="97"/>
      <c r="D231" s="97"/>
      <c r="E231" s="121"/>
      <c r="F231" s="97"/>
      <c r="G231" s="97"/>
      <c r="H231" s="97"/>
      <c r="I231" s="97"/>
      <c r="J231" s="97"/>
      <c r="K231" s="155" t="s">
        <v>33</v>
      </c>
      <c r="L231" s="155"/>
      <c r="M231" s="97"/>
      <c r="N231" s="97"/>
      <c r="O231" s="97"/>
      <c r="P231" s="97"/>
      <c r="Q231" s="97"/>
      <c r="R231" s="97"/>
      <c r="S231" s="48"/>
      <c r="T231" s="48" t="s">
        <v>53</v>
      </c>
      <c r="U231" s="48"/>
      <c r="Y231" s="11" t="s">
        <v>55</v>
      </c>
      <c r="Z231" s="70">
        <f t="shared" ref="Z231:AI231" si="77">MIN(IF(nnb&lt;=2,Z228,Z229),IF(nnb=4,Z229,Z230))</f>
        <v>4</v>
      </c>
      <c r="AA231" s="70">
        <f t="shared" si="77"/>
        <v>4.3600000000000003</v>
      </c>
      <c r="AB231" s="70">
        <f t="shared" si="77"/>
        <v>4.7524000000000006</v>
      </c>
      <c r="AC231" s="70">
        <f t="shared" si="77"/>
        <v>5.1801160000000008</v>
      </c>
      <c r="AD231" s="70">
        <f t="shared" si="77"/>
        <v>5.6463264400000011</v>
      </c>
      <c r="AE231" s="70">
        <f t="shared" si="77"/>
        <v>6.1544958196000019</v>
      </c>
      <c r="AF231" s="70">
        <f t="shared" si="77"/>
        <v>6.7084004433640025</v>
      </c>
      <c r="AG231" s="70">
        <f t="shared" si="77"/>
        <v>7.3121564832667634</v>
      </c>
      <c r="AH231" s="70">
        <f t="shared" si="77"/>
        <v>7.9702505667607726</v>
      </c>
      <c r="AI231" s="70">
        <f t="shared" si="77"/>
        <v>8.5</v>
      </c>
      <c r="AJ231" s="68"/>
      <c r="AK231" s="68"/>
      <c r="AL231" s="68"/>
      <c r="AM231" s="68"/>
      <c r="AN231" s="68"/>
      <c r="AO231" s="48"/>
      <c r="AP231" s="48" t="s">
        <v>53</v>
      </c>
      <c r="AQ231" s="48"/>
      <c r="AU231" s="11" t="s">
        <v>55</v>
      </c>
      <c r="AV231" s="70">
        <f t="shared" ref="AV231:BE231" si="78">MIN(IF(vvg&lt;=2,AV228,AV229),IF(vvg=4,AV229,AV230))</f>
        <v>4</v>
      </c>
      <c r="AW231" s="70">
        <f t="shared" si="78"/>
        <v>4.28</v>
      </c>
      <c r="AX231" s="70">
        <f t="shared" si="78"/>
        <v>4.5796000000000001</v>
      </c>
      <c r="AY231" s="70">
        <f t="shared" si="78"/>
        <v>4.9001720000000004</v>
      </c>
      <c r="AZ231" s="70">
        <f t="shared" si="78"/>
        <v>5.2431840400000009</v>
      </c>
      <c r="BA231" s="70">
        <f t="shared" si="78"/>
        <v>5.6102069228000015</v>
      </c>
      <c r="BB231" s="70">
        <f t="shared" si="78"/>
        <v>6.002921407396002</v>
      </c>
      <c r="BC231" s="70">
        <f t="shared" si="78"/>
        <v>6.4231259059137225</v>
      </c>
      <c r="BD231" s="70">
        <f t="shared" si="78"/>
        <v>6.8727447193276836</v>
      </c>
      <c r="BE231" s="70">
        <f t="shared" si="78"/>
        <v>7.3538368496806221</v>
      </c>
      <c r="BF231" s="68"/>
      <c r="BG231" s="68"/>
      <c r="BK231" s="48"/>
      <c r="BL231" s="48" t="s">
        <v>53</v>
      </c>
      <c r="BM231" s="48"/>
      <c r="BQ231" s="11" t="s">
        <v>55</v>
      </c>
      <c r="BR231" s="70">
        <f t="shared" ref="BR231:CA231" si="79">MIN(IF(dsav&lt;=2,BR228,BR229),IF(dsav=4,BR229,BR230))</f>
        <v>4</v>
      </c>
      <c r="BS231" s="70">
        <f t="shared" si="79"/>
        <v>3.8</v>
      </c>
      <c r="BT231" s="70">
        <f t="shared" si="79"/>
        <v>3.61</v>
      </c>
      <c r="BU231" s="70">
        <f t="shared" si="79"/>
        <v>3.4294999999999995</v>
      </c>
      <c r="BV231" s="70">
        <f t="shared" si="79"/>
        <v>3.2580249999999995</v>
      </c>
      <c r="BW231" s="70">
        <f t="shared" si="79"/>
        <v>3.0951237499999995</v>
      </c>
      <c r="BX231" s="70">
        <f t="shared" si="79"/>
        <v>2.9403675624999992</v>
      </c>
      <c r="BY231" s="70">
        <f t="shared" si="79"/>
        <v>2.7933491843749989</v>
      </c>
      <c r="BZ231" s="70">
        <f t="shared" si="79"/>
        <v>2.653681725156249</v>
      </c>
      <c r="CA231" s="70">
        <f t="shared" si="79"/>
        <v>2.5209976388984363</v>
      </c>
    </row>
    <row r="232" spans="1:80" ht="15" x14ac:dyDescent="0.4">
      <c r="A232" s="97"/>
      <c r="B232" s="97"/>
      <c r="C232" s="97"/>
      <c r="D232" s="97"/>
      <c r="E232" s="121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48"/>
      <c r="T232" s="48"/>
      <c r="U232" s="48"/>
      <c r="Y232" s="11"/>
      <c r="Z232" s="136"/>
      <c r="AA232" s="136"/>
      <c r="AB232" s="136"/>
      <c r="AC232" s="136"/>
      <c r="AD232" s="136"/>
      <c r="AE232" s="136"/>
      <c r="AF232" s="136"/>
      <c r="AG232" s="136"/>
      <c r="AH232" s="136"/>
      <c r="AI232" s="136"/>
      <c r="AJ232" s="68"/>
      <c r="AK232" s="68"/>
      <c r="AL232" s="68"/>
      <c r="AM232" s="68"/>
      <c r="AN232" s="68"/>
      <c r="AO232" s="48"/>
      <c r="AP232" s="48"/>
      <c r="AQ232" s="48"/>
      <c r="AU232" s="11"/>
      <c r="AV232" s="136"/>
      <c r="AW232" s="136"/>
      <c r="AX232" s="136"/>
      <c r="AY232" s="136"/>
      <c r="AZ232" s="136"/>
      <c r="BA232" s="136"/>
      <c r="BB232" s="136"/>
      <c r="BC232" s="136"/>
      <c r="BD232" s="136"/>
      <c r="BE232" s="136"/>
      <c r="BF232" s="68"/>
      <c r="BG232" s="68"/>
      <c r="BK232" s="48"/>
      <c r="BL232" s="48"/>
      <c r="BM232" s="48"/>
      <c r="BQ232" s="11"/>
      <c r="BR232" s="136"/>
      <c r="BS232" s="136"/>
      <c r="BT232" s="136"/>
      <c r="BU232" s="136"/>
      <c r="BV232" s="136"/>
      <c r="BW232" s="136"/>
      <c r="BX232" s="136"/>
      <c r="BY232" s="136"/>
      <c r="BZ232" s="136"/>
      <c r="CA232" s="136"/>
    </row>
    <row r="233" spans="1:80" ht="15.4" x14ac:dyDescent="0.45">
      <c r="A233" s="97"/>
      <c r="B233" s="97"/>
      <c r="C233" s="97"/>
      <c r="D233" s="97"/>
      <c r="E233" s="121"/>
      <c r="F233" s="97"/>
      <c r="G233" s="97"/>
      <c r="H233" s="97"/>
      <c r="I233" s="97"/>
      <c r="J233" s="97"/>
      <c r="K233" s="120" t="s">
        <v>31</v>
      </c>
      <c r="L233" s="122">
        <v>0.25</v>
      </c>
      <c r="M233" s="128">
        <f>1-EXP(-N233*$E$2)</f>
        <v>0.33483119206064238</v>
      </c>
      <c r="N233" s="126">
        <f>Z271</f>
        <v>12.231432720435327</v>
      </c>
      <c r="O233" s="97"/>
      <c r="P233" s="97"/>
      <c r="Q233" s="97"/>
      <c r="R233" s="97"/>
      <c r="S233" s="49" t="s">
        <v>58</v>
      </c>
      <c r="T233" s="48"/>
      <c r="U233" s="48"/>
      <c r="Y233" s="80" t="s">
        <v>59</v>
      </c>
      <c r="Z233" s="72">
        <f t="shared" ref="Z233:AI233" si="80">Z231*$AC$212</f>
        <v>43</v>
      </c>
      <c r="AA233" s="72">
        <f t="shared" si="80"/>
        <v>46.870000000000005</v>
      </c>
      <c r="AB233" s="72">
        <f t="shared" si="80"/>
        <v>51.088300000000004</v>
      </c>
      <c r="AC233" s="72">
        <f t="shared" si="80"/>
        <v>55.686247000000009</v>
      </c>
      <c r="AD233" s="72">
        <f t="shared" si="80"/>
        <v>60.698009230000011</v>
      </c>
      <c r="AE233" s="72">
        <f t="shared" si="80"/>
        <v>66.160830060700022</v>
      </c>
      <c r="AF233" s="72">
        <f t="shared" si="80"/>
        <v>72.115304766163021</v>
      </c>
      <c r="AG233" s="72">
        <f t="shared" si="80"/>
        <v>78.605682195117708</v>
      </c>
      <c r="AH233" s="72">
        <f t="shared" si="80"/>
        <v>85.680193592678307</v>
      </c>
      <c r="AI233" s="72">
        <f t="shared" si="80"/>
        <v>91.375</v>
      </c>
      <c r="AJ233" s="68"/>
      <c r="AK233" s="68"/>
      <c r="AL233" s="68"/>
      <c r="AM233" s="68"/>
      <c r="AN233" s="68"/>
      <c r="AO233" s="49" t="s">
        <v>58</v>
      </c>
      <c r="AP233" s="48"/>
      <c r="AQ233" s="48"/>
      <c r="AU233" s="80" t="s">
        <v>59</v>
      </c>
      <c r="AV233" s="72">
        <f t="shared" ref="AV233:BE233" si="81">AV231*$AY$212</f>
        <v>43</v>
      </c>
      <c r="AW233" s="72">
        <f t="shared" si="81"/>
        <v>46.010000000000005</v>
      </c>
      <c r="AX233" s="72">
        <f t="shared" si="81"/>
        <v>49.230699999999999</v>
      </c>
      <c r="AY233" s="72">
        <f t="shared" si="81"/>
        <v>52.676849000000004</v>
      </c>
      <c r="AZ233" s="72">
        <f t="shared" si="81"/>
        <v>56.364228430000011</v>
      </c>
      <c r="BA233" s="72">
        <f t="shared" si="81"/>
        <v>60.309724420100018</v>
      </c>
      <c r="BB233" s="72">
        <f t="shared" si="81"/>
        <v>64.531405129507021</v>
      </c>
      <c r="BC233" s="72">
        <f t="shared" si="81"/>
        <v>69.04860348857251</v>
      </c>
      <c r="BD233" s="72">
        <f t="shared" si="81"/>
        <v>73.882005732772598</v>
      </c>
      <c r="BE233" s="72">
        <f t="shared" si="81"/>
        <v>79.053746134066685</v>
      </c>
      <c r="BF233" s="68"/>
      <c r="BG233" s="68"/>
      <c r="BK233" s="49" t="s">
        <v>58</v>
      </c>
      <c r="BL233" s="48"/>
      <c r="BM233" s="48"/>
      <c r="BQ233" s="80" t="s">
        <v>59</v>
      </c>
      <c r="BR233" s="72">
        <f t="shared" ref="BR233:CA233" si="82">BR231*$BU$212</f>
        <v>43</v>
      </c>
      <c r="BS233" s="72">
        <f t="shared" si="82"/>
        <v>40.85</v>
      </c>
      <c r="BT233" s="72">
        <f t="shared" si="82"/>
        <v>38.807499999999997</v>
      </c>
      <c r="BU233" s="72">
        <f t="shared" si="82"/>
        <v>36.867124999999994</v>
      </c>
      <c r="BV233" s="72">
        <f t="shared" si="82"/>
        <v>35.023768749999995</v>
      </c>
      <c r="BW233" s="72">
        <f t="shared" si="82"/>
        <v>33.272580312499997</v>
      </c>
      <c r="BX233" s="72">
        <f t="shared" si="82"/>
        <v>31.608951296874991</v>
      </c>
      <c r="BY233" s="72">
        <f t="shared" si="82"/>
        <v>30.02850373203124</v>
      </c>
      <c r="BZ233" s="72">
        <f t="shared" si="82"/>
        <v>28.527078545429678</v>
      </c>
      <c r="CA233" s="72">
        <f t="shared" si="82"/>
        <v>27.100724618158189</v>
      </c>
    </row>
    <row r="234" spans="1:80" ht="15.4" x14ac:dyDescent="0.45">
      <c r="A234" s="97"/>
      <c r="B234" s="97"/>
      <c r="C234" s="97"/>
      <c r="D234" s="97"/>
      <c r="E234" s="121"/>
      <c r="F234" s="97"/>
      <c r="G234" s="97"/>
      <c r="H234" s="97"/>
      <c r="I234" s="155" t="s">
        <v>38</v>
      </c>
      <c r="J234" s="164"/>
      <c r="K234" s="117"/>
      <c r="L234" s="97"/>
      <c r="M234" s="128"/>
      <c r="N234" s="126"/>
      <c r="O234" s="97"/>
      <c r="P234" s="97"/>
      <c r="Q234" s="97"/>
      <c r="R234" s="97"/>
      <c r="S234" s="50"/>
      <c r="T234" s="48"/>
      <c r="U234" s="48"/>
      <c r="Y234" s="80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68"/>
      <c r="AK234" s="68"/>
      <c r="AL234" s="68"/>
      <c r="AM234" s="68"/>
      <c r="AN234" s="68"/>
      <c r="AO234" s="50"/>
      <c r="AP234" s="48"/>
      <c r="AQ234" s="48"/>
      <c r="AU234" s="80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68"/>
      <c r="BG234" s="68"/>
      <c r="BK234" s="50"/>
      <c r="BL234" s="48"/>
      <c r="BM234" s="48"/>
      <c r="BQ234" s="80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</row>
    <row r="235" spans="1:80" ht="15.4" x14ac:dyDescent="0.45">
      <c r="A235" s="97"/>
      <c r="B235" s="97"/>
      <c r="C235" s="97"/>
      <c r="D235" s="97"/>
      <c r="E235" s="121"/>
      <c r="F235" s="97"/>
      <c r="G235" s="97"/>
      <c r="H235" s="97"/>
      <c r="I235" s="97"/>
      <c r="J235" s="97"/>
      <c r="K235" s="117"/>
      <c r="L235" s="97"/>
      <c r="M235" s="128"/>
      <c r="N235" s="126"/>
      <c r="O235" s="97"/>
      <c r="P235" s="97"/>
      <c r="Q235" s="97"/>
      <c r="R235" s="97"/>
      <c r="S235" s="49" t="s">
        <v>60</v>
      </c>
      <c r="T235" s="48"/>
      <c r="U235" s="48"/>
      <c r="Y235" s="80" t="s">
        <v>59</v>
      </c>
      <c r="Z235" s="72">
        <f t="shared" ref="Z235:AI235" si="83">IF(nnb=4,0,Z231*$AC$213)</f>
        <v>38</v>
      </c>
      <c r="AA235" s="72">
        <f t="shared" si="83"/>
        <v>41.42</v>
      </c>
      <c r="AB235" s="72">
        <f t="shared" si="83"/>
        <v>45.147800000000004</v>
      </c>
      <c r="AC235" s="72">
        <f t="shared" si="83"/>
        <v>49.211102000000011</v>
      </c>
      <c r="AD235" s="72">
        <f t="shared" si="83"/>
        <v>53.640101180000009</v>
      </c>
      <c r="AE235" s="72">
        <f t="shared" si="83"/>
        <v>58.467710286200017</v>
      </c>
      <c r="AF235" s="72">
        <f t="shared" si="83"/>
        <v>63.729804211958026</v>
      </c>
      <c r="AG235" s="72">
        <f t="shared" si="83"/>
        <v>69.465486591034249</v>
      </c>
      <c r="AH235" s="72">
        <f t="shared" si="83"/>
        <v>75.71738038422734</v>
      </c>
      <c r="AI235" s="72">
        <f t="shared" si="83"/>
        <v>80.75</v>
      </c>
      <c r="AJ235" s="68"/>
      <c r="AK235" s="68"/>
      <c r="AL235" s="68"/>
      <c r="AM235" s="68"/>
      <c r="AN235" s="68"/>
      <c r="AO235" s="49" t="s">
        <v>60</v>
      </c>
      <c r="AP235" s="48"/>
      <c r="AQ235" s="48"/>
      <c r="AU235" s="80" t="s">
        <v>59</v>
      </c>
      <c r="AV235" s="72">
        <f t="shared" ref="AV235:BE235" si="84">IF(vvg=4,0,AV231*$AY$213)</f>
        <v>38</v>
      </c>
      <c r="AW235" s="72">
        <f t="shared" si="84"/>
        <v>40.660000000000004</v>
      </c>
      <c r="AX235" s="72">
        <f t="shared" si="84"/>
        <v>43.5062</v>
      </c>
      <c r="AY235" s="72">
        <f t="shared" si="84"/>
        <v>46.551634000000007</v>
      </c>
      <c r="AZ235" s="72">
        <f t="shared" si="84"/>
        <v>49.810248380000012</v>
      </c>
      <c r="BA235" s="72">
        <f t="shared" si="84"/>
        <v>53.296965766600017</v>
      </c>
      <c r="BB235" s="72">
        <f t="shared" si="84"/>
        <v>57.027753370262019</v>
      </c>
      <c r="BC235" s="72">
        <f t="shared" si="84"/>
        <v>61.019696106180362</v>
      </c>
      <c r="BD235" s="72">
        <f t="shared" si="84"/>
        <v>65.291074833612996</v>
      </c>
      <c r="BE235" s="72">
        <f t="shared" si="84"/>
        <v>69.861450071965905</v>
      </c>
      <c r="BF235" s="68"/>
      <c r="BG235" s="68"/>
      <c r="BK235" s="49" t="s">
        <v>60</v>
      </c>
      <c r="BL235" s="48"/>
      <c r="BM235" s="48"/>
      <c r="BQ235" s="80" t="s">
        <v>59</v>
      </c>
      <c r="BR235" s="72">
        <f t="shared" ref="BR235:CA235" si="85">IF(dsav=4,0,BR231*$BU$213)</f>
        <v>38</v>
      </c>
      <c r="BS235" s="72">
        <f t="shared" si="85"/>
        <v>36.1</v>
      </c>
      <c r="BT235" s="72">
        <f t="shared" si="85"/>
        <v>34.295000000000002</v>
      </c>
      <c r="BU235" s="72">
        <f t="shared" si="85"/>
        <v>32.580249999999992</v>
      </c>
      <c r="BV235" s="72">
        <f t="shared" si="85"/>
        <v>30.951237499999994</v>
      </c>
      <c r="BW235" s="72">
        <f t="shared" si="85"/>
        <v>29.403675624999995</v>
      </c>
      <c r="BX235" s="72">
        <f t="shared" si="85"/>
        <v>27.933491843749991</v>
      </c>
      <c r="BY235" s="72">
        <f t="shared" si="85"/>
        <v>26.536817251562489</v>
      </c>
      <c r="BZ235" s="72">
        <f t="shared" si="85"/>
        <v>25.209976388984366</v>
      </c>
      <c r="CA235" s="72">
        <f t="shared" si="85"/>
        <v>23.949477569535144</v>
      </c>
    </row>
    <row r="236" spans="1:80" ht="15.4" x14ac:dyDescent="0.45">
      <c r="A236" s="97"/>
      <c r="B236" s="97"/>
      <c r="C236" s="97"/>
      <c r="D236" s="97"/>
      <c r="E236" s="121"/>
      <c r="F236" s="97"/>
      <c r="G236" s="97"/>
      <c r="H236" s="97"/>
      <c r="I236" s="120" t="s">
        <v>31</v>
      </c>
      <c r="J236" s="122">
        <v>0.25</v>
      </c>
      <c r="K236" s="120" t="s">
        <v>30</v>
      </c>
      <c r="L236" s="122">
        <v>0.5</v>
      </c>
      <c r="M236" s="128">
        <f>1-EXP(-N236*$E$2)</f>
        <v>0.16916556363013302</v>
      </c>
      <c r="N236" s="126">
        <f>Y271</f>
        <v>5.5597421456524234</v>
      </c>
      <c r="O236" s="97"/>
      <c r="P236" s="97"/>
      <c r="Q236" s="97"/>
      <c r="R236" s="97"/>
      <c r="S236" s="50"/>
      <c r="T236" s="48"/>
      <c r="U236" s="48"/>
      <c r="Y236" s="80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68"/>
      <c r="AK236" s="68"/>
      <c r="AL236" s="68"/>
      <c r="AM236" s="68"/>
      <c r="AN236" s="68"/>
      <c r="AO236" s="50"/>
      <c r="AP236" s="48"/>
      <c r="AQ236" s="48"/>
      <c r="AU236" s="80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68"/>
      <c r="BG236" s="68"/>
      <c r="BK236" s="50"/>
      <c r="BL236" s="48"/>
      <c r="BM236" s="48"/>
      <c r="BQ236" s="80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</row>
    <row r="237" spans="1:80" ht="15" x14ac:dyDescent="0.4">
      <c r="A237" s="97"/>
      <c r="B237" s="97"/>
      <c r="C237" s="97"/>
      <c r="D237" s="97"/>
      <c r="E237" s="121"/>
      <c r="F237" s="97"/>
      <c r="G237" s="97"/>
      <c r="H237" s="97"/>
      <c r="I237" s="117">
        <f>M233*L233+M236*L236+M239*L239</f>
        <v>0.18615281192767963</v>
      </c>
      <c r="J237" s="97"/>
      <c r="K237" s="117"/>
      <c r="L237" s="97"/>
      <c r="M237" s="128"/>
      <c r="N237" s="126"/>
      <c r="O237" s="97"/>
      <c r="P237" s="97"/>
      <c r="Q237" s="97"/>
      <c r="R237" s="97"/>
      <c r="S237" s="51" t="s">
        <v>61</v>
      </c>
      <c r="T237" s="48"/>
      <c r="U237" s="48"/>
      <c r="Y237" s="80" t="s">
        <v>59</v>
      </c>
      <c r="Z237" s="72">
        <f>IF(nnb=2,$AC$214,0)</f>
        <v>0</v>
      </c>
      <c r="AA237" s="72">
        <v>0</v>
      </c>
      <c r="AB237" s="72">
        <v>0</v>
      </c>
      <c r="AC237" s="72">
        <v>0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68"/>
      <c r="AK237" s="68"/>
      <c r="AL237" s="68"/>
      <c r="AM237" s="68"/>
      <c r="AN237" s="68"/>
      <c r="AO237" s="51" t="s">
        <v>61</v>
      </c>
      <c r="AP237" s="48"/>
      <c r="AQ237" s="48"/>
      <c r="AU237" s="80" t="s">
        <v>59</v>
      </c>
      <c r="AV237" s="72">
        <f>IF(vvg=2,$AY$214,0)</f>
        <v>0</v>
      </c>
      <c r="AW237" s="72">
        <v>0</v>
      </c>
      <c r="AX237" s="72">
        <v>0</v>
      </c>
      <c r="AY237" s="72">
        <v>0</v>
      </c>
      <c r="AZ237" s="72">
        <v>0</v>
      </c>
      <c r="BA237" s="72">
        <v>0</v>
      </c>
      <c r="BB237" s="72">
        <v>0</v>
      </c>
      <c r="BC237" s="72">
        <v>0</v>
      </c>
      <c r="BD237" s="72">
        <v>0</v>
      </c>
      <c r="BE237" s="72">
        <v>0</v>
      </c>
      <c r="BF237" s="68"/>
      <c r="BG237" s="68"/>
      <c r="BK237" s="51" t="s">
        <v>61</v>
      </c>
      <c r="BL237" s="48"/>
      <c r="BM237" s="48"/>
      <c r="BQ237" s="80" t="s">
        <v>59</v>
      </c>
      <c r="BR237" s="72">
        <f>IF(dsav=2,$BU$214,0)</f>
        <v>0</v>
      </c>
      <c r="BS237" s="72">
        <v>0</v>
      </c>
      <c r="BT237" s="72">
        <v>0</v>
      </c>
      <c r="BU237" s="72">
        <v>0</v>
      </c>
      <c r="BV237" s="72">
        <v>0</v>
      </c>
      <c r="BW237" s="72">
        <v>0</v>
      </c>
      <c r="BX237" s="72">
        <v>0</v>
      </c>
      <c r="BY237" s="72">
        <v>0</v>
      </c>
      <c r="BZ237" s="72">
        <v>0</v>
      </c>
      <c r="CA237" s="72">
        <v>0</v>
      </c>
    </row>
    <row r="238" spans="1:80" ht="15" x14ac:dyDescent="0.4">
      <c r="A238" s="97"/>
      <c r="B238" s="97"/>
      <c r="C238" s="97"/>
      <c r="D238" s="97"/>
      <c r="E238" s="121"/>
      <c r="F238" s="97"/>
      <c r="G238" s="97"/>
      <c r="H238" s="97"/>
      <c r="I238" s="117"/>
      <c r="J238" s="97"/>
      <c r="K238" s="123"/>
      <c r="L238" s="97"/>
      <c r="M238" s="128"/>
      <c r="N238" s="126"/>
      <c r="O238" s="97"/>
      <c r="P238" s="97"/>
      <c r="Q238" s="97"/>
      <c r="R238" s="97"/>
      <c r="S238" s="48"/>
      <c r="T238" s="48"/>
      <c r="U238" s="48"/>
      <c r="Y238" s="80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68"/>
      <c r="AK238" s="68"/>
      <c r="AL238" s="68"/>
      <c r="AM238" s="68"/>
      <c r="AN238" s="68"/>
      <c r="AO238" s="48"/>
      <c r="AP238" s="48"/>
      <c r="AQ238" s="48"/>
      <c r="AU238" s="80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68"/>
      <c r="BG238" s="68"/>
      <c r="BK238" s="48"/>
      <c r="BL238" s="48"/>
      <c r="BM238" s="48"/>
      <c r="BQ238" s="80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</row>
    <row r="239" spans="1:80" ht="15" x14ac:dyDescent="0.4">
      <c r="A239" s="97"/>
      <c r="B239" s="97"/>
      <c r="C239" s="97"/>
      <c r="D239" s="97"/>
      <c r="E239" s="121"/>
      <c r="F239" s="97"/>
      <c r="G239" s="97"/>
      <c r="H239" s="97"/>
      <c r="I239" s="117"/>
      <c r="J239" s="97"/>
      <c r="K239" s="122" t="s">
        <v>29</v>
      </c>
      <c r="L239" s="122">
        <v>0.25</v>
      </c>
      <c r="M239" s="128">
        <f>1-EXP(-N239*$E$2)</f>
        <v>7.1448928389810096E-2</v>
      </c>
      <c r="N239" s="126">
        <f>X271</f>
        <v>2.2238968582609728</v>
      </c>
      <c r="O239" s="97"/>
      <c r="P239" s="97"/>
      <c r="Q239" s="97"/>
      <c r="R239" s="97"/>
      <c r="S239" s="51" t="s">
        <v>62</v>
      </c>
      <c r="T239" s="48"/>
      <c r="U239" s="48"/>
      <c r="Y239" s="80" t="s">
        <v>59</v>
      </c>
      <c r="Z239" s="72">
        <f t="shared" ref="Z239:AI239" si="86">IF(nnb=3,$AA$197*(Z233-Z235),0)</f>
        <v>3</v>
      </c>
      <c r="AA239" s="72">
        <f t="shared" si="86"/>
        <v>3.2700000000000018</v>
      </c>
      <c r="AB239" s="72">
        <f t="shared" si="86"/>
        <v>3.5642999999999998</v>
      </c>
      <c r="AC239" s="72">
        <f t="shared" si="86"/>
        <v>3.8850869999999986</v>
      </c>
      <c r="AD239" s="72">
        <f t="shared" si="86"/>
        <v>4.2347448300000012</v>
      </c>
      <c r="AE239" s="72">
        <f t="shared" si="86"/>
        <v>4.6158718647000025</v>
      </c>
      <c r="AF239" s="72">
        <f t="shared" si="86"/>
        <v>5.0313003325229966</v>
      </c>
      <c r="AG239" s="72">
        <f t="shared" si="86"/>
        <v>5.4841173624500756</v>
      </c>
      <c r="AH239" s="72">
        <f t="shared" si="86"/>
        <v>5.9776879250705806</v>
      </c>
      <c r="AI239" s="72">
        <f t="shared" si="86"/>
        <v>6.375</v>
      </c>
      <c r="AJ239" s="68"/>
      <c r="AK239" s="68"/>
      <c r="AL239" s="68"/>
      <c r="AM239" s="68"/>
      <c r="AN239" s="68"/>
      <c r="AO239" s="51" t="s">
        <v>62</v>
      </c>
      <c r="AP239" s="48"/>
      <c r="AQ239" s="48"/>
      <c r="AU239" s="80" t="s">
        <v>59</v>
      </c>
      <c r="AV239" s="72">
        <f t="shared" ref="AV239:BE239" si="87">IF(vvg=3,$AW$197*(AV233-AV235),0)</f>
        <v>3</v>
      </c>
      <c r="AW239" s="72">
        <f t="shared" si="87"/>
        <v>3.2100000000000009</v>
      </c>
      <c r="AX239" s="72">
        <f t="shared" si="87"/>
        <v>3.4346999999999994</v>
      </c>
      <c r="AY239" s="72">
        <f t="shared" si="87"/>
        <v>3.6751289999999983</v>
      </c>
      <c r="AZ239" s="72">
        <f t="shared" si="87"/>
        <v>3.9323880299999998</v>
      </c>
      <c r="BA239" s="72">
        <f t="shared" si="87"/>
        <v>4.2076551920999998</v>
      </c>
      <c r="BB239" s="72">
        <f t="shared" si="87"/>
        <v>4.5021910555470015</v>
      </c>
      <c r="BC239" s="72">
        <f t="shared" si="87"/>
        <v>4.8173444294352885</v>
      </c>
      <c r="BD239" s="72">
        <f t="shared" si="87"/>
        <v>5.1545585394957607</v>
      </c>
      <c r="BE239" s="72">
        <f t="shared" si="87"/>
        <v>5.5153776372604684</v>
      </c>
      <c r="BF239" s="68"/>
      <c r="BG239" s="68"/>
      <c r="BK239" s="51" t="s">
        <v>62</v>
      </c>
      <c r="BL239" s="48"/>
      <c r="BM239" s="48"/>
      <c r="BQ239" s="80" t="s">
        <v>59</v>
      </c>
      <c r="BR239" s="72">
        <f t="shared" ref="BR239:CA239" si="88">IF(dsav=3,$BS$197*(BR233-BR235),0)</f>
        <v>3</v>
      </c>
      <c r="BS239" s="72">
        <f t="shared" si="88"/>
        <v>2.85</v>
      </c>
      <c r="BT239" s="72">
        <f t="shared" si="88"/>
        <v>2.7074999999999974</v>
      </c>
      <c r="BU239" s="72">
        <f t="shared" si="88"/>
        <v>2.5721250000000011</v>
      </c>
      <c r="BV239" s="72">
        <f t="shared" si="88"/>
        <v>2.4435187500000004</v>
      </c>
      <c r="BW239" s="72">
        <f t="shared" si="88"/>
        <v>2.3213428125000015</v>
      </c>
      <c r="BX239" s="72">
        <f t="shared" si="88"/>
        <v>2.2052756718750004</v>
      </c>
      <c r="BY239" s="72">
        <f t="shared" si="88"/>
        <v>2.0950118882812503</v>
      </c>
      <c r="BZ239" s="72">
        <f t="shared" si="88"/>
        <v>1.9902612938671871</v>
      </c>
      <c r="CA239" s="72">
        <f t="shared" si="88"/>
        <v>1.8907482291738269</v>
      </c>
    </row>
    <row r="240" spans="1:80" ht="15" x14ac:dyDescent="0.4">
      <c r="A240" s="97"/>
      <c r="B240" s="97"/>
      <c r="C240" s="97"/>
      <c r="D240" s="97"/>
      <c r="E240" s="121"/>
      <c r="F240" s="97"/>
      <c r="G240" s="97"/>
      <c r="H240" s="97"/>
      <c r="I240" s="117"/>
      <c r="J240" s="97"/>
      <c r="K240" s="97"/>
      <c r="L240" s="97"/>
      <c r="M240" s="128"/>
      <c r="N240" s="126"/>
      <c r="O240" s="97"/>
      <c r="P240" s="97"/>
      <c r="Q240" s="97"/>
      <c r="R240" s="97"/>
      <c r="S240" s="51" t="s">
        <v>63</v>
      </c>
      <c r="T240" s="48"/>
      <c r="U240" s="48"/>
      <c r="Y240" s="80" t="s">
        <v>59</v>
      </c>
      <c r="Z240" s="72">
        <f t="shared" ref="Z240:AI240" si="89">$AA$198*(Z233)</f>
        <v>42.14</v>
      </c>
      <c r="AA240" s="72">
        <f t="shared" si="89"/>
        <v>45.932600000000001</v>
      </c>
      <c r="AB240" s="72">
        <f t="shared" si="89"/>
        <v>50.066534000000004</v>
      </c>
      <c r="AC240" s="72">
        <f t="shared" si="89"/>
        <v>54.572522060000004</v>
      </c>
      <c r="AD240" s="72">
        <f t="shared" si="89"/>
        <v>59.484049045400006</v>
      </c>
      <c r="AE240" s="72">
        <f t="shared" si="89"/>
        <v>64.837613459486022</v>
      </c>
      <c r="AF240" s="72">
        <f t="shared" si="89"/>
        <v>70.67299867083976</v>
      </c>
      <c r="AG240" s="72">
        <f t="shared" si="89"/>
        <v>77.033568551215353</v>
      </c>
      <c r="AH240" s="72">
        <f t="shared" si="89"/>
        <v>83.966589720824743</v>
      </c>
      <c r="AI240" s="72">
        <f t="shared" si="89"/>
        <v>89.547499999999999</v>
      </c>
      <c r="AJ240" s="68"/>
      <c r="AK240" s="68"/>
      <c r="AL240" s="68"/>
      <c r="AM240" s="68"/>
      <c r="AN240" s="68"/>
      <c r="AO240" s="51" t="s">
        <v>63</v>
      </c>
      <c r="AP240" s="48"/>
      <c r="AQ240" s="48"/>
      <c r="AU240" s="80" t="s">
        <v>59</v>
      </c>
      <c r="AV240" s="72">
        <f t="shared" ref="AV240:BE240" si="90">$AW$198*(AV233)</f>
        <v>42.14</v>
      </c>
      <c r="AW240" s="72">
        <f t="shared" si="90"/>
        <v>45.089800000000004</v>
      </c>
      <c r="AX240" s="72">
        <f t="shared" si="90"/>
        <v>48.246085999999998</v>
      </c>
      <c r="AY240" s="72">
        <f t="shared" si="90"/>
        <v>51.62331202</v>
      </c>
      <c r="AZ240" s="72">
        <f t="shared" si="90"/>
        <v>55.236943861400007</v>
      </c>
      <c r="BA240" s="72">
        <f t="shared" si="90"/>
        <v>59.10352993169802</v>
      </c>
      <c r="BB240" s="72">
        <f t="shared" si="90"/>
        <v>63.240777026916881</v>
      </c>
      <c r="BC240" s="72">
        <f t="shared" si="90"/>
        <v>67.667631418801065</v>
      </c>
      <c r="BD240" s="72">
        <f t="shared" si="90"/>
        <v>72.40436561811714</v>
      </c>
      <c r="BE240" s="72">
        <f t="shared" si="90"/>
        <v>77.472671211385347</v>
      </c>
      <c r="BF240" s="68"/>
      <c r="BG240" s="68"/>
      <c r="BK240" s="51" t="s">
        <v>63</v>
      </c>
      <c r="BL240" s="48"/>
      <c r="BM240" s="48"/>
      <c r="BQ240" s="80" t="s">
        <v>59</v>
      </c>
      <c r="BR240" s="72">
        <f t="shared" ref="BR240:CA240" si="91">$BS$198*(BR233)</f>
        <v>42.14</v>
      </c>
      <c r="BS240" s="72">
        <f t="shared" si="91"/>
        <v>40.033000000000001</v>
      </c>
      <c r="BT240" s="72">
        <f t="shared" si="91"/>
        <v>38.031349999999996</v>
      </c>
      <c r="BU240" s="72">
        <f t="shared" si="91"/>
        <v>36.12978249999999</v>
      </c>
      <c r="BV240" s="72">
        <f t="shared" si="91"/>
        <v>34.323293374999992</v>
      </c>
      <c r="BW240" s="72">
        <f t="shared" si="91"/>
        <v>32.607128706249995</v>
      </c>
      <c r="BX240" s="72">
        <f t="shared" si="91"/>
        <v>30.976772270937492</v>
      </c>
      <c r="BY240" s="72">
        <f t="shared" si="91"/>
        <v>29.427933657390614</v>
      </c>
      <c r="BZ240" s="72">
        <f t="shared" si="91"/>
        <v>27.956536974521082</v>
      </c>
      <c r="CA240" s="72">
        <f t="shared" si="91"/>
        <v>26.558710125795024</v>
      </c>
    </row>
    <row r="241" spans="1:79" ht="15" x14ac:dyDescent="0.4">
      <c r="A241" s="97"/>
      <c r="B241" s="97"/>
      <c r="C241" s="97"/>
      <c r="D241" s="97"/>
      <c r="E241" s="121"/>
      <c r="F241" s="97"/>
      <c r="G241" s="97"/>
      <c r="H241" s="97"/>
      <c r="I241" s="117"/>
      <c r="J241" s="97"/>
      <c r="K241" s="155" t="s">
        <v>33</v>
      </c>
      <c r="L241" s="155"/>
      <c r="M241" s="128"/>
      <c r="N241" s="126"/>
      <c r="O241" s="97"/>
      <c r="P241" s="97"/>
      <c r="Q241" s="97"/>
      <c r="R241" s="97"/>
      <c r="S241" s="48"/>
      <c r="T241" s="48"/>
      <c r="U241" s="48"/>
      <c r="Y241" s="80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68"/>
      <c r="AK241" s="68"/>
      <c r="AL241" s="68"/>
      <c r="AM241" s="68"/>
      <c r="AN241" s="68"/>
      <c r="AO241" s="48"/>
      <c r="AP241" s="48"/>
      <c r="AQ241" s="48"/>
      <c r="AU241" s="80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68"/>
      <c r="BG241" s="68"/>
      <c r="BK241" s="48"/>
      <c r="BL241" s="48"/>
      <c r="BM241" s="48"/>
      <c r="BQ241" s="80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</row>
    <row r="242" spans="1:79" ht="15" x14ac:dyDescent="0.4">
      <c r="A242" s="97"/>
      <c r="B242" s="97"/>
      <c r="C242" s="97"/>
      <c r="D242" s="97"/>
      <c r="E242" s="121"/>
      <c r="F242" s="97"/>
      <c r="G242" s="97"/>
      <c r="H242" s="97"/>
      <c r="I242" s="117"/>
      <c r="J242" s="97"/>
      <c r="K242" s="97"/>
      <c r="L242" s="97"/>
      <c r="M242" s="128"/>
      <c r="N242" s="126"/>
      <c r="O242" s="97"/>
      <c r="P242" s="97"/>
      <c r="Q242" s="97"/>
      <c r="R242" s="97"/>
      <c r="S242" s="51" t="s">
        <v>64</v>
      </c>
      <c r="T242" s="48"/>
      <c r="U242" s="48"/>
      <c r="Y242" s="80" t="s">
        <v>59</v>
      </c>
      <c r="Z242" s="72">
        <f t="shared" ref="Z242:AI242" si="92">IF(nnb=1,Z233-Z235,IF(nnb=2,Z233-Z235-Z237,IF(nnb=3,Z233-Z235-Z239,IF(nnb=4,Z233-Z235-Z240,"error"))))</f>
        <v>2</v>
      </c>
      <c r="AA242" s="72">
        <f t="shared" si="92"/>
        <v>2.180000000000001</v>
      </c>
      <c r="AB242" s="72">
        <f t="shared" si="92"/>
        <v>2.3762000000000003</v>
      </c>
      <c r="AC242" s="72">
        <f t="shared" si="92"/>
        <v>2.5900579999999991</v>
      </c>
      <c r="AD242" s="72">
        <f t="shared" si="92"/>
        <v>2.8231632200000005</v>
      </c>
      <c r="AE242" s="72">
        <f t="shared" si="92"/>
        <v>3.0772479098000023</v>
      </c>
      <c r="AF242" s="72">
        <f t="shared" si="92"/>
        <v>3.3542002216819986</v>
      </c>
      <c r="AG242" s="72">
        <f t="shared" si="92"/>
        <v>3.6560782416333835</v>
      </c>
      <c r="AH242" s="72">
        <f t="shared" si="92"/>
        <v>3.9851252833803867</v>
      </c>
      <c r="AI242" s="72">
        <f t="shared" si="92"/>
        <v>4.25</v>
      </c>
      <c r="AJ242" s="68"/>
      <c r="AK242" s="68"/>
      <c r="AL242" s="68"/>
      <c r="AM242" s="68"/>
      <c r="AN242" s="68"/>
      <c r="AO242" s="51" t="s">
        <v>64</v>
      </c>
      <c r="AP242" s="48"/>
      <c r="AQ242" s="48"/>
      <c r="AU242" s="80" t="s">
        <v>59</v>
      </c>
      <c r="AV242" s="72">
        <f t="shared" ref="AV242:BE242" si="93">IF(vvg=1,AV233-AV235,IF(vvg=2,AV233-AV235-AV237,IF(vvg=3,AV233-AV235-AV239,IF(vvg=4,AV233-AV235-AV240,"error"))))</f>
        <v>2</v>
      </c>
      <c r="AW242" s="72">
        <f t="shared" si="93"/>
        <v>2.1400000000000006</v>
      </c>
      <c r="AX242" s="72">
        <f t="shared" si="93"/>
        <v>2.2897999999999996</v>
      </c>
      <c r="AY242" s="72">
        <f t="shared" si="93"/>
        <v>2.4500859999999989</v>
      </c>
      <c r="AZ242" s="72">
        <f t="shared" si="93"/>
        <v>2.62159202</v>
      </c>
      <c r="BA242" s="72">
        <f t="shared" si="93"/>
        <v>2.8051034614000008</v>
      </c>
      <c r="BB242" s="72">
        <f t="shared" si="93"/>
        <v>3.001460703698001</v>
      </c>
      <c r="BC242" s="72">
        <f t="shared" si="93"/>
        <v>3.2115629529568599</v>
      </c>
      <c r="BD242" s="72">
        <f t="shared" si="93"/>
        <v>3.4363723596638414</v>
      </c>
      <c r="BE242" s="72">
        <f t="shared" si="93"/>
        <v>3.6769184248403119</v>
      </c>
      <c r="BF242" s="68"/>
      <c r="BG242" s="68"/>
      <c r="BK242" s="51" t="s">
        <v>64</v>
      </c>
      <c r="BL242" s="48"/>
      <c r="BM242" s="48"/>
      <c r="BQ242" s="80" t="s">
        <v>59</v>
      </c>
      <c r="BR242" s="72">
        <f t="shared" ref="BR242:CA242" si="94">IF(dsav=1,BR233-BR235,IF(dsav=2,BR233-BR235-BR237,IF(dsav=3,BR233-BR235-BR239,IF(dsav=4,BR233-BR235-BR240,"error"))))</f>
        <v>2</v>
      </c>
      <c r="BS242" s="72">
        <f t="shared" si="94"/>
        <v>1.9</v>
      </c>
      <c r="BT242" s="72">
        <f t="shared" si="94"/>
        <v>1.8049999999999984</v>
      </c>
      <c r="BU242" s="72">
        <f t="shared" si="94"/>
        <v>1.7147500000000009</v>
      </c>
      <c r="BV242" s="72">
        <f t="shared" si="94"/>
        <v>1.6290125000000004</v>
      </c>
      <c r="BW242" s="72">
        <f t="shared" si="94"/>
        <v>1.5475618750000009</v>
      </c>
      <c r="BX242" s="72">
        <f t="shared" si="94"/>
        <v>1.4701837812500003</v>
      </c>
      <c r="BY242" s="72">
        <f t="shared" si="94"/>
        <v>1.3966745921875003</v>
      </c>
      <c r="BZ242" s="72">
        <f t="shared" si="94"/>
        <v>1.3268408625781249</v>
      </c>
      <c r="CA242" s="72">
        <f t="shared" si="94"/>
        <v>1.2604988194492179</v>
      </c>
    </row>
    <row r="243" spans="1:79" ht="15" x14ac:dyDescent="0.4">
      <c r="A243" s="97"/>
      <c r="B243" s="97"/>
      <c r="C243" s="97"/>
      <c r="D243" s="97"/>
      <c r="E243" s="121"/>
      <c r="F243" s="97"/>
      <c r="G243" s="97"/>
      <c r="H243" s="97"/>
      <c r="I243" s="117"/>
      <c r="J243" s="97"/>
      <c r="K243" s="120" t="s">
        <v>31</v>
      </c>
      <c r="L243" s="122">
        <v>0.25</v>
      </c>
      <c r="M243" s="128">
        <f>1-EXP(-N243*$E$2)</f>
        <v>0.31279108928278931</v>
      </c>
      <c r="N243" s="126">
        <f>Z270</f>
        <v>11.253508250842374</v>
      </c>
      <c r="O243" s="97"/>
      <c r="P243" s="97"/>
      <c r="Q243" s="97"/>
      <c r="R243" s="97"/>
      <c r="S243" s="48"/>
      <c r="T243" s="48"/>
      <c r="U243" s="48"/>
      <c r="Y243" s="80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68"/>
      <c r="AK243" s="68"/>
      <c r="AL243" s="68"/>
      <c r="AM243" s="68"/>
      <c r="AN243" s="68"/>
      <c r="AO243" s="48"/>
      <c r="AP243" s="48"/>
      <c r="AQ243" s="48"/>
      <c r="AU243" s="80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68"/>
      <c r="BG243" s="68"/>
      <c r="BK243" s="48"/>
      <c r="BL243" s="48"/>
      <c r="BM243" s="48"/>
      <c r="BQ243" s="80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</row>
    <row r="244" spans="1:79" ht="15" x14ac:dyDescent="0.4">
      <c r="A244" s="97"/>
      <c r="B244" s="97"/>
      <c r="C244" s="97"/>
      <c r="D244" s="97"/>
      <c r="E244" s="121"/>
      <c r="F244" s="97"/>
      <c r="G244" s="97"/>
      <c r="H244" s="97"/>
      <c r="I244" s="117"/>
      <c r="J244" s="97"/>
      <c r="K244" s="117"/>
      <c r="L244" s="97"/>
      <c r="M244" s="128"/>
      <c r="N244" s="126"/>
      <c r="O244" s="97"/>
      <c r="P244" s="97"/>
      <c r="Q244" s="97"/>
      <c r="R244" s="97"/>
      <c r="S244" s="51" t="s">
        <v>65</v>
      </c>
      <c r="T244" s="48"/>
      <c r="U244" s="48"/>
      <c r="Y244" s="80" t="s">
        <v>59</v>
      </c>
      <c r="Z244" s="72">
        <f t="shared" ref="Z244:AI244" si="95">sdsf*Z242</f>
        <v>0.76</v>
      </c>
      <c r="AA244" s="72">
        <f t="shared" si="95"/>
        <v>0.82840000000000036</v>
      </c>
      <c r="AB244" s="72">
        <f t="shared" si="95"/>
        <v>0.90295600000000009</v>
      </c>
      <c r="AC244" s="72">
        <f t="shared" si="95"/>
        <v>0.98422203999999969</v>
      </c>
      <c r="AD244" s="72">
        <f t="shared" si="95"/>
        <v>1.0728020236000002</v>
      </c>
      <c r="AE244" s="72">
        <f t="shared" si="95"/>
        <v>1.169354205724001</v>
      </c>
      <c r="AF244" s="72">
        <f t="shared" si="95"/>
        <v>1.2745960842391595</v>
      </c>
      <c r="AG244" s="72">
        <f t="shared" si="95"/>
        <v>1.3893097318206857</v>
      </c>
      <c r="AH244" s="72">
        <f t="shared" si="95"/>
        <v>1.514347607684547</v>
      </c>
      <c r="AI244" s="72">
        <f t="shared" si="95"/>
        <v>1.615</v>
      </c>
      <c r="AJ244" s="68"/>
      <c r="AK244" s="68"/>
      <c r="AL244" s="68"/>
      <c r="AM244" s="68"/>
      <c r="AN244" s="68"/>
      <c r="AO244" s="51" t="s">
        <v>65</v>
      </c>
      <c r="AP244" s="48"/>
      <c r="AQ244" s="48"/>
      <c r="AU244" s="80" t="s">
        <v>59</v>
      </c>
      <c r="AV244" s="72">
        <f t="shared" ref="AV244:BE244" si="96">dsd*AV242</f>
        <v>0.76</v>
      </c>
      <c r="AW244" s="72">
        <f t="shared" si="96"/>
        <v>0.81320000000000026</v>
      </c>
      <c r="AX244" s="72">
        <f t="shared" si="96"/>
        <v>0.8701239999999999</v>
      </c>
      <c r="AY244" s="72">
        <f t="shared" si="96"/>
        <v>0.93103267999999961</v>
      </c>
      <c r="AZ244" s="72">
        <f t="shared" si="96"/>
        <v>0.99620496759999999</v>
      </c>
      <c r="BA244" s="72">
        <f t="shared" si="96"/>
        <v>1.0659393153320003</v>
      </c>
      <c r="BB244" s="72">
        <f t="shared" si="96"/>
        <v>1.1405550674052405</v>
      </c>
      <c r="BC244" s="72">
        <f t="shared" si="96"/>
        <v>1.2203939221236069</v>
      </c>
      <c r="BD244" s="72">
        <f t="shared" si="96"/>
        <v>1.3058214966722597</v>
      </c>
      <c r="BE244" s="72">
        <f t="shared" si="96"/>
        <v>1.3972290014393185</v>
      </c>
      <c r="BF244" s="68"/>
      <c r="BG244" s="68"/>
      <c r="BK244" s="51" t="s">
        <v>65</v>
      </c>
      <c r="BL244" s="48"/>
      <c r="BM244" s="48"/>
      <c r="BQ244" s="80" t="s">
        <v>59</v>
      </c>
      <c r="BR244" s="72">
        <f t="shared" ref="BR244:CA244" si="97">gddgdg*BR242</f>
        <v>0.76</v>
      </c>
      <c r="BS244" s="72">
        <f t="shared" si="97"/>
        <v>0.72199999999999998</v>
      </c>
      <c r="BT244" s="72">
        <f t="shared" si="97"/>
        <v>0.6858999999999994</v>
      </c>
      <c r="BU244" s="72">
        <f t="shared" si="97"/>
        <v>0.65160500000000032</v>
      </c>
      <c r="BV244" s="72">
        <f t="shared" si="97"/>
        <v>0.61902475000000012</v>
      </c>
      <c r="BW244" s="72">
        <f t="shared" si="97"/>
        <v>0.58807351250000028</v>
      </c>
      <c r="BX244" s="72">
        <f t="shared" si="97"/>
        <v>0.55866983687500016</v>
      </c>
      <c r="BY244" s="72">
        <f t="shared" si="97"/>
        <v>0.53073634503125011</v>
      </c>
      <c r="BZ244" s="72">
        <f t="shared" si="97"/>
        <v>0.50419952777968746</v>
      </c>
      <c r="CA244" s="72">
        <f t="shared" si="97"/>
        <v>0.47898955139070282</v>
      </c>
    </row>
    <row r="245" spans="1:79" ht="15" x14ac:dyDescent="0.4">
      <c r="A245" s="97"/>
      <c r="B245" s="97"/>
      <c r="C245" s="97"/>
      <c r="D245" s="97"/>
      <c r="E245" s="121"/>
      <c r="F245" s="165" t="s">
        <v>10</v>
      </c>
      <c r="G245" s="156"/>
      <c r="H245" s="157"/>
      <c r="I245" s="117"/>
      <c r="J245" s="97"/>
      <c r="K245" s="117"/>
      <c r="L245" s="97"/>
      <c r="M245" s="128"/>
      <c r="N245" s="126"/>
      <c r="O245" s="97"/>
      <c r="P245" s="97"/>
      <c r="Q245" s="97"/>
      <c r="R245" s="97"/>
      <c r="S245" s="51" t="s">
        <v>66</v>
      </c>
      <c r="T245" s="48"/>
      <c r="U245" s="48"/>
      <c r="Y245" s="80" t="s">
        <v>59</v>
      </c>
      <c r="Z245" s="72">
        <f>IF(Z244&lt;0,ABS(Z244),0)</f>
        <v>0</v>
      </c>
      <c r="AA245" s="72">
        <f t="shared" ref="AA245:AI245" si="98">IF((AA244-Z245)&lt;0,ABS(Z245-AA244),0)</f>
        <v>0</v>
      </c>
      <c r="AB245" s="72">
        <f t="shared" si="98"/>
        <v>0</v>
      </c>
      <c r="AC245" s="72">
        <f t="shared" si="98"/>
        <v>0</v>
      </c>
      <c r="AD245" s="72">
        <f t="shared" si="98"/>
        <v>0</v>
      </c>
      <c r="AE245" s="72">
        <f t="shared" si="98"/>
        <v>0</v>
      </c>
      <c r="AF245" s="72">
        <f t="shared" si="98"/>
        <v>0</v>
      </c>
      <c r="AG245" s="72">
        <f t="shared" si="98"/>
        <v>0</v>
      </c>
      <c r="AH245" s="72">
        <f t="shared" si="98"/>
        <v>0</v>
      </c>
      <c r="AI245" s="72">
        <f t="shared" si="98"/>
        <v>0</v>
      </c>
      <c r="AJ245" s="68"/>
      <c r="AK245" s="68"/>
      <c r="AL245" s="68"/>
      <c r="AM245" s="68"/>
      <c r="AN245" s="68"/>
      <c r="AO245" s="51" t="s">
        <v>66</v>
      </c>
      <c r="AP245" s="48"/>
      <c r="AQ245" s="48"/>
      <c r="AU245" s="80" t="s">
        <v>59</v>
      </c>
      <c r="AV245" s="72">
        <f>IF(AV244&lt;0,ABS(AV244),0)</f>
        <v>0</v>
      </c>
      <c r="AW245" s="72">
        <f t="shared" ref="AW245:BE245" si="99">IF((AW244-AV245)&lt;0,ABS(AV245-AW244),0)</f>
        <v>0</v>
      </c>
      <c r="AX245" s="72">
        <f t="shared" si="99"/>
        <v>0</v>
      </c>
      <c r="AY245" s="72">
        <f t="shared" si="99"/>
        <v>0</v>
      </c>
      <c r="AZ245" s="72">
        <f t="shared" si="99"/>
        <v>0</v>
      </c>
      <c r="BA245" s="72">
        <f t="shared" si="99"/>
        <v>0</v>
      </c>
      <c r="BB245" s="72">
        <f t="shared" si="99"/>
        <v>0</v>
      </c>
      <c r="BC245" s="72">
        <f t="shared" si="99"/>
        <v>0</v>
      </c>
      <c r="BD245" s="72">
        <f t="shared" si="99"/>
        <v>0</v>
      </c>
      <c r="BE245" s="72">
        <f t="shared" si="99"/>
        <v>0</v>
      </c>
      <c r="BF245" s="68"/>
      <c r="BG245" s="68"/>
      <c r="BK245" s="51" t="s">
        <v>66</v>
      </c>
      <c r="BL245" s="48"/>
      <c r="BM245" s="48"/>
      <c r="BQ245" s="80" t="s">
        <v>59</v>
      </c>
      <c r="BR245" s="72">
        <f>IF(BR244&lt;0,ABS(BR244),0)</f>
        <v>0</v>
      </c>
      <c r="BS245" s="72">
        <f t="shared" ref="BS245:CA245" si="100">IF((BS244-BR245)&lt;0,ABS(BR245-BS244),0)</f>
        <v>0</v>
      </c>
      <c r="BT245" s="72">
        <f t="shared" si="100"/>
        <v>0</v>
      </c>
      <c r="BU245" s="72">
        <f t="shared" si="100"/>
        <v>0</v>
      </c>
      <c r="BV245" s="72">
        <f t="shared" si="100"/>
        <v>0</v>
      </c>
      <c r="BW245" s="72">
        <f t="shared" si="100"/>
        <v>0</v>
      </c>
      <c r="BX245" s="72">
        <f t="shared" si="100"/>
        <v>0</v>
      </c>
      <c r="BY245" s="72">
        <f t="shared" si="100"/>
        <v>0</v>
      </c>
      <c r="BZ245" s="72">
        <f t="shared" si="100"/>
        <v>0</v>
      </c>
      <c r="CA245" s="72">
        <f t="shared" si="100"/>
        <v>0</v>
      </c>
    </row>
    <row r="246" spans="1:79" ht="15" x14ac:dyDescent="0.4">
      <c r="A246" s="97"/>
      <c r="B246" s="97"/>
      <c r="C246" s="97"/>
      <c r="D246" s="97"/>
      <c r="E246" s="97"/>
      <c r="F246" s="120" t="s">
        <v>84</v>
      </c>
      <c r="G246" s="122">
        <f>J236*I237+J246*I247+J256*I257</f>
        <v>0.16140899695035346</v>
      </c>
      <c r="H246" s="122"/>
      <c r="I246" s="120" t="s">
        <v>30</v>
      </c>
      <c r="J246" s="122">
        <v>0.5</v>
      </c>
      <c r="K246" s="120" t="s">
        <v>30</v>
      </c>
      <c r="L246" s="122">
        <v>0.5</v>
      </c>
      <c r="M246" s="128">
        <f>1-EXP(-N246*$E$2)</f>
        <v>0.15676340396775701</v>
      </c>
      <c r="N246" s="126">
        <f>Y270</f>
        <v>5.115231023110173</v>
      </c>
      <c r="O246" s="97"/>
      <c r="P246" s="97"/>
      <c r="Q246" s="97"/>
      <c r="R246" s="97"/>
      <c r="S246" s="51" t="s">
        <v>67</v>
      </c>
      <c r="T246" s="48"/>
      <c r="U246" s="48"/>
      <c r="Y246" s="80" t="s">
        <v>59</v>
      </c>
      <c r="Z246" s="72">
        <f>IF(Z244&lt;0,0,Z244)</f>
        <v>0.76</v>
      </c>
      <c r="AA246" s="72">
        <f t="shared" ref="AA246:AI246" si="101">IF(AA244&lt;0,0,IF((AA244-Z245)&lt;0,0,(AA244-Z245)))</f>
        <v>0.82840000000000036</v>
      </c>
      <c r="AB246" s="72">
        <f t="shared" si="101"/>
        <v>0.90295600000000009</v>
      </c>
      <c r="AC246" s="72">
        <f t="shared" si="101"/>
        <v>0.98422203999999969</v>
      </c>
      <c r="AD246" s="72">
        <f t="shared" si="101"/>
        <v>1.0728020236000002</v>
      </c>
      <c r="AE246" s="72">
        <f t="shared" si="101"/>
        <v>1.169354205724001</v>
      </c>
      <c r="AF246" s="72">
        <f t="shared" si="101"/>
        <v>1.2745960842391595</v>
      </c>
      <c r="AG246" s="72">
        <f t="shared" si="101"/>
        <v>1.3893097318206857</v>
      </c>
      <c r="AH246" s="72">
        <f t="shared" si="101"/>
        <v>1.514347607684547</v>
      </c>
      <c r="AI246" s="72">
        <f t="shared" si="101"/>
        <v>1.615</v>
      </c>
      <c r="AJ246" s="68"/>
      <c r="AK246" s="68"/>
      <c r="AL246" s="68"/>
      <c r="AM246" s="68"/>
      <c r="AN246" s="68"/>
      <c r="AO246" s="51" t="s">
        <v>67</v>
      </c>
      <c r="AP246" s="48"/>
      <c r="AQ246" s="48"/>
      <c r="AU246" s="80" t="s">
        <v>59</v>
      </c>
      <c r="AV246" s="72">
        <f>IF(AV244&lt;0,0,AV244)</f>
        <v>0.76</v>
      </c>
      <c r="AW246" s="72">
        <f t="shared" ref="AW246:BE246" si="102">IF(AW244&lt;0,0,IF((AW244-AV245)&lt;0,0,(AW244-AV245)))</f>
        <v>0.81320000000000026</v>
      </c>
      <c r="AX246" s="72">
        <f t="shared" si="102"/>
        <v>0.8701239999999999</v>
      </c>
      <c r="AY246" s="72">
        <f t="shared" si="102"/>
        <v>0.93103267999999961</v>
      </c>
      <c r="AZ246" s="72">
        <f t="shared" si="102"/>
        <v>0.99620496759999999</v>
      </c>
      <c r="BA246" s="72">
        <f t="shared" si="102"/>
        <v>1.0659393153320003</v>
      </c>
      <c r="BB246" s="72">
        <f t="shared" si="102"/>
        <v>1.1405550674052405</v>
      </c>
      <c r="BC246" s="72">
        <f t="shared" si="102"/>
        <v>1.2203939221236069</v>
      </c>
      <c r="BD246" s="72">
        <f t="shared" si="102"/>
        <v>1.3058214966722597</v>
      </c>
      <c r="BE246" s="72">
        <f t="shared" si="102"/>
        <v>1.3972290014393185</v>
      </c>
      <c r="BF246" s="68"/>
      <c r="BG246" s="68"/>
      <c r="BK246" s="51" t="s">
        <v>67</v>
      </c>
      <c r="BL246" s="48"/>
      <c r="BM246" s="48"/>
      <c r="BQ246" s="80" t="s">
        <v>59</v>
      </c>
      <c r="BR246" s="72">
        <f>IF(BR244&lt;0,0,BR244)</f>
        <v>0.76</v>
      </c>
      <c r="BS246" s="72">
        <f t="shared" ref="BS246:CA246" si="103">IF(BS244&lt;0,0,IF((BS244-BR245)&lt;0,0,(BS244-BR245)))</f>
        <v>0.72199999999999998</v>
      </c>
      <c r="BT246" s="72">
        <f t="shared" si="103"/>
        <v>0.6858999999999994</v>
      </c>
      <c r="BU246" s="72">
        <f t="shared" si="103"/>
        <v>0.65160500000000032</v>
      </c>
      <c r="BV246" s="72">
        <f t="shared" si="103"/>
        <v>0.61902475000000012</v>
      </c>
      <c r="BW246" s="72">
        <f t="shared" si="103"/>
        <v>0.58807351250000028</v>
      </c>
      <c r="BX246" s="72">
        <f t="shared" si="103"/>
        <v>0.55866983687500016</v>
      </c>
      <c r="BY246" s="72">
        <f t="shared" si="103"/>
        <v>0.53073634503125011</v>
      </c>
      <c r="BZ246" s="72">
        <f t="shared" si="103"/>
        <v>0.50419952777968746</v>
      </c>
      <c r="CA246" s="72">
        <f t="shared" si="103"/>
        <v>0.47898955139070282</v>
      </c>
    </row>
    <row r="247" spans="1:79" ht="15" x14ac:dyDescent="0.4">
      <c r="A247" s="97"/>
      <c r="B247" s="97"/>
      <c r="C247" s="97"/>
      <c r="D247" s="97"/>
      <c r="E247" s="97"/>
      <c r="F247" s="97" t="s">
        <v>87</v>
      </c>
      <c r="G247" s="126">
        <f>-LN(-G246+1)/$E$2</f>
        <v>5.2809651851730637</v>
      </c>
      <c r="H247" s="97"/>
      <c r="I247" s="117">
        <f>M243*L243+M246*L246+M249*L249</f>
        <v>0.17306178357051075</v>
      </c>
      <c r="J247" s="97"/>
      <c r="K247" s="117"/>
      <c r="L247" s="97"/>
      <c r="M247" s="128"/>
      <c r="N247" s="126"/>
      <c r="O247" s="97"/>
      <c r="P247" s="97"/>
      <c r="Q247" s="97"/>
      <c r="R247" s="97"/>
      <c r="S247" s="48"/>
      <c r="T247" s="48"/>
      <c r="U247" s="48"/>
      <c r="Y247" s="80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3"/>
      <c r="AK247" s="73"/>
      <c r="AL247" s="73"/>
      <c r="AM247" s="68"/>
      <c r="AN247" s="68"/>
      <c r="AO247" s="48"/>
      <c r="AP247" s="48"/>
      <c r="AQ247" s="48"/>
      <c r="AU247" s="80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3"/>
      <c r="BG247" s="73"/>
      <c r="BK247" s="48"/>
      <c r="BL247" s="48"/>
      <c r="BM247" s="48"/>
      <c r="BQ247" s="80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</row>
    <row r="248" spans="1:79" ht="15" x14ac:dyDescent="0.4">
      <c r="A248" s="97"/>
      <c r="B248" s="97"/>
      <c r="C248" s="97"/>
      <c r="D248" s="97"/>
      <c r="E248" s="97"/>
      <c r="F248" s="97"/>
      <c r="G248" s="97"/>
      <c r="H248" s="97"/>
      <c r="I248" s="117"/>
      <c r="J248" s="97"/>
      <c r="K248" s="123"/>
      <c r="L248" s="97"/>
      <c r="M248" s="128"/>
      <c r="N248" s="126"/>
      <c r="O248" s="97"/>
      <c r="P248" s="97"/>
      <c r="Q248" s="97"/>
      <c r="R248" s="97"/>
      <c r="S248" s="51" t="s">
        <v>68</v>
      </c>
      <c r="Y248" s="80" t="s">
        <v>69</v>
      </c>
      <c r="Z248" s="74">
        <f t="shared" ref="Z248:AI248" si="104">Z242-Z246</f>
        <v>1.24</v>
      </c>
      <c r="AA248" s="74">
        <f t="shared" si="104"/>
        <v>1.3516000000000008</v>
      </c>
      <c r="AB248" s="74">
        <f t="shared" si="104"/>
        <v>1.4732440000000002</v>
      </c>
      <c r="AC248" s="74">
        <f t="shared" si="104"/>
        <v>1.6058359599999994</v>
      </c>
      <c r="AD248" s="74">
        <f t="shared" si="104"/>
        <v>1.7503611964000003</v>
      </c>
      <c r="AE248" s="74">
        <f t="shared" si="104"/>
        <v>1.9078937040760013</v>
      </c>
      <c r="AF248" s="74">
        <f t="shared" si="104"/>
        <v>2.0796041374428391</v>
      </c>
      <c r="AG248" s="74">
        <f t="shared" si="104"/>
        <v>2.2667685098126977</v>
      </c>
      <c r="AH248" s="74">
        <f t="shared" si="104"/>
        <v>2.4707776756958397</v>
      </c>
      <c r="AI248" s="74">
        <f t="shared" si="104"/>
        <v>2.6349999999999998</v>
      </c>
      <c r="AJ248" s="75"/>
      <c r="AK248" s="75"/>
      <c r="AL248" s="75"/>
      <c r="AM248" s="68"/>
      <c r="AN248" s="68"/>
      <c r="AO248" s="51" t="s">
        <v>68</v>
      </c>
      <c r="AU248" s="80" t="s">
        <v>69</v>
      </c>
      <c r="AV248" s="74">
        <f t="shared" ref="AV248:BE248" si="105">AV242-AV246</f>
        <v>1.24</v>
      </c>
      <c r="AW248" s="74">
        <f t="shared" si="105"/>
        <v>1.3268000000000004</v>
      </c>
      <c r="AX248" s="74">
        <f t="shared" si="105"/>
        <v>1.4196759999999997</v>
      </c>
      <c r="AY248" s="74">
        <f t="shared" si="105"/>
        <v>1.5190533199999994</v>
      </c>
      <c r="AZ248" s="74">
        <f t="shared" si="105"/>
        <v>1.6253870524</v>
      </c>
      <c r="BA248" s="74">
        <f t="shared" si="105"/>
        <v>1.7391641460680005</v>
      </c>
      <c r="BB248" s="74">
        <f t="shared" si="105"/>
        <v>1.8609056362927605</v>
      </c>
      <c r="BC248" s="74">
        <f t="shared" si="105"/>
        <v>1.991169030833253</v>
      </c>
      <c r="BD248" s="74">
        <f t="shared" si="105"/>
        <v>2.1305508629915817</v>
      </c>
      <c r="BE248" s="74">
        <f t="shared" si="105"/>
        <v>2.2796894234009937</v>
      </c>
      <c r="BF248" s="75"/>
      <c r="BG248" s="75"/>
      <c r="BK248" s="51" t="s">
        <v>68</v>
      </c>
      <c r="BQ248" s="80" t="s">
        <v>69</v>
      </c>
      <c r="BR248" s="74">
        <f t="shared" ref="BR248:CA248" si="106">BR242-BR246</f>
        <v>1.24</v>
      </c>
      <c r="BS248" s="74">
        <f t="shared" si="106"/>
        <v>1.1779999999999999</v>
      </c>
      <c r="BT248" s="74">
        <f t="shared" si="106"/>
        <v>1.1190999999999991</v>
      </c>
      <c r="BU248" s="74">
        <f t="shared" si="106"/>
        <v>1.0631450000000005</v>
      </c>
      <c r="BV248" s="74">
        <f t="shared" si="106"/>
        <v>1.0099877500000003</v>
      </c>
      <c r="BW248" s="74">
        <f t="shared" si="106"/>
        <v>0.95948836250000058</v>
      </c>
      <c r="BX248" s="74">
        <f t="shared" si="106"/>
        <v>0.91151394437500011</v>
      </c>
      <c r="BY248" s="74">
        <f t="shared" si="106"/>
        <v>0.86593824715625023</v>
      </c>
      <c r="BZ248" s="74">
        <f t="shared" si="106"/>
        <v>0.82264133479843748</v>
      </c>
      <c r="CA248" s="74">
        <f t="shared" si="106"/>
        <v>0.78150926805851517</v>
      </c>
    </row>
    <row r="249" spans="1:79" x14ac:dyDescent="0.35">
      <c r="A249" s="97"/>
      <c r="B249" s="97"/>
      <c r="C249" s="97"/>
      <c r="D249" s="97"/>
      <c r="E249" s="97"/>
      <c r="F249" s="97"/>
      <c r="G249" s="97"/>
      <c r="H249" s="97"/>
      <c r="I249" s="117"/>
      <c r="J249" s="97"/>
      <c r="K249" s="122" t="s">
        <v>29</v>
      </c>
      <c r="L249" s="122">
        <v>0.25</v>
      </c>
      <c r="M249" s="128">
        <f>1-EXP(-N249*$E$2)</f>
        <v>6.5929237063739654E-2</v>
      </c>
      <c r="N249" s="126">
        <f>X270</f>
        <v>2.0460924092440669</v>
      </c>
      <c r="O249" s="97"/>
      <c r="P249" s="97"/>
      <c r="Q249" s="97"/>
      <c r="R249" s="97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</row>
    <row r="250" spans="1:79" ht="15" x14ac:dyDescent="0.4">
      <c r="A250" s="97"/>
      <c r="B250" s="97"/>
      <c r="C250" s="97"/>
      <c r="D250" s="97"/>
      <c r="E250" s="97"/>
      <c r="F250" s="97"/>
      <c r="G250" s="97"/>
      <c r="H250" s="97"/>
      <c r="I250" s="117"/>
      <c r="J250" s="97"/>
      <c r="K250" s="97"/>
      <c r="L250" s="97"/>
      <c r="M250" s="128"/>
      <c r="N250" s="126"/>
      <c r="O250" s="97"/>
      <c r="P250" s="97"/>
      <c r="Q250" s="97"/>
      <c r="R250" s="97"/>
      <c r="S250" s="51" t="s">
        <v>70</v>
      </c>
      <c r="T250" s="48"/>
      <c r="U250" s="48"/>
      <c r="Y250" s="80" t="s">
        <v>71</v>
      </c>
      <c r="Z250" s="93">
        <f>Z248+NPV(dgdgf,AA248,AB248,AC248,AD248,AE248,AF248,AG248,AH248,AI248)</f>
        <v>12.900544586754121</v>
      </c>
      <c r="AA250" s="92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68"/>
      <c r="AN250" s="68"/>
      <c r="AO250" s="51" t="s">
        <v>70</v>
      </c>
      <c r="AP250" s="48"/>
      <c r="AQ250" s="48"/>
      <c r="AU250" s="80" t="s">
        <v>71</v>
      </c>
      <c r="AV250" s="93">
        <f>AV248+NPV(gfdg,AW248,AX248,AY248,AZ248,BA248,BB248,BC248,BD248,BE248)</f>
        <v>11.895886100256202</v>
      </c>
      <c r="AW250" s="92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K250" s="51" t="s">
        <v>70</v>
      </c>
      <c r="BL250" s="48"/>
      <c r="BM250" s="48"/>
      <c r="BQ250" s="80" t="s">
        <v>71</v>
      </c>
      <c r="BR250" s="93">
        <f>BR248+NPV(fgfg,BS248,BT248,BU248,BV248,BW248,BX248,BY248,BZ248,CA248)</f>
        <v>7.444601969673549</v>
      </c>
      <c r="BS250" s="92"/>
      <c r="BT250" s="76"/>
      <c r="BU250" s="76"/>
      <c r="BV250" s="76"/>
      <c r="BW250" s="76"/>
      <c r="BX250" s="76"/>
      <c r="BY250" s="76"/>
      <c r="BZ250" s="76"/>
      <c r="CA250" s="76"/>
    </row>
    <row r="251" spans="1:79" x14ac:dyDescent="0.35">
      <c r="A251" s="97"/>
      <c r="B251" s="97"/>
      <c r="C251" s="97"/>
      <c r="D251" s="97"/>
      <c r="E251" s="97"/>
      <c r="F251" s="97"/>
      <c r="G251" s="97"/>
      <c r="H251" s="97"/>
      <c r="I251" s="117"/>
      <c r="J251" s="97"/>
      <c r="K251" s="155" t="s">
        <v>33</v>
      </c>
      <c r="L251" s="155"/>
      <c r="M251" s="128"/>
      <c r="N251" s="126"/>
      <c r="O251" s="97"/>
      <c r="P251" s="97"/>
      <c r="Q251" s="97"/>
      <c r="R251" s="97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68"/>
      <c r="AN251" s="68"/>
      <c r="AO251" s="68"/>
    </row>
    <row r="252" spans="1:79" x14ac:dyDescent="0.35">
      <c r="A252" s="97"/>
      <c r="B252" s="97"/>
      <c r="C252" s="97"/>
      <c r="D252" s="97"/>
      <c r="E252" s="97"/>
      <c r="F252" s="97"/>
      <c r="G252" s="97"/>
      <c r="H252" s="97"/>
      <c r="I252" s="117"/>
      <c r="J252" s="97"/>
      <c r="K252" s="97"/>
      <c r="L252" s="97"/>
      <c r="M252" s="128"/>
      <c r="N252" s="126"/>
      <c r="O252" s="97"/>
      <c r="P252" s="97"/>
      <c r="Q252" s="97"/>
      <c r="R252" s="97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68"/>
      <c r="AN252" s="68"/>
      <c r="AO252" s="68"/>
    </row>
    <row r="253" spans="1:79" x14ac:dyDescent="0.35">
      <c r="A253" s="97"/>
      <c r="B253" s="97"/>
      <c r="C253" s="97"/>
      <c r="D253" s="97"/>
      <c r="E253" s="97"/>
      <c r="F253" s="97"/>
      <c r="G253" s="97"/>
      <c r="H253" s="97"/>
      <c r="I253" s="117"/>
      <c r="J253" s="97"/>
      <c r="K253" s="120" t="s">
        <v>31</v>
      </c>
      <c r="L253" s="122">
        <v>0.25</v>
      </c>
      <c r="M253" s="128">
        <f>1-EXP(-N253*$E$2)</f>
        <v>0.209233946542421</v>
      </c>
      <c r="N253" s="126">
        <f>Z269</f>
        <v>7.0425934633111771</v>
      </c>
      <c r="O253" s="97"/>
      <c r="P253" s="97"/>
      <c r="Q253" s="97"/>
      <c r="R253" s="97"/>
      <c r="Z253" s="94"/>
      <c r="AA253" s="75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</row>
    <row r="254" spans="1:79" x14ac:dyDescent="0.35">
      <c r="A254" s="97"/>
      <c r="B254" s="97"/>
      <c r="C254" s="97"/>
      <c r="D254" s="97"/>
      <c r="E254" s="97"/>
      <c r="F254" s="97"/>
      <c r="G254" s="97"/>
      <c r="H254" s="97"/>
      <c r="I254" s="117"/>
      <c r="J254" s="97"/>
      <c r="K254" s="117"/>
      <c r="L254" s="97"/>
      <c r="M254" s="128"/>
      <c r="N254" s="126"/>
      <c r="O254" s="97"/>
      <c r="P254" s="97"/>
      <c r="Q254" s="97"/>
      <c r="R254" s="97"/>
      <c r="Y254" s="7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68"/>
      <c r="AN254" s="68"/>
      <c r="AO254" s="68"/>
    </row>
    <row r="255" spans="1:79" x14ac:dyDescent="0.35">
      <c r="A255" s="97"/>
      <c r="B255" s="97"/>
      <c r="C255" s="97"/>
      <c r="D255" s="97"/>
      <c r="E255" s="97"/>
      <c r="F255" s="97"/>
      <c r="G255" s="97"/>
      <c r="H255" s="97"/>
      <c r="I255" s="123"/>
      <c r="J255" s="97"/>
      <c r="K255" s="117"/>
      <c r="L255" s="97"/>
      <c r="M255" s="128"/>
      <c r="N255" s="126"/>
      <c r="O255" s="97"/>
      <c r="P255" s="97"/>
      <c r="Q255" s="97"/>
      <c r="R255" s="97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</row>
    <row r="256" spans="1:79" x14ac:dyDescent="0.35">
      <c r="A256" s="97"/>
      <c r="B256" s="97"/>
      <c r="C256" s="97"/>
      <c r="D256" s="97"/>
      <c r="E256" s="97"/>
      <c r="F256" s="97"/>
      <c r="G256" s="97"/>
      <c r="H256" s="97"/>
      <c r="I256" s="122" t="s">
        <v>29</v>
      </c>
      <c r="J256" s="122">
        <v>0.25</v>
      </c>
      <c r="K256" s="120" t="s">
        <v>30</v>
      </c>
      <c r="L256" s="122">
        <v>0.5</v>
      </c>
      <c r="M256" s="128">
        <f>1-EXP(-N256*$E$2)</f>
        <v>0.10121008708084589</v>
      </c>
      <c r="N256" s="126">
        <f>Y269</f>
        <v>3.2011788469596318</v>
      </c>
      <c r="O256" s="97"/>
      <c r="P256" s="97"/>
      <c r="Q256" s="97"/>
      <c r="R256" s="97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</row>
    <row r="257" spans="1:41" x14ac:dyDescent="0.35">
      <c r="A257" s="97"/>
      <c r="B257" s="97"/>
      <c r="C257" s="97"/>
      <c r="D257" s="97"/>
      <c r="E257" s="97"/>
      <c r="F257" s="97"/>
      <c r="G257" s="97"/>
      <c r="H257" s="97"/>
      <c r="I257" s="97">
        <f>M253*L253+M256*L256+M259*L259</f>
        <v>0.11335960873271275</v>
      </c>
      <c r="J257" s="97"/>
      <c r="K257" s="117"/>
      <c r="L257" s="97"/>
      <c r="M257" s="128"/>
      <c r="N257" s="126"/>
      <c r="O257" s="97"/>
      <c r="P257" s="97"/>
      <c r="Q257" s="97"/>
      <c r="R257" s="97"/>
      <c r="T257" s="13"/>
      <c r="Z257" s="77"/>
      <c r="AA257" s="77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</row>
    <row r="258" spans="1:41" x14ac:dyDescent="0.35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123"/>
      <c r="L258" s="97"/>
      <c r="M258" s="128"/>
      <c r="N258" s="126"/>
      <c r="O258" s="97"/>
      <c r="P258" s="97"/>
      <c r="Q258" s="97"/>
      <c r="R258" s="97"/>
      <c r="S258" s="13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68"/>
      <c r="AN258" s="68"/>
      <c r="AO258" s="68"/>
    </row>
    <row r="259" spans="1:41" x14ac:dyDescent="0.35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122" t="s">
        <v>29</v>
      </c>
      <c r="L259" s="122">
        <v>0.25</v>
      </c>
      <c r="M259" s="128">
        <f>1-EXP(-N259*$E$2)</f>
        <v>4.1784314226738228E-2</v>
      </c>
      <c r="N259" s="126">
        <f>X269</f>
        <v>1.2804715387838521</v>
      </c>
      <c r="O259" s="97"/>
      <c r="P259" s="97"/>
      <c r="Q259" s="97"/>
      <c r="R259" s="97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68"/>
      <c r="AN259" s="68"/>
      <c r="AO259" s="68"/>
    </row>
    <row r="260" spans="1:41" x14ac:dyDescent="0.35">
      <c r="R260" s="97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68"/>
      <c r="AN260" s="68"/>
      <c r="AO260" s="68"/>
    </row>
    <row r="261" spans="1:41" x14ac:dyDescent="0.35">
      <c r="R261" s="97"/>
      <c r="T261" s="33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68"/>
      <c r="AN261" s="68"/>
      <c r="AO261" s="68"/>
    </row>
    <row r="262" spans="1:41" x14ac:dyDescent="0.35"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97"/>
      <c r="T262" s="33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68"/>
      <c r="AN262" s="68"/>
      <c r="AO262" s="68"/>
    </row>
    <row r="263" spans="1:41" x14ac:dyDescent="0.35"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97"/>
      <c r="T263" s="33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68"/>
      <c r="AN263" s="68"/>
      <c r="AO263" s="68"/>
    </row>
    <row r="264" spans="1:41" x14ac:dyDescent="0.35"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97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68"/>
      <c r="AN264" s="68"/>
      <c r="AO264" s="68"/>
    </row>
    <row r="265" spans="1:41" x14ac:dyDescent="0.35">
      <c r="R265" s="97"/>
      <c r="U265" s="68"/>
      <c r="V265" s="68"/>
      <c r="W265" s="68"/>
      <c r="X265" s="68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68"/>
      <c r="AN265" s="68"/>
      <c r="AO265" s="68"/>
    </row>
    <row r="266" spans="1:41" x14ac:dyDescent="0.35"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97"/>
      <c r="U266" s="68"/>
      <c r="V266" s="68"/>
      <c r="W266" s="68"/>
      <c r="X266" s="140" t="str">
        <f>T309</f>
        <v>DA Corp. markets</v>
      </c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68"/>
      <c r="AN266" s="68"/>
      <c r="AO266" s="68"/>
    </row>
    <row r="267" spans="1:41" ht="15.4" x14ac:dyDescent="0.45">
      <c r="R267" s="97"/>
      <c r="U267" s="68"/>
      <c r="V267" s="68"/>
      <c r="W267" s="68"/>
      <c r="X267" s="55" t="s">
        <v>29</v>
      </c>
      <c r="Y267" s="55" t="s">
        <v>30</v>
      </c>
      <c r="Z267" s="55" t="s">
        <v>31</v>
      </c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68"/>
      <c r="AN267" s="68"/>
      <c r="AO267" s="68"/>
    </row>
    <row r="268" spans="1:41" x14ac:dyDescent="0.35">
      <c r="R268" s="97"/>
      <c r="U268" s="78"/>
      <c r="V268" s="68"/>
      <c r="W268" s="141">
        <f>Z351</f>
        <v>5.115231023110173</v>
      </c>
      <c r="X268" s="62">
        <v>1</v>
      </c>
      <c r="Y268" s="63">
        <v>2.5</v>
      </c>
      <c r="Z268" s="64">
        <v>5.5</v>
      </c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68"/>
      <c r="AN268" s="68"/>
      <c r="AO268" s="68"/>
    </row>
    <row r="269" spans="1:41" ht="15.4" x14ac:dyDescent="0.45"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97"/>
      <c r="U269" s="146" t="str">
        <f>T311</f>
        <v>Demand Growth Rate</v>
      </c>
      <c r="V269" s="55" t="s">
        <v>29</v>
      </c>
      <c r="W269" s="81">
        <v>-0.05</v>
      </c>
      <c r="X269" s="68">
        <f t="dataTable" ref="X269:Z271" dt2D="1" dtr="1" r1="AC309" r2="AC311"/>
        <v>1.2804715387838521</v>
      </c>
      <c r="Y269">
        <v>3.2011788469596318</v>
      </c>
      <c r="Z269">
        <v>7.0425934633111771</v>
      </c>
      <c r="AA269" s="79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68"/>
      <c r="AN269" s="68"/>
      <c r="AO269" s="68"/>
    </row>
    <row r="270" spans="1:41" ht="15.4" x14ac:dyDescent="0.45"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97"/>
      <c r="U270" s="75"/>
      <c r="V270" s="55" t="s">
        <v>30</v>
      </c>
      <c r="W270" s="82">
        <v>7.0000000000000007E-2</v>
      </c>
      <c r="X270" s="68">
        <v>2.0460924092440669</v>
      </c>
      <c r="Y270">
        <v>5.115231023110173</v>
      </c>
      <c r="Z270">
        <v>11.253508250842374</v>
      </c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</row>
    <row r="271" spans="1:41" ht="15.4" x14ac:dyDescent="0.45"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97"/>
      <c r="S271" s="13"/>
      <c r="U271" s="75"/>
      <c r="V271" s="55" t="s">
        <v>31</v>
      </c>
      <c r="W271" s="83">
        <v>0.09</v>
      </c>
      <c r="X271" s="68">
        <v>2.2238968582609728</v>
      </c>
      <c r="Y271">
        <v>5.5597421456524234</v>
      </c>
      <c r="Z271">
        <v>12.231432720435327</v>
      </c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</row>
    <row r="272" spans="1:41" x14ac:dyDescent="0.35"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97"/>
      <c r="S272" s="2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</row>
    <row r="273" spans="1:41" x14ac:dyDescent="0.35">
      <c r="R273" s="97"/>
      <c r="T273" s="13"/>
      <c r="Z273" s="77"/>
      <c r="AA273" s="77"/>
      <c r="AB273" s="77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</row>
    <row r="274" spans="1:41" x14ac:dyDescent="0.35"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97"/>
      <c r="S274" s="13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68"/>
      <c r="AN274" s="68"/>
      <c r="AO274" s="68"/>
    </row>
    <row r="275" spans="1:41" x14ac:dyDescent="0.35"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97"/>
      <c r="S275" s="13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</row>
    <row r="276" spans="1:41" x14ac:dyDescent="0.35">
      <c r="R276" s="97"/>
      <c r="Y276" s="34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68"/>
      <c r="AN276" s="68"/>
      <c r="AO276" s="68"/>
    </row>
    <row r="277" spans="1:41" x14ac:dyDescent="0.35">
      <c r="G277" s="7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97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</row>
    <row r="278" spans="1:41" x14ac:dyDescent="0.35">
      <c r="R278" s="97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</row>
    <row r="279" spans="1:41" ht="19.149999999999999" x14ac:dyDescent="0.65">
      <c r="R279" s="97"/>
      <c r="S279" s="38" t="s">
        <v>0</v>
      </c>
      <c r="AL279" s="75"/>
      <c r="AM279" s="68"/>
      <c r="AN279" s="68"/>
      <c r="AO279" s="68"/>
    </row>
    <row r="280" spans="1:41" ht="13.15" thickBot="1" x14ac:dyDescent="0.4">
      <c r="B280" s="13"/>
      <c r="H280" s="33"/>
      <c r="I280" s="33"/>
      <c r="R280" s="97"/>
      <c r="AL280" s="75"/>
      <c r="AM280" s="68"/>
      <c r="AN280" s="68"/>
      <c r="AO280" s="68"/>
    </row>
    <row r="281" spans="1:41" ht="15.4" x14ac:dyDescent="0.45">
      <c r="A281" s="13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97"/>
      <c r="S281" s="53" t="s">
        <v>1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75"/>
      <c r="AM281" s="68"/>
      <c r="AN281" s="68"/>
      <c r="AO281" s="68"/>
    </row>
    <row r="282" spans="1:41" x14ac:dyDescent="0.35"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97"/>
      <c r="S282" s="2"/>
      <c r="AL282" s="68"/>
      <c r="AM282" s="68"/>
      <c r="AN282" s="68"/>
      <c r="AO282" s="68"/>
    </row>
    <row r="283" spans="1:41" x14ac:dyDescent="0.35"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97"/>
      <c r="S283" s="3"/>
      <c r="W283" s="4" t="s">
        <v>2</v>
      </c>
      <c r="X283" s="5"/>
      <c r="Y283" s="5"/>
      <c r="Z283" s="5"/>
      <c r="AA283" s="5"/>
      <c r="AB283" s="5"/>
      <c r="AC283" s="6">
        <v>4</v>
      </c>
      <c r="AD283" s="7" t="s">
        <v>3</v>
      </c>
      <c r="AL283" s="75"/>
      <c r="AM283" s="68"/>
      <c r="AN283" s="68"/>
      <c r="AO283" s="68"/>
    </row>
    <row r="284" spans="1:41" x14ac:dyDescent="0.35">
      <c r="B284" s="33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97"/>
      <c r="W284" s="8" t="s">
        <v>4</v>
      </c>
      <c r="X284" s="9"/>
      <c r="Y284" s="9"/>
      <c r="Z284" s="9"/>
      <c r="AA284" s="9"/>
      <c r="AB284" s="9"/>
      <c r="AC284" s="10" t="str">
        <f>INDEX(X287:X290,AC283)</f>
        <v>Royalty</v>
      </c>
      <c r="AD284" s="7" t="s">
        <v>5</v>
      </c>
      <c r="AL284" s="68"/>
      <c r="AM284" s="68"/>
      <c r="AN284" s="68"/>
      <c r="AO284" s="68"/>
    </row>
    <row r="285" spans="1:41" x14ac:dyDescent="0.35">
      <c r="B285" s="33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97"/>
      <c r="AL285" s="68"/>
      <c r="AM285" s="68"/>
      <c r="AN285" s="68"/>
      <c r="AO285" s="68"/>
    </row>
    <row r="286" spans="1:41" x14ac:dyDescent="0.35">
      <c r="B286" s="3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97"/>
      <c r="W286" t="s">
        <v>6</v>
      </c>
      <c r="AL286" s="75"/>
      <c r="AM286" s="68"/>
      <c r="AN286" s="68"/>
      <c r="AO286" s="68"/>
    </row>
    <row r="287" spans="1:41" x14ac:dyDescent="0.35"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97"/>
      <c r="W287">
        <v>1</v>
      </c>
      <c r="X287" s="37" t="s">
        <v>7</v>
      </c>
      <c r="AL287" s="75"/>
      <c r="AM287" s="68"/>
      <c r="AN287" s="68"/>
      <c r="AO287" s="68"/>
    </row>
    <row r="288" spans="1:41" x14ac:dyDescent="0.35"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97"/>
      <c r="W288">
        <v>2</v>
      </c>
      <c r="X288" s="37" t="s">
        <v>8</v>
      </c>
      <c r="AE288" s="11"/>
      <c r="AL288" s="75"/>
      <c r="AM288" s="68"/>
      <c r="AN288" s="68"/>
      <c r="AO288" s="68"/>
    </row>
    <row r="289" spans="1:41" x14ac:dyDescent="0.35"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97"/>
      <c r="W289">
        <v>3</v>
      </c>
      <c r="X289" s="37" t="s">
        <v>9</v>
      </c>
      <c r="AE289" s="11"/>
      <c r="AL289" s="75"/>
      <c r="AM289" s="68"/>
      <c r="AN289" s="68"/>
      <c r="AO289" s="68"/>
    </row>
    <row r="290" spans="1:41" x14ac:dyDescent="0.35">
      <c r="G290" s="12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97"/>
      <c r="W290">
        <v>4</v>
      </c>
      <c r="X290" s="37" t="s">
        <v>10</v>
      </c>
      <c r="AL290" s="68"/>
      <c r="AM290" s="68"/>
      <c r="AN290" s="68"/>
      <c r="AO290" s="68"/>
    </row>
    <row r="291" spans="1:41" ht="13.15" thickBot="1" x14ac:dyDescent="0.4"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97"/>
      <c r="AL291" s="75"/>
      <c r="AM291" s="68"/>
      <c r="AN291" s="68"/>
      <c r="AO291" s="68"/>
    </row>
    <row r="292" spans="1:41" ht="15.4" x14ac:dyDescent="0.45">
      <c r="H292" s="31"/>
      <c r="I292" s="35"/>
      <c r="J292" s="31"/>
      <c r="K292" s="31"/>
      <c r="L292" s="31"/>
      <c r="M292" s="31"/>
      <c r="N292" s="31"/>
      <c r="O292" s="31"/>
      <c r="P292" s="31"/>
      <c r="Q292" s="31"/>
      <c r="R292" s="97"/>
      <c r="S292" s="53" t="s">
        <v>11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75"/>
      <c r="AM292" s="68"/>
      <c r="AN292" s="68"/>
      <c r="AO292" s="68"/>
    </row>
    <row r="293" spans="1:41" x14ac:dyDescent="0.35">
      <c r="R293" s="97"/>
      <c r="AL293" s="68"/>
      <c r="AM293" s="68"/>
      <c r="AN293" s="68"/>
      <c r="AO293" s="68"/>
    </row>
    <row r="294" spans="1:41" ht="15.4" x14ac:dyDescent="0.45">
      <c r="R294" s="97"/>
      <c r="S294" s="49"/>
      <c r="T294" s="49" t="s">
        <v>12</v>
      </c>
      <c r="U294" s="49"/>
      <c r="V294" s="49"/>
      <c r="W294" s="49"/>
      <c r="X294" s="49"/>
      <c r="Y294" s="49"/>
      <c r="Z294" s="55" t="s">
        <v>13</v>
      </c>
      <c r="AA294" s="55" t="s">
        <v>14</v>
      </c>
      <c r="AB294" s="56" t="s">
        <v>15</v>
      </c>
      <c r="AC294" s="55"/>
      <c r="AD294" s="55"/>
      <c r="AE294" s="55"/>
      <c r="AF294" s="55"/>
      <c r="AG294" s="55"/>
      <c r="AH294" s="55"/>
      <c r="AI294" s="55"/>
      <c r="AJ294" s="55"/>
      <c r="AK294" s="55"/>
      <c r="AL294" s="75"/>
      <c r="AM294" s="68"/>
      <c r="AN294" s="68"/>
      <c r="AO294" s="68"/>
    </row>
    <row r="295" spans="1:41" x14ac:dyDescent="0.35">
      <c r="A295" s="13"/>
      <c r="R295" s="97"/>
      <c r="S295" s="2"/>
      <c r="T295" s="4"/>
      <c r="U295" s="5"/>
      <c r="V295" s="5"/>
      <c r="W295" s="5"/>
      <c r="X295" s="5"/>
      <c r="Y295" s="5"/>
      <c r="Z295" s="5"/>
      <c r="AA295" s="5"/>
      <c r="AB295" s="15"/>
      <c r="AC295" s="23"/>
      <c r="AD295" s="3"/>
      <c r="AE295" s="3"/>
      <c r="AF295" s="3"/>
      <c r="AG295" s="3"/>
      <c r="AH295" s="3"/>
      <c r="AI295" s="3"/>
      <c r="AJ295" s="3"/>
      <c r="AK295" s="3"/>
      <c r="AL295" s="68"/>
      <c r="AM295" s="68"/>
      <c r="AN295" s="68"/>
      <c r="AO295" s="68"/>
    </row>
    <row r="296" spans="1:41" x14ac:dyDescent="0.35">
      <c r="A296" s="2"/>
      <c r="R296" s="97"/>
      <c r="S296" s="24" t="s">
        <v>16</v>
      </c>
      <c r="T296" s="16" t="s">
        <v>17</v>
      </c>
      <c r="U296" s="3"/>
      <c r="V296" s="3"/>
      <c r="W296" s="3"/>
      <c r="X296" s="3"/>
      <c r="Y296" s="3"/>
      <c r="Z296" s="17" t="s">
        <v>18</v>
      </c>
      <c r="AA296" s="27">
        <f>$H$1</f>
        <v>0.08</v>
      </c>
      <c r="AB296" s="25" t="s">
        <v>19</v>
      </c>
      <c r="AE296" s="26"/>
      <c r="AF296" s="26"/>
      <c r="AG296" s="26"/>
      <c r="AH296" s="26"/>
      <c r="AI296" s="26"/>
      <c r="AJ296" s="26"/>
      <c r="AK296" s="3"/>
      <c r="AL296" s="68"/>
      <c r="AM296" s="68"/>
      <c r="AN296" s="68"/>
      <c r="AO296" s="68"/>
    </row>
    <row r="297" spans="1:41" x14ac:dyDescent="0.35">
      <c r="B297" s="13"/>
      <c r="H297" s="33"/>
      <c r="I297" s="33"/>
      <c r="J297" s="33"/>
      <c r="R297" s="97"/>
      <c r="S297" s="24" t="s">
        <v>16</v>
      </c>
      <c r="T297" s="16" t="s">
        <v>20</v>
      </c>
      <c r="U297" s="3"/>
      <c r="V297" s="3"/>
      <c r="W297" s="3"/>
      <c r="X297" s="3"/>
      <c r="Y297" s="3"/>
      <c r="Z297" s="17" t="s">
        <v>18</v>
      </c>
      <c r="AA297" s="91">
        <f>$H$2</f>
        <v>0.38</v>
      </c>
      <c r="AB297" s="25" t="s">
        <v>21</v>
      </c>
      <c r="AE297" s="26"/>
      <c r="AF297" s="26"/>
      <c r="AG297" s="26"/>
      <c r="AH297" s="26"/>
      <c r="AI297" s="26"/>
      <c r="AJ297" s="26"/>
      <c r="AK297" s="3"/>
      <c r="AL297" s="68"/>
      <c r="AM297" s="68"/>
      <c r="AN297" s="68"/>
      <c r="AO297" s="68"/>
    </row>
    <row r="298" spans="1:41" x14ac:dyDescent="0.35">
      <c r="A298" s="13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97"/>
      <c r="S298" s="24"/>
      <c r="T298" s="16" t="s">
        <v>22</v>
      </c>
      <c r="U298" s="3"/>
      <c r="V298" s="3"/>
      <c r="W298" s="3"/>
      <c r="X298" s="3"/>
      <c r="Y298" s="3"/>
      <c r="Z298" s="17" t="s">
        <v>18</v>
      </c>
      <c r="AA298" s="91">
        <v>0.6</v>
      </c>
      <c r="AB298" s="25" t="s">
        <v>23</v>
      </c>
      <c r="AE298" s="26"/>
      <c r="AF298" s="26"/>
      <c r="AG298" s="26"/>
      <c r="AH298" s="26"/>
      <c r="AI298" s="26"/>
      <c r="AJ298" s="26"/>
      <c r="AK298" s="3"/>
      <c r="AL298" s="78"/>
      <c r="AM298" s="68"/>
      <c r="AN298" s="68"/>
      <c r="AO298" s="68"/>
    </row>
    <row r="299" spans="1:41" x14ac:dyDescent="0.35">
      <c r="A299" s="13"/>
      <c r="R299" s="97"/>
      <c r="S299" s="24"/>
      <c r="T299" s="16" t="s">
        <v>24</v>
      </c>
      <c r="U299" s="3"/>
      <c r="V299" s="3"/>
      <c r="W299" s="3"/>
      <c r="X299" s="3"/>
      <c r="Y299" s="3"/>
      <c r="Z299" s="17" t="s">
        <v>18</v>
      </c>
      <c r="AA299" s="28">
        <f>$H$3</f>
        <v>0.98</v>
      </c>
      <c r="AB299" s="25" t="s">
        <v>25</v>
      </c>
      <c r="AE299" s="40"/>
      <c r="AF299" s="40"/>
      <c r="AG299" s="40"/>
      <c r="AH299" s="40"/>
      <c r="AI299" s="40"/>
      <c r="AJ299" s="40"/>
      <c r="AK299" s="3"/>
      <c r="AL299" s="75"/>
      <c r="AM299" s="68"/>
      <c r="AN299" s="68"/>
      <c r="AO299" s="68"/>
    </row>
    <row r="300" spans="1:41" x14ac:dyDescent="0.35">
      <c r="G300" s="34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97"/>
      <c r="S300" s="24"/>
      <c r="T300" s="16"/>
      <c r="U300" s="3"/>
      <c r="V300" s="3"/>
      <c r="W300" s="3"/>
      <c r="X300" s="3"/>
      <c r="Y300" s="3"/>
      <c r="Z300" s="17"/>
      <c r="AA300" s="40"/>
      <c r="AB300" s="25"/>
      <c r="AE300" s="40"/>
      <c r="AF300" s="40"/>
      <c r="AG300" s="40"/>
      <c r="AH300" s="40"/>
      <c r="AI300" s="40"/>
      <c r="AJ300" s="40"/>
      <c r="AK300" s="3"/>
      <c r="AL300" s="75"/>
      <c r="AM300" s="68"/>
      <c r="AN300" s="68"/>
      <c r="AO300" s="68"/>
    </row>
    <row r="301" spans="1:41" x14ac:dyDescent="0.35">
      <c r="R301" s="97"/>
      <c r="S301" s="24"/>
      <c r="T301" s="16"/>
      <c r="U301" s="3"/>
      <c r="V301" s="3"/>
      <c r="W301" s="3"/>
      <c r="X301" s="3"/>
      <c r="Y301" s="3"/>
      <c r="Z301" s="17"/>
      <c r="AA301" s="39"/>
      <c r="AB301" s="25"/>
      <c r="AE301" s="39"/>
      <c r="AF301" s="39"/>
      <c r="AG301" s="39"/>
      <c r="AH301" s="39"/>
      <c r="AI301" s="39"/>
      <c r="AJ301" s="39"/>
      <c r="AK301" s="3"/>
      <c r="AL301" s="75"/>
      <c r="AM301" s="68"/>
      <c r="AN301" s="68"/>
      <c r="AO301" s="68"/>
    </row>
    <row r="302" spans="1:41" x14ac:dyDescent="0.35">
      <c r="R302" s="97"/>
      <c r="S302" s="24"/>
      <c r="T302" s="16"/>
      <c r="U302" s="3"/>
      <c r="V302" s="3"/>
      <c r="W302" s="3"/>
      <c r="X302" s="3"/>
      <c r="Y302" s="3"/>
      <c r="Z302" s="17"/>
      <c r="AA302" s="39"/>
      <c r="AB302" s="25"/>
      <c r="AE302" s="39"/>
      <c r="AF302" s="39"/>
      <c r="AG302" s="39"/>
      <c r="AH302" s="39"/>
      <c r="AI302" s="39"/>
      <c r="AJ302" s="39"/>
      <c r="AK302" s="3"/>
      <c r="AL302" s="75"/>
      <c r="AM302" s="68"/>
      <c r="AN302" s="68"/>
      <c r="AO302" s="68"/>
    </row>
    <row r="303" spans="1:41" x14ac:dyDescent="0.35"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97"/>
      <c r="S303" s="24" t="s">
        <v>16</v>
      </c>
      <c r="T303" s="18"/>
      <c r="U303" s="19"/>
      <c r="V303" s="19"/>
      <c r="W303" s="19"/>
      <c r="X303" s="19"/>
      <c r="Y303" s="19"/>
      <c r="Z303" s="19"/>
      <c r="AA303" s="19"/>
      <c r="AB303" s="59"/>
      <c r="AC303" s="23"/>
      <c r="AD303" s="3"/>
      <c r="AE303" s="3"/>
      <c r="AF303" s="3"/>
      <c r="AG303" s="3"/>
      <c r="AH303" s="3"/>
      <c r="AI303" s="3"/>
      <c r="AJ303" s="3"/>
      <c r="AK303" s="3"/>
      <c r="AL303" s="75"/>
      <c r="AM303" s="68"/>
      <c r="AN303" s="68"/>
      <c r="AO303" s="68"/>
    </row>
    <row r="304" spans="1:41" ht="13.15" thickBot="1" x14ac:dyDescent="0.4"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97"/>
      <c r="S304" s="24"/>
      <c r="T304" s="3"/>
      <c r="U304" s="3"/>
      <c r="V304" s="3"/>
      <c r="W304" s="3"/>
      <c r="X304" s="3"/>
      <c r="Y304" s="3"/>
      <c r="Z304" s="3"/>
      <c r="AA304" s="3"/>
      <c r="AC304" s="23"/>
      <c r="AD304" s="3"/>
      <c r="AE304" s="3"/>
      <c r="AF304" s="3"/>
      <c r="AG304" s="3"/>
      <c r="AH304" s="3"/>
      <c r="AI304" s="3"/>
      <c r="AJ304" s="3"/>
      <c r="AK304" s="3"/>
      <c r="AL304" s="75"/>
      <c r="AM304" s="68"/>
      <c r="AN304" s="68"/>
      <c r="AO304" s="68"/>
    </row>
    <row r="305" spans="7:41" ht="15.4" x14ac:dyDescent="0.45"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97"/>
      <c r="S305" s="53" t="s">
        <v>26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75"/>
      <c r="AM305" s="68"/>
      <c r="AN305" s="68"/>
      <c r="AO305" s="68"/>
    </row>
    <row r="306" spans="7:41" ht="15.4" x14ac:dyDescent="0.45">
      <c r="R306" s="97"/>
      <c r="S306" s="54"/>
      <c r="AL306" s="75"/>
      <c r="AM306" s="68"/>
      <c r="AN306" s="68"/>
      <c r="AO306" s="68"/>
    </row>
    <row r="307" spans="7:41" ht="15.4" x14ac:dyDescent="0.45"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97"/>
      <c r="S307" s="49"/>
      <c r="T307" s="49" t="s">
        <v>12</v>
      </c>
      <c r="U307" s="49"/>
      <c r="V307" s="49"/>
      <c r="W307" s="49"/>
      <c r="X307" s="49"/>
      <c r="Y307" s="49"/>
      <c r="Z307" s="55" t="s">
        <v>13</v>
      </c>
      <c r="AA307" s="55" t="s">
        <v>27</v>
      </c>
      <c r="AB307" s="56"/>
      <c r="AC307" s="55" t="s">
        <v>28</v>
      </c>
      <c r="AD307" s="55" t="s">
        <v>15</v>
      </c>
      <c r="AE307" s="55" t="s">
        <v>29</v>
      </c>
      <c r="AF307" s="55" t="s">
        <v>30</v>
      </c>
      <c r="AG307" s="55" t="s">
        <v>31</v>
      </c>
      <c r="AH307" s="9"/>
      <c r="AJ307" s="55"/>
      <c r="AL307" s="75"/>
      <c r="AM307" s="68"/>
      <c r="AN307" s="68"/>
      <c r="AO307" s="68"/>
    </row>
    <row r="308" spans="7:41" x14ac:dyDescent="0.35">
      <c r="R308" s="97"/>
      <c r="S308" s="24" t="s">
        <v>16</v>
      </c>
      <c r="T308" s="60" t="s">
        <v>32</v>
      </c>
      <c r="U308" s="5"/>
      <c r="V308" s="5"/>
      <c r="W308" s="5"/>
      <c r="X308" s="5"/>
      <c r="Y308" s="5"/>
      <c r="Z308" s="5"/>
      <c r="AA308" s="5"/>
      <c r="AB308" s="14"/>
      <c r="AC308" s="21"/>
      <c r="AD308" s="5"/>
      <c r="AE308" s="5"/>
      <c r="AF308" s="5"/>
      <c r="AG308" s="5"/>
      <c r="AH308" s="58"/>
      <c r="AJ308" s="3"/>
      <c r="AL308" s="75"/>
      <c r="AM308" s="68"/>
      <c r="AN308" s="68"/>
      <c r="AO308" s="68"/>
    </row>
    <row r="309" spans="7:41" x14ac:dyDescent="0.35">
      <c r="R309" s="97"/>
      <c r="S309" s="46" t="s">
        <v>16</v>
      </c>
      <c r="T309" s="140" t="s">
        <v>33</v>
      </c>
      <c r="U309" s="95"/>
      <c r="V309" s="95"/>
      <c r="W309" s="3"/>
      <c r="X309" s="3"/>
      <c r="Y309" s="3"/>
      <c r="Z309" s="17" t="s">
        <v>34</v>
      </c>
      <c r="AA309" s="44">
        <v>2</v>
      </c>
      <c r="AB309" s="7"/>
      <c r="AC309" s="41">
        <f>INDEX(AE309:AG309,AA309)</f>
        <v>2.5</v>
      </c>
      <c r="AD309" s="7" t="s">
        <v>35</v>
      </c>
      <c r="AE309" s="62">
        <v>1</v>
      </c>
      <c r="AF309" s="63">
        <v>2.5</v>
      </c>
      <c r="AG309" s="64">
        <v>5.5</v>
      </c>
      <c r="AH309" s="58"/>
      <c r="AJ309" s="42"/>
      <c r="AL309" s="75"/>
      <c r="AM309" s="68"/>
      <c r="AN309" s="68"/>
      <c r="AO309" s="68"/>
    </row>
    <row r="310" spans="7:41" x14ac:dyDescent="0.35"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97"/>
      <c r="S310" s="46" t="s">
        <v>16</v>
      </c>
      <c r="T310" s="43" t="s">
        <v>36</v>
      </c>
      <c r="U310" s="95"/>
      <c r="V310" s="95"/>
      <c r="W310" s="3"/>
      <c r="X310" s="3"/>
      <c r="Y310" s="3"/>
      <c r="Z310" s="17" t="s">
        <v>34</v>
      </c>
      <c r="AA310" s="44">
        <v>2</v>
      </c>
      <c r="AB310" s="7"/>
      <c r="AC310" s="41">
        <f>INDEX(AE310:AG310,AA310)</f>
        <v>1.6</v>
      </c>
      <c r="AD310" s="7" t="s">
        <v>37</v>
      </c>
      <c r="AE310" s="62">
        <v>1.3</v>
      </c>
      <c r="AF310" s="63">
        <v>1.6</v>
      </c>
      <c r="AG310" s="64">
        <v>1.8</v>
      </c>
      <c r="AH310" s="58"/>
      <c r="AJ310" s="3"/>
      <c r="AL310" s="68"/>
      <c r="AM310" s="68"/>
      <c r="AN310" s="68"/>
      <c r="AO310" s="68"/>
    </row>
    <row r="311" spans="7:41" x14ac:dyDescent="0.35"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97"/>
      <c r="S311" s="24" t="s">
        <v>16</v>
      </c>
      <c r="T311" s="140" t="s">
        <v>38</v>
      </c>
      <c r="U311" s="3"/>
      <c r="W311" s="3"/>
      <c r="X311" s="3"/>
      <c r="Y311" s="3"/>
      <c r="Z311" s="17" t="s">
        <v>39</v>
      </c>
      <c r="AA311" s="44">
        <v>2</v>
      </c>
      <c r="AB311" s="7"/>
      <c r="AC311" s="84">
        <f>INDEX(AE311:AG311,AA311)</f>
        <v>7.0000000000000007E-2</v>
      </c>
      <c r="AD311" s="7" t="s">
        <v>40</v>
      </c>
      <c r="AE311" s="81">
        <v>-0.05</v>
      </c>
      <c r="AF311" s="82">
        <v>7.0000000000000007E-2</v>
      </c>
      <c r="AG311" s="83">
        <v>0.09</v>
      </c>
      <c r="AH311" s="58"/>
      <c r="AJ311" s="47"/>
      <c r="AL311" s="68"/>
      <c r="AM311" s="68"/>
      <c r="AN311" s="68"/>
      <c r="AO311" s="68"/>
    </row>
    <row r="312" spans="7:41" x14ac:dyDescent="0.35"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97"/>
      <c r="S312" s="24" t="s">
        <v>16</v>
      </c>
      <c r="T312" s="13" t="s">
        <v>41</v>
      </c>
      <c r="V312" s="3"/>
      <c r="W312" s="3"/>
      <c r="X312" s="3"/>
      <c r="Y312" s="3"/>
      <c r="Z312" s="3"/>
      <c r="AA312" s="132"/>
      <c r="AC312" s="40"/>
      <c r="AD312" s="3"/>
      <c r="AE312" s="26"/>
      <c r="AF312" s="26"/>
      <c r="AG312" s="26"/>
      <c r="AH312" s="58"/>
      <c r="AJ312" s="3"/>
      <c r="AL312" s="68"/>
      <c r="AM312" s="68"/>
      <c r="AN312" s="68"/>
      <c r="AO312" s="68"/>
    </row>
    <row r="313" spans="7:41" x14ac:dyDescent="0.35"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97"/>
      <c r="S313" s="24" t="s">
        <v>16</v>
      </c>
      <c r="T313" s="16" t="s">
        <v>42</v>
      </c>
      <c r="U313" s="3"/>
      <c r="V313" s="3"/>
      <c r="W313" s="3"/>
      <c r="X313" s="3"/>
      <c r="Y313" s="3"/>
      <c r="Z313" s="17" t="s">
        <v>43</v>
      </c>
      <c r="AA313" s="44">
        <v>2</v>
      </c>
      <c r="AC313" s="84">
        <f>INDEX(AE313:AG313,AA313)</f>
        <v>10.75</v>
      </c>
      <c r="AD313" s="7" t="s">
        <v>44</v>
      </c>
      <c r="AE313" s="85">
        <v>9.75</v>
      </c>
      <c r="AF313" s="86">
        <v>10.75</v>
      </c>
      <c r="AG313" s="87">
        <v>11.5</v>
      </c>
      <c r="AH313" s="58"/>
      <c r="AL313" s="68"/>
      <c r="AM313" s="68"/>
      <c r="AN313" s="68"/>
      <c r="AO313" s="68"/>
    </row>
    <row r="314" spans="7:41" x14ac:dyDescent="0.35">
      <c r="R314" s="97"/>
      <c r="S314" s="24" t="s">
        <v>16</v>
      </c>
      <c r="T314" s="16" t="s">
        <v>45</v>
      </c>
      <c r="V314" s="3"/>
      <c r="W314" s="3"/>
      <c r="X314" s="3"/>
      <c r="Y314" s="3"/>
      <c r="Z314" s="17" t="s">
        <v>43</v>
      </c>
      <c r="AA314" s="44">
        <v>2</v>
      </c>
      <c r="AB314" s="7"/>
      <c r="AC314" s="41">
        <f>INDEX(AE314:AG314,AA314)</f>
        <v>9.5</v>
      </c>
      <c r="AD314" s="7" t="s">
        <v>46</v>
      </c>
      <c r="AE314" s="85">
        <v>9.25</v>
      </c>
      <c r="AF314" s="86">
        <v>9.5</v>
      </c>
      <c r="AG314" s="87">
        <v>9.75</v>
      </c>
      <c r="AH314" s="58"/>
      <c r="AL314" s="78"/>
      <c r="AM314" s="68"/>
      <c r="AN314" s="68"/>
      <c r="AO314" s="68"/>
    </row>
    <row r="315" spans="7:41" x14ac:dyDescent="0.35"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97"/>
      <c r="S315" s="24"/>
      <c r="T315" s="16" t="s">
        <v>47</v>
      </c>
      <c r="V315" s="3"/>
      <c r="W315" s="3"/>
      <c r="X315" s="3"/>
      <c r="Y315" s="3"/>
      <c r="Z315" s="17" t="s">
        <v>48</v>
      </c>
      <c r="AA315" s="44">
        <v>2</v>
      </c>
      <c r="AB315" s="7"/>
      <c r="AC315" s="84">
        <f>INDEX(AE315:AG315,AA315)</f>
        <v>14.5</v>
      </c>
      <c r="AD315" s="7" t="s">
        <v>49</v>
      </c>
      <c r="AE315" s="88">
        <v>13</v>
      </c>
      <c r="AF315" s="89">
        <v>14.5</v>
      </c>
      <c r="AG315" s="90">
        <v>17</v>
      </c>
      <c r="AH315" s="58"/>
      <c r="AL315" s="68"/>
      <c r="AM315" s="68"/>
      <c r="AN315" s="68"/>
      <c r="AO315" s="68"/>
    </row>
    <row r="316" spans="7:41" x14ac:dyDescent="0.35"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97"/>
      <c r="T316" s="16"/>
      <c r="AA316" s="66"/>
      <c r="AH316" s="58"/>
      <c r="AL316" s="75"/>
      <c r="AM316" s="68"/>
      <c r="AN316" s="68"/>
      <c r="AO316" s="68"/>
    </row>
    <row r="317" spans="7:41" x14ac:dyDescent="0.35">
      <c r="R317" s="97"/>
      <c r="S317" s="24" t="s">
        <v>16</v>
      </c>
      <c r="T317" s="22"/>
      <c r="U317" s="3"/>
      <c r="V317" s="3"/>
      <c r="W317" s="3"/>
      <c r="X317" s="3"/>
      <c r="Y317" s="3"/>
      <c r="AA317" s="66"/>
      <c r="AH317" s="58"/>
      <c r="AL317" s="68"/>
      <c r="AM317" s="68"/>
      <c r="AN317" s="68"/>
      <c r="AO317" s="68"/>
    </row>
    <row r="318" spans="7:41" x14ac:dyDescent="0.35">
      <c r="G318" s="7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97"/>
      <c r="S318" s="46" t="s">
        <v>16</v>
      </c>
      <c r="T318" s="43"/>
      <c r="U318" s="95"/>
      <c r="V318" s="3"/>
      <c r="W318" s="3"/>
      <c r="X318" s="3"/>
      <c r="Y318" s="3"/>
      <c r="Z318" s="17"/>
      <c r="AA318" s="65"/>
      <c r="AB318" s="7"/>
      <c r="AC318" s="42"/>
      <c r="AD318" s="7"/>
      <c r="AE318" s="42"/>
      <c r="AF318" s="42"/>
      <c r="AG318" s="42"/>
      <c r="AH318" s="58"/>
      <c r="AL318" s="68"/>
      <c r="AM318" s="68"/>
      <c r="AN318" s="68"/>
      <c r="AO318" s="68"/>
    </row>
    <row r="319" spans="7:41" x14ac:dyDescent="0.35">
      <c r="R319" s="97"/>
      <c r="S319" s="2"/>
      <c r="T319" s="29"/>
      <c r="U319" s="19"/>
      <c r="V319" s="19"/>
      <c r="W319" s="19"/>
      <c r="X319" s="19"/>
      <c r="Y319" s="19"/>
      <c r="Z319" s="20"/>
      <c r="AA319" s="20"/>
      <c r="AB319" s="9"/>
      <c r="AC319" s="30"/>
      <c r="AD319" s="61"/>
      <c r="AE319" s="30"/>
      <c r="AF319" s="30"/>
      <c r="AG319" s="30"/>
      <c r="AH319" s="59"/>
      <c r="AJ319" s="42"/>
      <c r="AL319" s="75"/>
      <c r="AM319" s="68"/>
      <c r="AN319" s="68"/>
      <c r="AO319" s="68"/>
    </row>
    <row r="320" spans="7:41" ht="13.15" thickBot="1" x14ac:dyDescent="0.4">
      <c r="R320" s="97"/>
      <c r="AL320" s="75"/>
      <c r="AM320" s="68"/>
      <c r="AN320" s="68"/>
      <c r="AO320" s="68"/>
    </row>
    <row r="321" spans="1:41" ht="15.4" x14ac:dyDescent="0.45">
      <c r="B321" s="13"/>
      <c r="H321" s="33"/>
      <c r="I321" s="33"/>
      <c r="R321" s="97"/>
      <c r="S321" s="53" t="s">
        <v>50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75"/>
      <c r="AM321" s="68"/>
      <c r="AN321" s="68"/>
      <c r="AO321" s="68"/>
    </row>
    <row r="322" spans="1:41" ht="15.4" x14ac:dyDescent="0.45">
      <c r="A322" s="13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97"/>
      <c r="S322" s="54"/>
      <c r="AL322" s="68"/>
      <c r="AM322" s="68"/>
      <c r="AN322" s="68"/>
      <c r="AO322" s="68"/>
    </row>
    <row r="323" spans="1:41" ht="15.4" x14ac:dyDescent="0.45"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97"/>
      <c r="S323" s="54" t="str">
        <f>ggff</f>
        <v>Royalty</v>
      </c>
      <c r="AL323" s="75"/>
      <c r="AM323" s="68"/>
      <c r="AN323" s="68"/>
      <c r="AO323" s="68"/>
    </row>
    <row r="324" spans="1:41" x14ac:dyDescent="0.35"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97"/>
      <c r="S324" s="13"/>
      <c r="AL324" s="68"/>
      <c r="AM324" s="68"/>
      <c r="AN324" s="68"/>
      <c r="AO324" s="68"/>
    </row>
    <row r="325" spans="1:41" ht="15" x14ac:dyDescent="0.4">
      <c r="B325" s="33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97"/>
      <c r="S325" s="51" t="s">
        <v>51</v>
      </c>
      <c r="T325" s="48"/>
      <c r="U325" s="48"/>
      <c r="Y325" s="7"/>
      <c r="Z325" s="52">
        <v>2026</v>
      </c>
      <c r="AA325" s="52">
        <f t="shared" ref="AA325:AI325" si="107">Z325+1</f>
        <v>2027</v>
      </c>
      <c r="AB325" s="52">
        <f t="shared" si="107"/>
        <v>2028</v>
      </c>
      <c r="AC325" s="52">
        <f t="shared" si="107"/>
        <v>2029</v>
      </c>
      <c r="AD325" s="52">
        <f t="shared" si="107"/>
        <v>2030</v>
      </c>
      <c r="AE325" s="52">
        <f t="shared" si="107"/>
        <v>2031</v>
      </c>
      <c r="AF325" s="52">
        <f t="shared" si="107"/>
        <v>2032</v>
      </c>
      <c r="AG325" s="52">
        <f t="shared" si="107"/>
        <v>2033</v>
      </c>
      <c r="AH325" s="52">
        <f t="shared" si="107"/>
        <v>2034</v>
      </c>
      <c r="AI325" s="52">
        <f t="shared" si="107"/>
        <v>2035</v>
      </c>
      <c r="AL325" s="68"/>
      <c r="AM325" s="68"/>
      <c r="AN325" s="68"/>
      <c r="AO325" s="68"/>
    </row>
    <row r="326" spans="1:41" ht="15" x14ac:dyDescent="0.4">
      <c r="B326" s="33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97"/>
      <c r="S326" s="51" t="s">
        <v>52</v>
      </c>
      <c r="T326" s="48"/>
      <c r="U326" s="48"/>
      <c r="Y326" s="7"/>
      <c r="Z326" s="52">
        <f t="shared" ref="Z326:AI326" si="108">Z325-$Z$325</f>
        <v>0</v>
      </c>
      <c r="AA326" s="52">
        <f t="shared" si="108"/>
        <v>1</v>
      </c>
      <c r="AB326" s="52">
        <f t="shared" si="108"/>
        <v>2</v>
      </c>
      <c r="AC326" s="52">
        <f t="shared" si="108"/>
        <v>3</v>
      </c>
      <c r="AD326" s="52">
        <f t="shared" si="108"/>
        <v>4</v>
      </c>
      <c r="AE326" s="52">
        <f t="shared" si="108"/>
        <v>5</v>
      </c>
      <c r="AF326" s="52">
        <f t="shared" si="108"/>
        <v>6</v>
      </c>
      <c r="AG326" s="52">
        <f t="shared" si="108"/>
        <v>7</v>
      </c>
      <c r="AH326" s="52">
        <f t="shared" si="108"/>
        <v>8</v>
      </c>
      <c r="AI326" s="52">
        <f t="shared" si="108"/>
        <v>9</v>
      </c>
      <c r="AL326" s="75"/>
      <c r="AM326" s="68"/>
      <c r="AN326" s="68"/>
      <c r="AO326" s="68"/>
    </row>
    <row r="327" spans="1:41" ht="15.4" x14ac:dyDescent="0.45">
      <c r="B327" s="33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97"/>
      <c r="S327" s="49"/>
      <c r="T327" s="48"/>
      <c r="U327" s="48"/>
      <c r="Y327" s="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8"/>
      <c r="AK327" s="68"/>
      <c r="AL327" s="75"/>
      <c r="AM327" s="68"/>
      <c r="AN327" s="68"/>
      <c r="AO327" s="68"/>
    </row>
    <row r="328" spans="1:41" ht="15.4" x14ac:dyDescent="0.45"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97"/>
      <c r="S328" s="49" t="s">
        <v>53</v>
      </c>
      <c r="T328" s="50"/>
      <c r="U328" s="50"/>
      <c r="V328" s="3"/>
      <c r="W328" s="3"/>
      <c r="X328" s="3"/>
      <c r="Y328" s="3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8"/>
      <c r="AK328" s="68"/>
      <c r="AL328" s="75"/>
      <c r="AM328" s="68"/>
      <c r="AN328" s="68"/>
      <c r="AO328" s="68"/>
    </row>
    <row r="329" spans="1:41" ht="15" x14ac:dyDescent="0.4"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97"/>
      <c r="S329" s="48"/>
      <c r="T329" s="48" t="s">
        <v>54</v>
      </c>
      <c r="U329" s="48"/>
      <c r="Y329" s="11" t="s">
        <v>55</v>
      </c>
      <c r="Z329" s="70">
        <f>IF(pp&lt;3,jj,0)</f>
        <v>0</v>
      </c>
      <c r="AA329" s="70">
        <f t="shared" ref="AA329:AI329" si="109">Z329*(1+$AC$311)</f>
        <v>0</v>
      </c>
      <c r="AB329" s="70">
        <f t="shared" si="109"/>
        <v>0</v>
      </c>
      <c r="AC329" s="70">
        <f t="shared" si="109"/>
        <v>0</v>
      </c>
      <c r="AD329" s="70">
        <f t="shared" si="109"/>
        <v>0</v>
      </c>
      <c r="AE329" s="70">
        <f t="shared" si="109"/>
        <v>0</v>
      </c>
      <c r="AF329" s="70">
        <f t="shared" si="109"/>
        <v>0</v>
      </c>
      <c r="AG329" s="70">
        <f t="shared" si="109"/>
        <v>0</v>
      </c>
      <c r="AH329" s="70">
        <f t="shared" si="109"/>
        <v>0</v>
      </c>
      <c r="AI329" s="70">
        <f t="shared" si="109"/>
        <v>0</v>
      </c>
      <c r="AJ329" s="68"/>
      <c r="AK329" s="68"/>
      <c r="AL329" s="75"/>
      <c r="AM329" s="68"/>
      <c r="AN329" s="68"/>
      <c r="AO329" s="68"/>
    </row>
    <row r="330" spans="1:41" ht="15" x14ac:dyDescent="0.4"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97"/>
      <c r="S330" s="48"/>
      <c r="T330" s="48" t="s">
        <v>56</v>
      </c>
      <c r="U330" s="48"/>
      <c r="Y330" s="11" t="s">
        <v>55</v>
      </c>
      <c r="Z330" s="70">
        <f>IF(pp&gt;2,jj*AC310,0)</f>
        <v>4</v>
      </c>
      <c r="AA330" s="70">
        <f t="shared" ref="AA330:AI330" si="110">Z330*(1+$AC$311)</f>
        <v>4.28</v>
      </c>
      <c r="AB330" s="70">
        <f t="shared" si="110"/>
        <v>4.5796000000000001</v>
      </c>
      <c r="AC330" s="70">
        <f t="shared" si="110"/>
        <v>4.9001720000000004</v>
      </c>
      <c r="AD330" s="70">
        <f t="shared" si="110"/>
        <v>5.2431840400000009</v>
      </c>
      <c r="AE330" s="70">
        <f t="shared" si="110"/>
        <v>5.6102069228000015</v>
      </c>
      <c r="AF330" s="70">
        <f t="shared" si="110"/>
        <v>6.002921407396002</v>
      </c>
      <c r="AG330" s="70">
        <f t="shared" si="110"/>
        <v>6.4231259059137225</v>
      </c>
      <c r="AH330" s="70">
        <f t="shared" si="110"/>
        <v>6.8727447193276836</v>
      </c>
      <c r="AI330" s="70">
        <f t="shared" si="110"/>
        <v>7.3538368496806221</v>
      </c>
      <c r="AJ330" s="68"/>
      <c r="AK330" s="68"/>
      <c r="AL330" s="68"/>
      <c r="AM330" s="68"/>
      <c r="AN330" s="68"/>
      <c r="AO330" s="68"/>
    </row>
    <row r="331" spans="1:41" ht="15" x14ac:dyDescent="0.4">
      <c r="G331" s="12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97"/>
      <c r="S331" s="48"/>
      <c r="T331" s="48" t="s">
        <v>57</v>
      </c>
      <c r="U331" s="48"/>
      <c r="Y331" s="11" t="s">
        <v>55</v>
      </c>
      <c r="Z331" s="71">
        <f>IF(pp=1,2.5,IF(OR(pp=2,pp=3),8.5,IF(pp=4,0,"error")))</f>
        <v>0</v>
      </c>
      <c r="AA331" s="71">
        <f t="shared" ref="AA331:AI331" si="111">$Z$331</f>
        <v>0</v>
      </c>
      <c r="AB331" s="71">
        <f t="shared" si="111"/>
        <v>0</v>
      </c>
      <c r="AC331" s="71">
        <f t="shared" si="111"/>
        <v>0</v>
      </c>
      <c r="AD331" s="71">
        <f t="shared" si="111"/>
        <v>0</v>
      </c>
      <c r="AE331" s="71">
        <f t="shared" si="111"/>
        <v>0</v>
      </c>
      <c r="AF331" s="71">
        <f t="shared" si="111"/>
        <v>0</v>
      </c>
      <c r="AG331" s="71">
        <f t="shared" si="111"/>
        <v>0</v>
      </c>
      <c r="AH331" s="71">
        <f t="shared" si="111"/>
        <v>0</v>
      </c>
      <c r="AI331" s="71">
        <f t="shared" si="111"/>
        <v>0</v>
      </c>
      <c r="AJ331" s="68"/>
      <c r="AK331" s="68"/>
      <c r="AL331" s="75"/>
      <c r="AM331" s="68"/>
      <c r="AN331" s="68"/>
      <c r="AO331" s="68"/>
    </row>
    <row r="332" spans="1:41" ht="15" x14ac:dyDescent="0.4"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97"/>
      <c r="S332" s="48"/>
      <c r="T332" s="48" t="s">
        <v>53</v>
      </c>
      <c r="U332" s="48"/>
      <c r="Y332" s="11" t="s">
        <v>55</v>
      </c>
      <c r="Z332" s="70">
        <f t="shared" ref="Z332:AI332" si="112">MIN(IF(pp&lt;=2,Z329,Z330),IF(pp=4,Z330,Z331))</f>
        <v>4</v>
      </c>
      <c r="AA332" s="70">
        <f t="shared" si="112"/>
        <v>4.28</v>
      </c>
      <c r="AB332" s="70">
        <f t="shared" si="112"/>
        <v>4.5796000000000001</v>
      </c>
      <c r="AC332" s="70">
        <f t="shared" si="112"/>
        <v>4.9001720000000004</v>
      </c>
      <c r="AD332" s="70">
        <f t="shared" si="112"/>
        <v>5.2431840400000009</v>
      </c>
      <c r="AE332" s="70">
        <f t="shared" si="112"/>
        <v>5.6102069228000015</v>
      </c>
      <c r="AF332" s="70">
        <f t="shared" si="112"/>
        <v>6.002921407396002</v>
      </c>
      <c r="AG332" s="70">
        <f t="shared" si="112"/>
        <v>6.4231259059137225</v>
      </c>
      <c r="AH332" s="70">
        <f t="shared" si="112"/>
        <v>6.8727447193276836</v>
      </c>
      <c r="AI332" s="70">
        <f t="shared" si="112"/>
        <v>7.3538368496806221</v>
      </c>
      <c r="AJ332" s="68"/>
      <c r="AK332" s="68"/>
      <c r="AL332" s="75"/>
      <c r="AM332" s="68"/>
      <c r="AN332" s="68"/>
      <c r="AO332" s="68"/>
    </row>
    <row r="333" spans="1:41" ht="15" x14ac:dyDescent="0.4">
      <c r="H333" s="31"/>
      <c r="I333" s="35"/>
      <c r="J333" s="31"/>
      <c r="K333" s="31"/>
      <c r="L333" s="31"/>
      <c r="M333" s="31"/>
      <c r="N333" s="31"/>
      <c r="O333" s="31"/>
      <c r="P333" s="31"/>
      <c r="Q333" s="31"/>
      <c r="R333" s="97"/>
      <c r="S333" s="48"/>
      <c r="T333" s="48"/>
      <c r="U333" s="48"/>
      <c r="Y333" s="11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68"/>
      <c r="AK333" s="68"/>
      <c r="AL333" s="68"/>
      <c r="AM333" s="68"/>
      <c r="AN333" s="68"/>
      <c r="AO333" s="68"/>
    </row>
    <row r="334" spans="1:41" ht="15.4" x14ac:dyDescent="0.45">
      <c r="R334" s="97"/>
      <c r="S334" s="49" t="s">
        <v>58</v>
      </c>
      <c r="T334" s="48"/>
      <c r="U334" s="48"/>
      <c r="Y334" s="80" t="s">
        <v>59</v>
      </c>
      <c r="Z334" s="72">
        <f t="shared" ref="Z334:AI334" si="113">Z332*$AC$313</f>
        <v>43</v>
      </c>
      <c r="AA334" s="72">
        <f t="shared" si="113"/>
        <v>46.010000000000005</v>
      </c>
      <c r="AB334" s="72">
        <f t="shared" si="113"/>
        <v>49.230699999999999</v>
      </c>
      <c r="AC334" s="72">
        <f t="shared" si="113"/>
        <v>52.676849000000004</v>
      </c>
      <c r="AD334" s="72">
        <f t="shared" si="113"/>
        <v>56.364228430000011</v>
      </c>
      <c r="AE334" s="72">
        <f t="shared" si="113"/>
        <v>60.309724420100018</v>
      </c>
      <c r="AF334" s="72">
        <f t="shared" si="113"/>
        <v>64.531405129507021</v>
      </c>
      <c r="AG334" s="72">
        <f t="shared" si="113"/>
        <v>69.04860348857251</v>
      </c>
      <c r="AH334" s="72">
        <f t="shared" si="113"/>
        <v>73.882005732772598</v>
      </c>
      <c r="AI334" s="72">
        <f t="shared" si="113"/>
        <v>79.053746134066685</v>
      </c>
      <c r="AJ334" s="68"/>
      <c r="AK334" s="68"/>
      <c r="AL334" s="75"/>
      <c r="AM334" s="68"/>
      <c r="AN334" s="68"/>
      <c r="AO334" s="68"/>
    </row>
    <row r="335" spans="1:41" ht="15.4" x14ac:dyDescent="0.45">
      <c r="H335" s="36"/>
      <c r="R335" s="97"/>
      <c r="S335" s="50"/>
      <c r="T335" s="48"/>
      <c r="U335" s="48"/>
      <c r="Y335" s="80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68"/>
      <c r="AK335" s="68"/>
      <c r="AL335" s="68"/>
      <c r="AM335" s="68"/>
      <c r="AN335" s="68"/>
      <c r="AO335" s="68"/>
    </row>
    <row r="336" spans="1:41" ht="15.4" x14ac:dyDescent="0.45">
      <c r="R336" s="97"/>
      <c r="S336" s="49" t="s">
        <v>60</v>
      </c>
      <c r="T336" s="48"/>
      <c r="U336" s="48"/>
      <c r="Y336" s="80" t="s">
        <v>59</v>
      </c>
      <c r="Z336" s="72">
        <f t="shared" ref="Z336:AI336" si="114">IF(pp=4,0,Z332*$AC$314)</f>
        <v>0</v>
      </c>
      <c r="AA336" s="72">
        <f t="shared" si="114"/>
        <v>0</v>
      </c>
      <c r="AB336" s="72">
        <f t="shared" si="114"/>
        <v>0</v>
      </c>
      <c r="AC336" s="72">
        <f t="shared" si="114"/>
        <v>0</v>
      </c>
      <c r="AD336" s="72">
        <f t="shared" si="114"/>
        <v>0</v>
      </c>
      <c r="AE336" s="72">
        <f t="shared" si="114"/>
        <v>0</v>
      </c>
      <c r="AF336" s="72">
        <f t="shared" si="114"/>
        <v>0</v>
      </c>
      <c r="AG336" s="72">
        <f t="shared" si="114"/>
        <v>0</v>
      </c>
      <c r="AH336" s="72">
        <f t="shared" si="114"/>
        <v>0</v>
      </c>
      <c r="AI336" s="72">
        <f t="shared" si="114"/>
        <v>0</v>
      </c>
      <c r="AJ336" s="68"/>
      <c r="AK336" s="68"/>
    </row>
    <row r="337" spans="18:48" ht="15.4" x14ac:dyDescent="0.45">
      <c r="R337" s="97"/>
      <c r="S337" s="50"/>
      <c r="T337" s="48"/>
      <c r="U337" s="48"/>
      <c r="Y337" s="80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68"/>
      <c r="AK337" s="68"/>
    </row>
    <row r="338" spans="18:48" ht="15" x14ac:dyDescent="0.4">
      <c r="R338" s="97"/>
      <c r="S338" s="51" t="s">
        <v>61</v>
      </c>
      <c r="T338" s="48"/>
      <c r="U338" s="48"/>
      <c r="Y338" s="80" t="s">
        <v>59</v>
      </c>
      <c r="Z338" s="72">
        <f>IF(pp=2,$AC$315,0)</f>
        <v>0</v>
      </c>
      <c r="AA338" s="72">
        <v>0</v>
      </c>
      <c r="AB338" s="72">
        <v>0</v>
      </c>
      <c r="AC338" s="72">
        <v>0</v>
      </c>
      <c r="AD338" s="72">
        <v>0</v>
      </c>
      <c r="AE338" s="72">
        <v>0</v>
      </c>
      <c r="AF338" s="72">
        <v>0</v>
      </c>
      <c r="AG338" s="72">
        <v>0</v>
      </c>
      <c r="AH338" s="72">
        <v>0</v>
      </c>
      <c r="AI338" s="72">
        <v>0</v>
      </c>
      <c r="AJ338" s="68"/>
      <c r="AK338" s="68"/>
      <c r="AL338" s="32"/>
    </row>
    <row r="339" spans="18:48" ht="15" x14ac:dyDescent="0.4">
      <c r="R339" s="97"/>
      <c r="S339" s="48"/>
      <c r="T339" s="48"/>
      <c r="U339" s="48"/>
      <c r="Y339" s="80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68"/>
      <c r="AK339" s="68"/>
      <c r="AL339" s="31"/>
    </row>
    <row r="340" spans="18:48" ht="15" x14ac:dyDescent="0.4">
      <c r="R340" s="97"/>
      <c r="S340" s="51" t="s">
        <v>62</v>
      </c>
      <c r="T340" s="48"/>
      <c r="U340" s="48"/>
      <c r="Y340" s="80" t="s">
        <v>59</v>
      </c>
      <c r="Z340" s="72">
        <f t="shared" ref="Z340:AI340" si="115">IF(pp=3,$AA$298*(Z334-Z336),0)</f>
        <v>0</v>
      </c>
      <c r="AA340" s="72">
        <f t="shared" si="115"/>
        <v>0</v>
      </c>
      <c r="AB340" s="72">
        <f t="shared" si="115"/>
        <v>0</v>
      </c>
      <c r="AC340" s="72">
        <f t="shared" si="115"/>
        <v>0</v>
      </c>
      <c r="AD340" s="72">
        <f t="shared" si="115"/>
        <v>0</v>
      </c>
      <c r="AE340" s="72">
        <f t="shared" si="115"/>
        <v>0</v>
      </c>
      <c r="AF340" s="72">
        <f t="shared" si="115"/>
        <v>0</v>
      </c>
      <c r="AG340" s="72">
        <f t="shared" si="115"/>
        <v>0</v>
      </c>
      <c r="AH340" s="72">
        <f t="shared" si="115"/>
        <v>0</v>
      </c>
      <c r="AI340" s="72">
        <f t="shared" si="115"/>
        <v>0</v>
      </c>
      <c r="AJ340" s="68"/>
      <c r="AK340" s="68"/>
      <c r="AL340" s="31"/>
    </row>
    <row r="341" spans="18:48" ht="15" x14ac:dyDescent="0.4">
      <c r="R341" s="97"/>
      <c r="S341" s="51" t="s">
        <v>63</v>
      </c>
      <c r="T341" s="48"/>
      <c r="U341" s="48"/>
      <c r="Y341" s="80" t="s">
        <v>59</v>
      </c>
      <c r="Z341" s="72">
        <f t="shared" ref="Z341:AI341" si="116">$AA$299*(Z334)</f>
        <v>42.14</v>
      </c>
      <c r="AA341" s="72">
        <f t="shared" si="116"/>
        <v>45.089800000000004</v>
      </c>
      <c r="AB341" s="72">
        <f t="shared" si="116"/>
        <v>48.246085999999998</v>
      </c>
      <c r="AC341" s="72">
        <f t="shared" si="116"/>
        <v>51.62331202</v>
      </c>
      <c r="AD341" s="72">
        <f t="shared" si="116"/>
        <v>55.236943861400007</v>
      </c>
      <c r="AE341" s="72">
        <f t="shared" si="116"/>
        <v>59.10352993169802</v>
      </c>
      <c r="AF341" s="72">
        <f t="shared" si="116"/>
        <v>63.240777026916881</v>
      </c>
      <c r="AG341" s="72">
        <f t="shared" si="116"/>
        <v>67.667631418801065</v>
      </c>
      <c r="AH341" s="72">
        <f t="shared" si="116"/>
        <v>72.40436561811714</v>
      </c>
      <c r="AI341" s="72">
        <f t="shared" si="116"/>
        <v>77.472671211385347</v>
      </c>
      <c r="AJ341" s="68"/>
      <c r="AK341" s="68"/>
      <c r="AL341" s="31"/>
    </row>
    <row r="342" spans="18:48" ht="15" x14ac:dyDescent="0.4">
      <c r="R342" s="97"/>
      <c r="S342" s="48"/>
      <c r="T342" s="48"/>
      <c r="U342" s="48"/>
      <c r="Y342" s="80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68"/>
      <c r="AK342" s="68"/>
      <c r="AL342" s="31"/>
    </row>
    <row r="343" spans="18:48" ht="15" x14ac:dyDescent="0.4">
      <c r="R343" s="97"/>
      <c r="S343" s="51" t="s">
        <v>64</v>
      </c>
      <c r="T343" s="48"/>
      <c r="U343" s="48"/>
      <c r="Y343" s="80" t="s">
        <v>59</v>
      </c>
      <c r="Z343" s="72">
        <f t="shared" ref="Z343:AI343" si="117">IF(pp=1,Z334-Z336,IF(pp=2,Z334-Z336-Z338,IF(pp=3,Z334-Z336-Z340,IF(pp=4,Z334-Z336-Z341,"error"))))</f>
        <v>0.85999999999999943</v>
      </c>
      <c r="AA343" s="72">
        <f t="shared" si="117"/>
        <v>0.92020000000000124</v>
      </c>
      <c r="AB343" s="72">
        <f t="shared" si="117"/>
        <v>0.98461400000000054</v>
      </c>
      <c r="AC343" s="72">
        <f t="shared" si="117"/>
        <v>1.0535369800000041</v>
      </c>
      <c r="AD343" s="72">
        <f t="shared" si="117"/>
        <v>1.1272845686000039</v>
      </c>
      <c r="AE343" s="72">
        <f t="shared" si="117"/>
        <v>1.2061944884019979</v>
      </c>
      <c r="AF343" s="72">
        <f t="shared" si="117"/>
        <v>1.2906281025901407</v>
      </c>
      <c r="AG343" s="72">
        <f t="shared" si="117"/>
        <v>1.3809720697714454</v>
      </c>
      <c r="AH343" s="72">
        <f t="shared" si="117"/>
        <v>1.4776401146554576</v>
      </c>
      <c r="AI343" s="72">
        <f t="shared" si="117"/>
        <v>1.5810749226813385</v>
      </c>
      <c r="AJ343" s="68"/>
      <c r="AK343" s="68"/>
      <c r="AL343" s="31"/>
    </row>
    <row r="344" spans="18:48" ht="15" x14ac:dyDescent="0.4">
      <c r="R344" s="97"/>
      <c r="S344" s="48"/>
      <c r="T344" s="48"/>
      <c r="U344" s="48"/>
      <c r="Y344" s="80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68"/>
      <c r="AK344" s="68"/>
      <c r="AL344" s="31"/>
    </row>
    <row r="345" spans="18:48" ht="15" x14ac:dyDescent="0.4">
      <c r="R345" s="97"/>
      <c r="S345" s="51" t="s">
        <v>65</v>
      </c>
      <c r="T345" s="48"/>
      <c r="U345" s="48"/>
      <c r="Y345" s="80" t="s">
        <v>59</v>
      </c>
      <c r="Z345" s="72">
        <f t="shared" ref="Z345:AI345" si="118">y*Z343</f>
        <v>0.32679999999999981</v>
      </c>
      <c r="AA345" s="72">
        <f t="shared" si="118"/>
        <v>0.34967600000000049</v>
      </c>
      <c r="AB345" s="72">
        <f t="shared" si="118"/>
        <v>0.37415332000000023</v>
      </c>
      <c r="AC345" s="72">
        <f t="shared" si="118"/>
        <v>0.40034405240000154</v>
      </c>
      <c r="AD345" s="72">
        <f t="shared" si="118"/>
        <v>0.4283681360680015</v>
      </c>
      <c r="AE345" s="72">
        <f t="shared" si="118"/>
        <v>0.45835390559275924</v>
      </c>
      <c r="AF345" s="72">
        <f t="shared" si="118"/>
        <v>0.49043867898425347</v>
      </c>
      <c r="AG345" s="72">
        <f t="shared" si="118"/>
        <v>0.52476938651314919</v>
      </c>
      <c r="AH345" s="72">
        <f t="shared" si="118"/>
        <v>0.56150324356907388</v>
      </c>
      <c r="AI345" s="72">
        <f t="shared" si="118"/>
        <v>0.60080847061890863</v>
      </c>
      <c r="AJ345" s="68"/>
      <c r="AK345" s="68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</row>
    <row r="346" spans="18:48" ht="15" x14ac:dyDescent="0.4">
      <c r="R346" s="97"/>
      <c r="S346" s="51" t="s">
        <v>66</v>
      </c>
      <c r="T346" s="48"/>
      <c r="U346" s="48"/>
      <c r="Y346" s="80" t="s">
        <v>59</v>
      </c>
      <c r="Z346" s="72">
        <f>IF(Z345&lt;0,ABS(Z345),0)</f>
        <v>0</v>
      </c>
      <c r="AA346" s="72">
        <f t="shared" ref="AA346:AI346" si="119">IF((AA345-Z346)&lt;0,ABS(Z346-AA345),0)</f>
        <v>0</v>
      </c>
      <c r="AB346" s="72">
        <f t="shared" si="119"/>
        <v>0</v>
      </c>
      <c r="AC346" s="72">
        <f t="shared" si="119"/>
        <v>0</v>
      </c>
      <c r="AD346" s="72">
        <f t="shared" si="119"/>
        <v>0</v>
      </c>
      <c r="AE346" s="72">
        <f t="shared" si="119"/>
        <v>0</v>
      </c>
      <c r="AF346" s="72">
        <f t="shared" si="119"/>
        <v>0</v>
      </c>
      <c r="AG346" s="72">
        <f t="shared" si="119"/>
        <v>0</v>
      </c>
      <c r="AH346" s="72">
        <f t="shared" si="119"/>
        <v>0</v>
      </c>
      <c r="AI346" s="72">
        <f t="shared" si="119"/>
        <v>0</v>
      </c>
      <c r="AJ346" s="68"/>
      <c r="AK346" s="68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</row>
    <row r="347" spans="18:48" ht="15" x14ac:dyDescent="0.4">
      <c r="R347" s="97"/>
      <c r="S347" s="51" t="s">
        <v>67</v>
      </c>
      <c r="T347" s="48"/>
      <c r="U347" s="48"/>
      <c r="Y347" s="80" t="s">
        <v>59</v>
      </c>
      <c r="Z347" s="72">
        <f>IF(Z345&lt;0,0,Z345)</f>
        <v>0.32679999999999981</v>
      </c>
      <c r="AA347" s="72">
        <f t="shared" ref="AA347:AI347" si="120">IF(AA345&lt;0,0,IF((AA345-Z346)&lt;0,0,(AA345-Z346)))</f>
        <v>0.34967600000000049</v>
      </c>
      <c r="AB347" s="72">
        <f t="shared" si="120"/>
        <v>0.37415332000000023</v>
      </c>
      <c r="AC347" s="72">
        <f t="shared" si="120"/>
        <v>0.40034405240000154</v>
      </c>
      <c r="AD347" s="72">
        <f t="shared" si="120"/>
        <v>0.4283681360680015</v>
      </c>
      <c r="AE347" s="72">
        <f t="shared" si="120"/>
        <v>0.45835390559275924</v>
      </c>
      <c r="AF347" s="72">
        <f t="shared" si="120"/>
        <v>0.49043867898425347</v>
      </c>
      <c r="AG347" s="72">
        <f t="shared" si="120"/>
        <v>0.52476938651314919</v>
      </c>
      <c r="AH347" s="72">
        <f t="shared" si="120"/>
        <v>0.56150324356907388</v>
      </c>
      <c r="AI347" s="72">
        <f t="shared" si="120"/>
        <v>0.60080847061890863</v>
      </c>
      <c r="AJ347" s="68"/>
      <c r="AK347" s="68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</row>
    <row r="348" spans="18:48" ht="15" x14ac:dyDescent="0.4">
      <c r="R348" s="97"/>
      <c r="S348" s="48"/>
      <c r="T348" s="48"/>
      <c r="U348" s="48"/>
      <c r="Y348" s="80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3"/>
      <c r="AK348" s="73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</row>
    <row r="349" spans="18:48" ht="15" x14ac:dyDescent="0.4">
      <c r="R349" s="97"/>
      <c r="S349" s="51" t="s">
        <v>68</v>
      </c>
      <c r="Y349" s="80" t="s">
        <v>69</v>
      </c>
      <c r="Z349" s="74">
        <f t="shared" ref="Z349:AI349" si="121">Z343-Z347</f>
        <v>0.53319999999999967</v>
      </c>
      <c r="AA349" s="74">
        <f t="shared" si="121"/>
        <v>0.5705240000000007</v>
      </c>
      <c r="AB349" s="74">
        <f t="shared" si="121"/>
        <v>0.61046068000000031</v>
      </c>
      <c r="AC349" s="74">
        <f t="shared" si="121"/>
        <v>0.65319292760000258</v>
      </c>
      <c r="AD349" s="74">
        <f t="shared" si="121"/>
        <v>0.69891643253200242</v>
      </c>
      <c r="AE349" s="74">
        <f t="shared" si="121"/>
        <v>0.74784058280923871</v>
      </c>
      <c r="AF349" s="74">
        <f t="shared" si="121"/>
        <v>0.8001894236058873</v>
      </c>
      <c r="AG349" s="74">
        <f t="shared" si="121"/>
        <v>0.85620268325829618</v>
      </c>
      <c r="AH349" s="74">
        <f t="shared" si="121"/>
        <v>0.91613687108638375</v>
      </c>
      <c r="AI349" s="74">
        <f t="shared" si="121"/>
        <v>0.9802664520624299</v>
      </c>
      <c r="AJ349" s="75"/>
      <c r="AK349" s="75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</row>
    <row r="350" spans="18:48" x14ac:dyDescent="0.35">
      <c r="R350" s="97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</row>
    <row r="351" spans="18:48" ht="15" x14ac:dyDescent="0.4">
      <c r="R351" s="97"/>
      <c r="S351" s="51" t="s">
        <v>70</v>
      </c>
      <c r="T351" s="48"/>
      <c r="U351" s="48"/>
      <c r="Y351" s="80" t="s">
        <v>71</v>
      </c>
      <c r="Z351" s="93">
        <f>Z349+NPV(p,AA349,AB349,AC349,AD349,AE349,AF349,AG349,AH349,AI349)</f>
        <v>5.115231023110173</v>
      </c>
      <c r="AA351" s="92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</row>
    <row r="352" spans="18:48" x14ac:dyDescent="0.35">
      <c r="R352" s="97"/>
      <c r="S352" s="2"/>
    </row>
    <row r="353" spans="18:48" x14ac:dyDescent="0.35">
      <c r="R353" s="97"/>
      <c r="T353" s="13"/>
      <c r="Z353" s="33"/>
      <c r="AA353" s="33"/>
      <c r="AB353" s="33"/>
    </row>
    <row r="354" spans="18:48" x14ac:dyDescent="0.35">
      <c r="R354" s="97"/>
      <c r="S354" s="13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</row>
  </sheetData>
  <mergeCells count="44">
    <mergeCell ref="M5:N5"/>
    <mergeCell ref="K8:L8"/>
    <mergeCell ref="M15:N15"/>
    <mergeCell ref="I18:J18"/>
    <mergeCell ref="M25:N25"/>
    <mergeCell ref="M56:N56"/>
    <mergeCell ref="M135:N135"/>
    <mergeCell ref="K138:L138"/>
    <mergeCell ref="I104:J104"/>
    <mergeCell ref="M36:N36"/>
    <mergeCell ref="K39:L39"/>
    <mergeCell ref="M46:N46"/>
    <mergeCell ref="M145:N145"/>
    <mergeCell ref="M67:N67"/>
    <mergeCell ref="M77:N77"/>
    <mergeCell ref="M87:N87"/>
    <mergeCell ref="K101:L101"/>
    <mergeCell ref="K111:L111"/>
    <mergeCell ref="M186:N186"/>
    <mergeCell ref="M197:N197"/>
    <mergeCell ref="K200:L200"/>
    <mergeCell ref="M207:N207"/>
    <mergeCell ref="M217:N217"/>
    <mergeCell ref="M155:N155"/>
    <mergeCell ref="K164:L164"/>
    <mergeCell ref="M166:N166"/>
    <mergeCell ref="K169:L169"/>
    <mergeCell ref="M176:N176"/>
    <mergeCell ref="I234:J234"/>
    <mergeCell ref="K241:L241"/>
    <mergeCell ref="F245:H245"/>
    <mergeCell ref="K251:L251"/>
    <mergeCell ref="C1:D1"/>
    <mergeCell ref="C2:D2"/>
    <mergeCell ref="K231:L231"/>
    <mergeCell ref="F180:H180"/>
    <mergeCell ref="F115:H115"/>
    <mergeCell ref="K121:L121"/>
    <mergeCell ref="B145:E145"/>
    <mergeCell ref="B5:C5"/>
    <mergeCell ref="I148:J148"/>
    <mergeCell ref="K70:L70"/>
    <mergeCell ref="F50:H50"/>
    <mergeCell ref="K34:L34"/>
  </mergeCells>
  <pageMargins left="0.75" right="0.75" top="1" bottom="1" header="0.5" footer="0.5"/>
  <pageSetup scale="80" orientation="landscape" horizontalDpi="300" verticalDpi="300" copies="0"/>
  <headerFooter alignWithMargins="0">
    <oddFooter>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6AF1-D7C9-4DE0-B391-5F209734D7AD}">
  <sheetPr>
    <pageSetUpPr fitToPage="1"/>
  </sheetPr>
  <dimension ref="A1:CG354"/>
  <sheetViews>
    <sheetView showGridLines="0" zoomScale="57" workbookViewId="0">
      <selection activeCell="W269" sqref="W269:W271"/>
    </sheetView>
  </sheetViews>
  <sheetFormatPr defaultColWidth="11.46484375" defaultRowHeight="12.75" outlineLevelCol="1" x14ac:dyDescent="0.35"/>
  <cols>
    <col min="1" max="1" width="9.46484375" bestFit="1" customWidth="1"/>
    <col min="2" max="2" width="25.33203125" bestFit="1" customWidth="1"/>
    <col min="3" max="3" width="7.53125" bestFit="1" customWidth="1"/>
    <col min="4" max="4" width="6" customWidth="1"/>
    <col min="5" max="5" width="9.86328125" customWidth="1"/>
    <col min="6" max="6" width="16" customWidth="1"/>
    <col min="7" max="7" width="12.86328125" customWidth="1" outlineLevel="1"/>
    <col min="8" max="8" width="11" customWidth="1" outlineLevel="1"/>
    <col min="9" max="9" width="9.86328125" customWidth="1" outlineLevel="1"/>
    <col min="10" max="10" width="14" customWidth="1" outlineLevel="1"/>
    <col min="11" max="11" width="9.86328125" customWidth="1" outlineLevel="1"/>
    <col min="12" max="12" width="12.1328125" customWidth="1" outlineLevel="1"/>
    <col min="13" max="41" width="9.86328125" customWidth="1"/>
  </cols>
  <sheetData>
    <row r="1" spans="1:80" ht="19.149999999999999" x14ac:dyDescent="0.65">
      <c r="A1" s="97"/>
      <c r="B1" s="97"/>
      <c r="C1" s="155" t="s">
        <v>80</v>
      </c>
      <c r="D1" s="155"/>
      <c r="E1" s="97">
        <v>30</v>
      </c>
      <c r="F1" s="97"/>
      <c r="G1" s="127" t="s">
        <v>91</v>
      </c>
      <c r="H1" s="144">
        <v>0.08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38" t="s">
        <v>0</v>
      </c>
      <c r="AP1" s="38" t="s">
        <v>0</v>
      </c>
      <c r="BL1" s="38" t="s">
        <v>0</v>
      </c>
    </row>
    <row r="2" spans="1:80" ht="13.15" thickBot="1" x14ac:dyDescent="0.4">
      <c r="A2" s="97"/>
      <c r="B2" s="97"/>
      <c r="C2" s="155" t="s">
        <v>81</v>
      </c>
      <c r="D2" s="155"/>
      <c r="E2" s="97">
        <f>1/E1</f>
        <v>3.3333333333333333E-2</v>
      </c>
      <c r="F2" s="97"/>
      <c r="G2" s="127" t="s">
        <v>92</v>
      </c>
      <c r="H2" s="144">
        <v>0.38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80" ht="15.4" x14ac:dyDescent="0.45">
      <c r="A3" s="97"/>
      <c r="B3" s="97"/>
      <c r="C3" s="97"/>
      <c r="D3" s="97"/>
      <c r="E3" s="97"/>
      <c r="F3" s="97"/>
      <c r="G3" s="13" t="s">
        <v>24</v>
      </c>
      <c r="H3" s="147">
        <v>0.98</v>
      </c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53" t="s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53" t="s">
        <v>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53" t="s">
        <v>1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x14ac:dyDescent="0.3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127" t="s">
        <v>84</v>
      </c>
      <c r="P4" s="127" t="s">
        <v>85</v>
      </c>
      <c r="Q4" s="97"/>
      <c r="R4" s="97"/>
      <c r="S4" s="97"/>
      <c r="T4" s="2"/>
      <c r="AP4" s="2"/>
      <c r="BL4" s="2"/>
    </row>
    <row r="5" spans="1:80" x14ac:dyDescent="0.35">
      <c r="A5" s="97"/>
      <c r="B5" s="160" t="s">
        <v>86</v>
      </c>
      <c r="C5" s="160"/>
      <c r="D5" s="97"/>
      <c r="E5" s="97"/>
      <c r="F5" s="97"/>
      <c r="G5" s="97"/>
      <c r="H5" s="97"/>
      <c r="I5" s="97"/>
      <c r="J5" s="97"/>
      <c r="K5" s="97"/>
      <c r="L5" s="97"/>
      <c r="M5" s="155" t="s">
        <v>42</v>
      </c>
      <c r="N5" s="155"/>
      <c r="O5" s="97"/>
      <c r="P5" s="97"/>
      <c r="Q5" s="97"/>
      <c r="R5" s="97"/>
      <c r="S5" s="97"/>
      <c r="T5" s="3"/>
      <c r="X5" s="4" t="s">
        <v>2</v>
      </c>
      <c r="Y5" s="5"/>
      <c r="Z5" s="5"/>
      <c r="AA5" s="5"/>
      <c r="AB5" s="5"/>
      <c r="AC5" s="5"/>
      <c r="AD5" s="6">
        <v>1</v>
      </c>
      <c r="AE5" s="7" t="s">
        <v>3</v>
      </c>
      <c r="AP5" s="3"/>
      <c r="AT5" s="4" t="s">
        <v>2</v>
      </c>
      <c r="AU5" s="5"/>
      <c r="AV5" s="5"/>
      <c r="AW5" s="5"/>
      <c r="AX5" s="5"/>
      <c r="AY5" s="5"/>
      <c r="AZ5" s="6">
        <v>1</v>
      </c>
      <c r="BA5" s="7" t="s">
        <v>3</v>
      </c>
      <c r="BL5" s="3"/>
      <c r="BP5" s="4" t="s">
        <v>2</v>
      </c>
      <c r="BQ5" s="5"/>
      <c r="BR5" s="5"/>
      <c r="BS5" s="5"/>
      <c r="BT5" s="5"/>
      <c r="BU5" s="5"/>
      <c r="BV5" s="6">
        <v>1</v>
      </c>
      <c r="BW5" s="7" t="s">
        <v>3</v>
      </c>
    </row>
    <row r="6" spans="1:80" x14ac:dyDescent="0.35">
      <c r="A6" s="97"/>
      <c r="B6" s="102" t="s">
        <v>83</v>
      </c>
      <c r="C6" s="102" t="s">
        <v>87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X6" s="8" t="s">
        <v>4</v>
      </c>
      <c r="Y6" s="9"/>
      <c r="Z6" s="9"/>
      <c r="AA6" s="9"/>
      <c r="AB6" s="9"/>
      <c r="AC6" s="9"/>
      <c r="AD6" s="10" t="str">
        <f>INDEX(Y9:Y12,AD5)</f>
        <v>No Partnership / No Expansion</v>
      </c>
      <c r="AE6" s="7" t="s">
        <v>5</v>
      </c>
      <c r="AT6" s="8" t="s">
        <v>4</v>
      </c>
      <c r="AU6" s="9"/>
      <c r="AV6" s="9"/>
      <c r="AW6" s="9"/>
      <c r="AX6" s="9"/>
      <c r="AY6" s="9"/>
      <c r="AZ6" s="10" t="str">
        <f>INDEX(AU9:AU12,AZ5)</f>
        <v>No Partnership / No Expansion</v>
      </c>
      <c r="BA6" s="7" t="s">
        <v>5</v>
      </c>
      <c r="BP6" s="8" t="s">
        <v>4</v>
      </c>
      <c r="BQ6" s="9"/>
      <c r="BR6" s="9"/>
      <c r="BS6" s="9"/>
      <c r="BT6" s="9"/>
      <c r="BU6" s="9"/>
      <c r="BV6" s="10" t="str">
        <f>INDEX(BQ9:BQ12,BV5)</f>
        <v>No Partnership / No Expansion</v>
      </c>
      <c r="BW6" s="7" t="s">
        <v>5</v>
      </c>
    </row>
    <row r="7" spans="1:80" x14ac:dyDescent="0.35">
      <c r="A7" s="97"/>
      <c r="B7" s="102" t="s">
        <v>7</v>
      </c>
      <c r="C7" s="131">
        <f>G52</f>
        <v>10.687912774171622</v>
      </c>
      <c r="D7" s="97"/>
      <c r="E7" s="97"/>
      <c r="F7" s="97"/>
      <c r="G7" s="97"/>
      <c r="H7" s="97"/>
      <c r="I7" s="97"/>
      <c r="J7" s="97"/>
      <c r="K7" s="97"/>
      <c r="L7" s="97"/>
      <c r="M7" s="120" t="s">
        <v>31</v>
      </c>
      <c r="N7" s="122">
        <v>0.25</v>
      </c>
      <c r="O7" s="128">
        <f>1-EXP(-P7*$E$2)</f>
        <v>0.4806823022009824</v>
      </c>
      <c r="P7" s="126">
        <f>AO33</f>
        <v>19.657183458198954</v>
      </c>
      <c r="Q7" s="97"/>
      <c r="R7" s="97"/>
      <c r="S7" s="97"/>
    </row>
    <row r="8" spans="1:80" x14ac:dyDescent="0.35">
      <c r="A8" s="97"/>
      <c r="B8" s="102" t="s">
        <v>8</v>
      </c>
      <c r="C8" s="131">
        <f>G117</f>
        <v>3.9134580910696699</v>
      </c>
      <c r="D8" s="97"/>
      <c r="E8" s="97"/>
      <c r="F8" s="97"/>
      <c r="G8" s="97"/>
      <c r="H8" s="97"/>
      <c r="I8" s="97"/>
      <c r="J8" s="97"/>
      <c r="K8" s="155" t="s">
        <v>33</v>
      </c>
      <c r="L8" s="164"/>
      <c r="M8" s="117"/>
      <c r="N8" s="97"/>
      <c r="O8" s="128"/>
      <c r="P8" s="126"/>
      <c r="Q8" s="97"/>
      <c r="R8" s="97"/>
      <c r="S8" s="97"/>
      <c r="X8" t="s">
        <v>6</v>
      </c>
      <c r="AT8" t="s">
        <v>6</v>
      </c>
      <c r="BP8" t="s">
        <v>6</v>
      </c>
    </row>
    <row r="9" spans="1:80" x14ac:dyDescent="0.35">
      <c r="A9" s="97"/>
      <c r="B9" s="102" t="s">
        <v>9</v>
      </c>
      <c r="C9" s="131">
        <f>G182</f>
        <v>9.4960246800884889</v>
      </c>
      <c r="D9" s="97"/>
      <c r="E9" s="97"/>
      <c r="F9" s="97"/>
      <c r="G9" s="97"/>
      <c r="H9" s="97"/>
      <c r="I9" s="97"/>
      <c r="J9" s="97"/>
      <c r="K9" s="97"/>
      <c r="L9" s="97"/>
      <c r="M9" s="117"/>
      <c r="N9" s="97"/>
      <c r="O9" s="128"/>
      <c r="P9" s="126"/>
      <c r="Q9" s="97"/>
      <c r="R9" s="97"/>
      <c r="S9" s="97"/>
      <c r="X9">
        <v>1</v>
      </c>
      <c r="Y9" s="37" t="s">
        <v>7</v>
      </c>
      <c r="AT9">
        <v>1</v>
      </c>
      <c r="AU9" s="37" t="s">
        <v>7</v>
      </c>
      <c r="BP9">
        <v>1</v>
      </c>
      <c r="BQ9" s="37" t="s">
        <v>7</v>
      </c>
    </row>
    <row r="10" spans="1:80" x14ac:dyDescent="0.35">
      <c r="A10" s="97"/>
      <c r="B10" s="102" t="s">
        <v>10</v>
      </c>
      <c r="C10" s="131">
        <f>G247</f>
        <v>5.1007138816960085</v>
      </c>
      <c r="D10" s="97"/>
      <c r="E10" s="97"/>
      <c r="F10" s="97"/>
      <c r="G10" s="97"/>
      <c r="H10" s="97"/>
      <c r="I10" s="97"/>
      <c r="J10" s="97"/>
      <c r="K10" s="120" t="s">
        <v>31</v>
      </c>
      <c r="L10" s="122">
        <v>0.25</v>
      </c>
      <c r="M10" s="120" t="s">
        <v>30</v>
      </c>
      <c r="N10" s="122">
        <v>0.5</v>
      </c>
      <c r="O10" s="128">
        <f>1-EXP(-P10*$E$2)</f>
        <v>0.3123137259455524</v>
      </c>
      <c r="P10" s="126">
        <f>AO32</f>
        <v>11.232676261827974</v>
      </c>
      <c r="Q10" s="97"/>
      <c r="R10" s="97"/>
      <c r="S10" s="97"/>
      <c r="X10">
        <v>2</v>
      </c>
      <c r="Y10" s="37" t="s">
        <v>8</v>
      </c>
      <c r="AF10" s="11"/>
      <c r="AT10">
        <v>2</v>
      </c>
      <c r="AU10" s="37" t="s">
        <v>8</v>
      </c>
      <c r="BB10" s="11"/>
      <c r="BP10">
        <v>2</v>
      </c>
      <c r="BQ10" s="37" t="s">
        <v>8</v>
      </c>
      <c r="BX10" s="11"/>
    </row>
    <row r="11" spans="1:80" x14ac:dyDescent="0.35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117">
        <f>O7*N7+O10*N10+O13*N13</f>
        <v>0.27632743852302177</v>
      </c>
      <c r="L11" s="97"/>
      <c r="M11" s="117"/>
      <c r="N11" s="97"/>
      <c r="O11" s="128"/>
      <c r="P11" s="126"/>
      <c r="Q11" s="97"/>
      <c r="R11" s="97"/>
      <c r="S11" s="97"/>
      <c r="X11">
        <v>3</v>
      </c>
      <c r="Y11" s="37" t="s">
        <v>9</v>
      </c>
      <c r="AF11" s="11"/>
      <c r="AT11">
        <v>3</v>
      </c>
      <c r="AU11" s="37" t="s">
        <v>9</v>
      </c>
      <c r="BB11" s="11"/>
      <c r="BP11">
        <v>3</v>
      </c>
      <c r="BQ11" s="37" t="s">
        <v>9</v>
      </c>
      <c r="BX11" s="11"/>
    </row>
    <row r="12" spans="1:80" x14ac:dyDescent="0.35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117"/>
      <c r="L12" s="97"/>
      <c r="M12" s="123"/>
      <c r="N12" s="97"/>
      <c r="O12" s="128"/>
      <c r="P12" s="126"/>
      <c r="Q12" s="97"/>
      <c r="R12" s="97"/>
      <c r="S12" s="97"/>
      <c r="X12">
        <v>4</v>
      </c>
      <c r="Y12" s="37" t="s">
        <v>10</v>
      </c>
      <c r="AT12">
        <v>4</v>
      </c>
      <c r="AU12" s="37" t="s">
        <v>10</v>
      </c>
      <c r="BP12">
        <v>4</v>
      </c>
      <c r="BQ12" s="37" t="s">
        <v>10</v>
      </c>
    </row>
    <row r="13" spans="1:80" ht="13.15" thickBot="1" x14ac:dyDescent="0.4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117"/>
      <c r="L13" s="97"/>
      <c r="M13" s="122" t="s">
        <v>29</v>
      </c>
      <c r="N13" s="122">
        <v>0.25</v>
      </c>
      <c r="O13" s="128">
        <f>1-EXP(-P13*$E$2)</f>
        <v>0</v>
      </c>
      <c r="P13" s="126">
        <f>AO31</f>
        <v>0</v>
      </c>
      <c r="Q13" s="97"/>
      <c r="R13" s="97"/>
      <c r="S13" s="97"/>
    </row>
    <row r="14" spans="1:80" ht="15.4" x14ac:dyDescent="0.45">
      <c r="A14" s="97"/>
      <c r="B14" s="97"/>
      <c r="C14" s="97"/>
      <c r="D14" s="97"/>
      <c r="E14" s="97" t="s">
        <v>20</v>
      </c>
      <c r="F14" s="134" t="s">
        <v>82</v>
      </c>
      <c r="G14" s="134" t="s">
        <v>83</v>
      </c>
      <c r="H14" s="97"/>
      <c r="I14" s="97"/>
      <c r="J14" s="97"/>
      <c r="K14" s="117"/>
      <c r="L14" s="97"/>
      <c r="M14" s="97"/>
      <c r="N14" s="97"/>
      <c r="O14" s="128"/>
      <c r="P14" s="126"/>
      <c r="Q14" s="97"/>
      <c r="R14" s="97"/>
      <c r="S14" s="97"/>
      <c r="T14" s="53" t="s">
        <v>11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3" t="s">
        <v>11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L14" s="53" t="s">
        <v>11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5">
      <c r="A15" s="134" t="s">
        <v>82</v>
      </c>
      <c r="B15" s="134" t="s">
        <v>83</v>
      </c>
      <c r="C15" s="97"/>
      <c r="D15" s="97"/>
      <c r="E15" s="147">
        <v>0.05</v>
      </c>
      <c r="F15" s="97">
        <v>16.092393909117728</v>
      </c>
      <c r="G15" s="97" t="s">
        <v>7</v>
      </c>
      <c r="H15" s="97"/>
      <c r="I15" s="97"/>
      <c r="J15" s="97"/>
      <c r="K15" s="117"/>
      <c r="L15" s="97"/>
      <c r="M15" s="155" t="s">
        <v>42</v>
      </c>
      <c r="N15" s="155"/>
      <c r="O15" s="128"/>
      <c r="P15" s="126"/>
      <c r="Q15" s="97"/>
      <c r="R15" s="97"/>
      <c r="S15" s="97"/>
    </row>
    <row r="16" spans="1:80" s="51" customFormat="1" ht="15.4" x14ac:dyDescent="0.45">
      <c r="A16" s="131">
        <f>MAX(G52,G117,G182,G247)</f>
        <v>10.687912774171622</v>
      </c>
      <c r="B16" s="102" t="str">
        <f>_xlfn.XLOOKUP(C146,C7:C10,B7:B10)</f>
        <v>No Partnership / No Expansion</v>
      </c>
      <c r="C16" s="97"/>
      <c r="D16" s="97"/>
      <c r="E16" s="147">
        <v>0.1</v>
      </c>
      <c r="F16" s="97">
        <v>15.33961882624823</v>
      </c>
      <c r="G16" s="97" t="s">
        <v>7</v>
      </c>
      <c r="H16" s="97"/>
      <c r="I16" s="97"/>
      <c r="J16" s="97"/>
      <c r="K16" s="117"/>
      <c r="L16" s="97"/>
      <c r="M16" s="97"/>
      <c r="N16" s="97"/>
      <c r="O16" s="128"/>
      <c r="P16" s="126"/>
      <c r="Q16" s="97"/>
      <c r="R16" s="97"/>
      <c r="S16" s="97"/>
      <c r="T16" s="49"/>
      <c r="U16" s="49" t="s">
        <v>12</v>
      </c>
      <c r="V16" s="49"/>
      <c r="W16" s="49"/>
      <c r="X16" s="49"/>
      <c r="Y16" s="49"/>
      <c r="Z16" s="49"/>
      <c r="AA16" s="55" t="s">
        <v>13</v>
      </c>
      <c r="AB16" s="55" t="s">
        <v>14</v>
      </c>
      <c r="AC16" s="56" t="s">
        <v>15</v>
      </c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P16" s="49"/>
      <c r="AQ16" s="49" t="s">
        <v>12</v>
      </c>
      <c r="AR16" s="49"/>
      <c r="AS16" s="49"/>
      <c r="AT16" s="49"/>
      <c r="AU16" s="49"/>
      <c r="AV16" s="49"/>
      <c r="AW16" s="55" t="s">
        <v>13</v>
      </c>
      <c r="AX16" s="55" t="s">
        <v>14</v>
      </c>
      <c r="AY16" s="56" t="s">
        <v>15</v>
      </c>
      <c r="AZ16" s="55"/>
      <c r="BA16" s="55"/>
      <c r="BB16" s="55"/>
      <c r="BC16" s="55"/>
      <c r="BD16" s="55"/>
      <c r="BE16" s="55"/>
      <c r="BF16" s="55"/>
      <c r="BG16" s="55"/>
      <c r="BH16" s="55"/>
      <c r="BL16" s="49"/>
      <c r="BM16" s="49" t="s">
        <v>12</v>
      </c>
      <c r="BN16" s="49"/>
      <c r="BO16" s="49"/>
      <c r="BP16" s="49"/>
      <c r="BQ16" s="49"/>
      <c r="BR16" s="49"/>
      <c r="BS16" s="55" t="s">
        <v>13</v>
      </c>
      <c r="BT16" s="55" t="s">
        <v>14</v>
      </c>
      <c r="BU16" s="56" t="s">
        <v>15</v>
      </c>
      <c r="BV16" s="55"/>
      <c r="BW16" s="55"/>
      <c r="BX16" s="55"/>
      <c r="BY16" s="55"/>
      <c r="BZ16" s="55"/>
      <c r="CA16" s="55"/>
      <c r="CB16" s="55"/>
    </row>
    <row r="17" spans="1:85" x14ac:dyDescent="0.35">
      <c r="A17" s="97"/>
      <c r="B17" s="97"/>
      <c r="C17" s="97"/>
      <c r="D17" s="97"/>
      <c r="E17" s="147">
        <v>0.15</v>
      </c>
      <c r="F17" s="97">
        <v>14.576728972535221</v>
      </c>
      <c r="G17" s="97" t="s">
        <v>7</v>
      </c>
      <c r="H17" s="97"/>
      <c r="I17" s="97"/>
      <c r="J17" s="97"/>
      <c r="K17" s="117"/>
      <c r="L17" s="97"/>
      <c r="M17" s="120" t="s">
        <v>31</v>
      </c>
      <c r="N17" s="122">
        <v>0.25</v>
      </c>
      <c r="O17" s="128">
        <f>1-EXP(-P17*$E$2)</f>
        <v>0.4806823022009824</v>
      </c>
      <c r="P17" s="126">
        <f>AN33</f>
        <v>19.657183458198954</v>
      </c>
      <c r="Q17" s="97"/>
      <c r="R17" s="97"/>
      <c r="S17" s="97"/>
      <c r="T17" s="2"/>
      <c r="U17" s="4"/>
      <c r="V17" s="5"/>
      <c r="W17" s="5"/>
      <c r="X17" s="5"/>
      <c r="Y17" s="5"/>
      <c r="Z17" s="5"/>
      <c r="AA17" s="5"/>
      <c r="AB17" s="5"/>
      <c r="AC17" s="15"/>
      <c r="AD17" s="23"/>
      <c r="AE17" s="3"/>
      <c r="AF17" s="3"/>
      <c r="AG17" s="3"/>
      <c r="AH17" s="3"/>
      <c r="AI17" s="3"/>
      <c r="AJ17" s="3"/>
      <c r="AK17" s="3"/>
      <c r="AL17" s="3"/>
      <c r="AM17" s="3"/>
      <c r="AP17" s="2"/>
      <c r="AQ17" s="4"/>
      <c r="AR17" s="5"/>
      <c r="AS17" s="5"/>
      <c r="AT17" s="5"/>
      <c r="AU17" s="5"/>
      <c r="AV17" s="5"/>
      <c r="AW17" s="5"/>
      <c r="AX17" s="5"/>
      <c r="AY17" s="15"/>
      <c r="AZ17" s="23"/>
      <c r="BA17" s="3"/>
      <c r="BB17" s="3"/>
      <c r="BC17" s="3"/>
      <c r="BD17" s="3"/>
      <c r="BE17" s="3"/>
      <c r="BF17" s="3"/>
      <c r="BG17" s="3"/>
      <c r="BH17" s="3"/>
      <c r="BL17" s="2"/>
      <c r="BM17" s="4"/>
      <c r="BN17" s="5"/>
      <c r="BO17" s="5"/>
      <c r="BP17" s="5"/>
      <c r="BQ17" s="5"/>
      <c r="BR17" s="5"/>
      <c r="BS17" s="5"/>
      <c r="BT17" s="5"/>
      <c r="BU17" s="15"/>
      <c r="BV17" s="23"/>
      <c r="BW17" s="3"/>
      <c r="BX17" s="3"/>
      <c r="BY17" s="3"/>
      <c r="BZ17" s="3"/>
      <c r="CA17" s="3"/>
      <c r="CB17" s="3"/>
    </row>
    <row r="18" spans="1:85" x14ac:dyDescent="0.35">
      <c r="A18" s="97"/>
      <c r="B18" s="97"/>
      <c r="C18" s="97"/>
      <c r="D18" s="97"/>
      <c r="E18" s="147">
        <v>0.2</v>
      </c>
      <c r="F18" s="97">
        <v>13.803651088833968</v>
      </c>
      <c r="G18" s="97" t="s">
        <v>7</v>
      </c>
      <c r="H18" s="97"/>
      <c r="I18" s="155" t="s">
        <v>45</v>
      </c>
      <c r="J18" s="164"/>
      <c r="K18" s="117"/>
      <c r="L18" s="97"/>
      <c r="M18" s="117"/>
      <c r="N18" s="97"/>
      <c r="O18" s="128"/>
      <c r="P18" s="126"/>
      <c r="Q18" s="97"/>
      <c r="R18" s="97"/>
      <c r="S18" s="97"/>
      <c r="T18" s="24" t="s">
        <v>16</v>
      </c>
      <c r="U18" s="16" t="s">
        <v>17</v>
      </c>
      <c r="V18" s="3"/>
      <c r="W18" s="3"/>
      <c r="X18" s="3"/>
      <c r="Y18" s="3"/>
      <c r="Z18" s="3"/>
      <c r="AA18" s="17" t="s">
        <v>18</v>
      </c>
      <c r="AB18" s="27">
        <f>$H$1</f>
        <v>0.08</v>
      </c>
      <c r="AC18" s="25" t="s">
        <v>19</v>
      </c>
      <c r="AF18" s="26"/>
      <c r="AG18" s="26"/>
      <c r="AH18" s="26"/>
      <c r="AI18" s="26"/>
      <c r="AJ18" s="26"/>
      <c r="AK18" s="26"/>
      <c r="AL18" s="3"/>
      <c r="AM18" s="57"/>
      <c r="AP18" s="24" t="s">
        <v>16</v>
      </c>
      <c r="AQ18" s="16" t="s">
        <v>17</v>
      </c>
      <c r="AR18" s="3"/>
      <c r="AS18" s="3"/>
      <c r="AT18" s="3"/>
      <c r="AU18" s="3"/>
      <c r="AV18" s="3"/>
      <c r="AW18" s="17" t="s">
        <v>18</v>
      </c>
      <c r="AX18" s="27">
        <f>$H$1</f>
        <v>0.08</v>
      </c>
      <c r="AY18" s="25" t="s">
        <v>19</v>
      </c>
      <c r="BB18" s="26"/>
      <c r="BC18" s="26"/>
      <c r="BD18" s="26"/>
      <c r="BE18" s="26"/>
      <c r="BF18" s="26"/>
      <c r="BG18" s="26"/>
      <c r="BH18" s="3"/>
      <c r="BL18" s="24" t="s">
        <v>16</v>
      </c>
      <c r="BM18" s="16" t="s">
        <v>17</v>
      </c>
      <c r="BN18" s="3"/>
      <c r="BO18" s="3"/>
      <c r="BP18" s="3"/>
      <c r="BQ18" s="3"/>
      <c r="BR18" s="3"/>
      <c r="BS18" s="17" t="s">
        <v>18</v>
      </c>
      <c r="BT18" s="27">
        <f>$H$1</f>
        <v>0.08</v>
      </c>
      <c r="BU18" s="25" t="s">
        <v>19</v>
      </c>
      <c r="BX18" s="26"/>
      <c r="BY18" s="26"/>
      <c r="BZ18" s="26"/>
      <c r="CA18" s="26"/>
      <c r="CB18" s="26"/>
    </row>
    <row r="19" spans="1:85" x14ac:dyDescent="0.35">
      <c r="A19" s="97" t="s">
        <v>24</v>
      </c>
      <c r="B19" s="97" t="s">
        <v>82</v>
      </c>
      <c r="C19" s="97" t="s">
        <v>83</v>
      </c>
      <c r="D19" s="97"/>
      <c r="E19" s="147">
        <v>0.25</v>
      </c>
      <c r="F19" s="97">
        <v>13.020314494358155</v>
      </c>
      <c r="G19" s="97" t="s">
        <v>7</v>
      </c>
      <c r="H19" s="97"/>
      <c r="I19" s="97"/>
      <c r="J19" s="97"/>
      <c r="K19" s="117"/>
      <c r="L19" s="97"/>
      <c r="M19" s="117"/>
      <c r="N19" s="97"/>
      <c r="O19" s="128"/>
      <c r="P19" s="126"/>
      <c r="Q19" s="97"/>
      <c r="R19" s="97"/>
      <c r="S19" s="97"/>
      <c r="T19" s="24" t="s">
        <v>16</v>
      </c>
      <c r="U19" s="16" t="s">
        <v>20</v>
      </c>
      <c r="V19" s="3"/>
      <c r="W19" s="3"/>
      <c r="X19" s="3"/>
      <c r="Y19" s="3"/>
      <c r="Z19" s="3"/>
      <c r="AA19" s="17" t="s">
        <v>18</v>
      </c>
      <c r="AB19" s="91">
        <f>$H$2</f>
        <v>0.38</v>
      </c>
      <c r="AC19" s="25" t="s">
        <v>21</v>
      </c>
      <c r="AF19" s="26"/>
      <c r="AG19" s="26"/>
      <c r="AH19" s="26"/>
      <c r="AI19" s="26"/>
      <c r="AJ19" s="26"/>
      <c r="AK19" s="26"/>
      <c r="AL19" s="3"/>
      <c r="AM19" s="57"/>
      <c r="AP19" s="24" t="s">
        <v>16</v>
      </c>
      <c r="AQ19" s="16" t="s">
        <v>20</v>
      </c>
      <c r="AR19" s="3"/>
      <c r="AS19" s="3"/>
      <c r="AT19" s="3"/>
      <c r="AU19" s="3"/>
      <c r="AV19" s="3"/>
      <c r="AW19" s="17" t="s">
        <v>18</v>
      </c>
      <c r="AX19" s="91">
        <f>$H$2</f>
        <v>0.38</v>
      </c>
      <c r="AY19" s="25" t="s">
        <v>21</v>
      </c>
      <c r="BB19" s="26"/>
      <c r="BC19" s="26"/>
      <c r="BD19" s="26"/>
      <c r="BE19" s="26"/>
      <c r="BF19" s="26"/>
      <c r="BG19" s="26"/>
      <c r="BH19" s="3"/>
      <c r="BL19" s="24" t="s">
        <v>16</v>
      </c>
      <c r="BM19" s="16" t="s">
        <v>20</v>
      </c>
      <c r="BN19" s="3"/>
      <c r="BO19" s="3"/>
      <c r="BP19" s="3"/>
      <c r="BQ19" s="3"/>
      <c r="BR19" s="3"/>
      <c r="BS19" s="17" t="s">
        <v>18</v>
      </c>
      <c r="BT19" s="91">
        <f>$H$2</f>
        <v>0.38</v>
      </c>
      <c r="BU19" s="25" t="s">
        <v>21</v>
      </c>
      <c r="BX19" s="26"/>
      <c r="BY19" s="26"/>
      <c r="BZ19" s="26"/>
      <c r="CA19" s="26"/>
      <c r="CB19" s="26"/>
    </row>
    <row r="20" spans="1:85" x14ac:dyDescent="0.35">
      <c r="A20" s="144">
        <v>0.85</v>
      </c>
      <c r="B20" s="97">
        <v>32.877567022006247</v>
      </c>
      <c r="C20" s="97" t="s">
        <v>10</v>
      </c>
      <c r="D20" s="147"/>
      <c r="E20" s="147">
        <v>0.3</v>
      </c>
      <c r="F20" s="97">
        <v>12.226651176120383</v>
      </c>
      <c r="G20" s="97" t="s">
        <v>7</v>
      </c>
      <c r="H20" s="97"/>
      <c r="I20" s="120" t="s">
        <v>31</v>
      </c>
      <c r="J20" s="122">
        <v>0.25</v>
      </c>
      <c r="K20" s="120" t="s">
        <v>30</v>
      </c>
      <c r="L20" s="122">
        <v>0.5</v>
      </c>
      <c r="M20" s="120" t="s">
        <v>30</v>
      </c>
      <c r="N20" s="122">
        <v>0.5</v>
      </c>
      <c r="O20" s="128">
        <f>1-EXP(-P20*$E$2)</f>
        <v>0.3123137259455524</v>
      </c>
      <c r="P20" s="126">
        <f>AN32</f>
        <v>11.232676261827974</v>
      </c>
      <c r="Q20" s="97"/>
      <c r="R20" s="97"/>
      <c r="S20" s="97"/>
      <c r="T20" s="24"/>
      <c r="U20" s="16" t="s">
        <v>22</v>
      </c>
      <c r="V20" s="3"/>
      <c r="W20" s="3"/>
      <c r="X20" s="3"/>
      <c r="Y20" s="3"/>
      <c r="Z20" s="3"/>
      <c r="AA20" s="17" t="s">
        <v>18</v>
      </c>
      <c r="AB20" s="91">
        <v>0.6</v>
      </c>
      <c r="AC20" s="25" t="s">
        <v>23</v>
      </c>
      <c r="AF20" s="26"/>
      <c r="AG20" s="26"/>
      <c r="AH20" s="26"/>
      <c r="AI20" s="26"/>
      <c r="AJ20" s="26"/>
      <c r="AK20" s="26"/>
      <c r="AL20" s="3"/>
      <c r="AM20" s="57"/>
      <c r="AP20" s="24"/>
      <c r="AQ20" s="16" t="s">
        <v>22</v>
      </c>
      <c r="AR20" s="3"/>
      <c r="AS20" s="3"/>
      <c r="AT20" s="3"/>
      <c r="AU20" s="3"/>
      <c r="AV20" s="3"/>
      <c r="AW20" s="17" t="s">
        <v>18</v>
      </c>
      <c r="AX20" s="91">
        <v>0.6</v>
      </c>
      <c r="AY20" s="25" t="s">
        <v>23</v>
      </c>
      <c r="BB20" s="26"/>
      <c r="BC20" s="26"/>
      <c r="BD20" s="26"/>
      <c r="BE20" s="26"/>
      <c r="BF20" s="26"/>
      <c r="BG20" s="26"/>
      <c r="BH20" s="3"/>
      <c r="BL20" s="24"/>
      <c r="BM20" s="16" t="s">
        <v>22</v>
      </c>
      <c r="BN20" s="3"/>
      <c r="BO20" s="3"/>
      <c r="BP20" s="3"/>
      <c r="BQ20" s="3"/>
      <c r="BR20" s="3"/>
      <c r="BS20" s="17" t="s">
        <v>18</v>
      </c>
      <c r="BT20" s="91">
        <v>0.6</v>
      </c>
      <c r="BU20" s="25" t="s">
        <v>23</v>
      </c>
      <c r="BX20" s="26"/>
      <c r="BY20" s="26"/>
      <c r="BZ20" s="26"/>
      <c r="CA20" s="26"/>
      <c r="CB20" s="26"/>
    </row>
    <row r="21" spans="1:85" x14ac:dyDescent="0.35">
      <c r="A21" s="144">
        <v>0.86</v>
      </c>
      <c r="B21" s="97">
        <v>31.068471171329776</v>
      </c>
      <c r="C21" s="97" t="s">
        <v>10</v>
      </c>
      <c r="D21" s="147"/>
      <c r="E21" s="147">
        <v>0.35</v>
      </c>
      <c r="F21" s="97">
        <v>11.422595875599235</v>
      </c>
      <c r="G21" s="97" t="s">
        <v>7</v>
      </c>
      <c r="H21" s="97"/>
      <c r="I21" s="117">
        <f>L10*K11+L20*K21+L30*K31</f>
        <v>0.24335768971934507</v>
      </c>
      <c r="J21" s="97"/>
      <c r="K21" s="117">
        <f>O17*N17+O20*N20+O23*N23</f>
        <v>0.27632743852302177</v>
      </c>
      <c r="L21" s="97"/>
      <c r="M21" s="117"/>
      <c r="N21" s="97"/>
      <c r="O21" s="128"/>
      <c r="P21" s="126"/>
      <c r="Q21" s="97"/>
      <c r="R21" s="97"/>
      <c r="S21" s="97"/>
      <c r="T21" s="24"/>
      <c r="U21" s="16" t="s">
        <v>24</v>
      </c>
      <c r="V21" s="3"/>
      <c r="W21" s="3"/>
      <c r="X21" s="3"/>
      <c r="Y21" s="3"/>
      <c r="Z21" s="3"/>
      <c r="AA21" s="17" t="s">
        <v>18</v>
      </c>
      <c r="AB21" s="28">
        <f>$H$3</f>
        <v>0.98</v>
      </c>
      <c r="AC21" s="25" t="s">
        <v>25</v>
      </c>
      <c r="AF21" s="40"/>
      <c r="AG21" s="40"/>
      <c r="AH21" s="40"/>
      <c r="AI21" s="40"/>
      <c r="AJ21" s="40"/>
      <c r="AK21" s="40"/>
      <c r="AL21" s="3"/>
      <c r="AM21" s="57"/>
      <c r="AP21" s="24"/>
      <c r="AQ21" s="16" t="s">
        <v>24</v>
      </c>
      <c r="AR21" s="3"/>
      <c r="AS21" s="3"/>
      <c r="AT21" s="3"/>
      <c r="AU21" s="3"/>
      <c r="AV21" s="3"/>
      <c r="AW21" s="17" t="s">
        <v>18</v>
      </c>
      <c r="AX21" s="28">
        <f>$H$3</f>
        <v>0.98</v>
      </c>
      <c r="AY21" s="25" t="s">
        <v>25</v>
      </c>
      <c r="BB21" s="40"/>
      <c r="BC21" s="40"/>
      <c r="BD21" s="40"/>
      <c r="BE21" s="40"/>
      <c r="BF21" s="40"/>
      <c r="BG21" s="40"/>
      <c r="BH21" s="3"/>
      <c r="BL21" s="24"/>
      <c r="BM21" s="16" t="s">
        <v>24</v>
      </c>
      <c r="BN21" s="3"/>
      <c r="BO21" s="3"/>
      <c r="BP21" s="3"/>
      <c r="BQ21" s="3"/>
      <c r="BR21" s="3"/>
      <c r="BS21" s="17" t="s">
        <v>18</v>
      </c>
      <c r="BT21" s="28">
        <f>$H$3</f>
        <v>0.98</v>
      </c>
      <c r="BU21" s="25" t="s">
        <v>25</v>
      </c>
      <c r="BX21" s="40"/>
      <c r="BY21" s="40"/>
      <c r="BZ21" s="40"/>
      <c r="CA21" s="40"/>
      <c r="CB21" s="40"/>
    </row>
    <row r="22" spans="1:85" x14ac:dyDescent="0.35">
      <c r="A22" s="144">
        <v>0.87</v>
      </c>
      <c r="B22" s="97">
        <v>29.218000920216607</v>
      </c>
      <c r="C22" s="97" t="s">
        <v>10</v>
      </c>
      <c r="D22" s="147"/>
      <c r="E22" s="147">
        <v>0.4</v>
      </c>
      <c r="F22" s="97">
        <v>10.608086172385836</v>
      </c>
      <c r="G22" s="97" t="s">
        <v>7</v>
      </c>
      <c r="H22" s="97"/>
      <c r="I22" s="117"/>
      <c r="J22" s="97"/>
      <c r="K22" s="117"/>
      <c r="L22" s="97"/>
      <c r="M22" s="123"/>
      <c r="N22" s="97"/>
      <c r="O22" s="128"/>
      <c r="P22" s="126"/>
      <c r="Q22" s="97"/>
      <c r="R22" s="97"/>
      <c r="S22" s="97"/>
      <c r="T22" s="24"/>
      <c r="U22" s="16"/>
      <c r="V22" s="3"/>
      <c r="W22" s="3"/>
      <c r="X22" s="3"/>
      <c r="Y22" s="3"/>
      <c r="Z22" s="3"/>
      <c r="AA22" s="17"/>
      <c r="AB22" s="40"/>
      <c r="AC22" s="25"/>
      <c r="AF22" s="40"/>
      <c r="AG22" s="40"/>
      <c r="AH22" s="40"/>
      <c r="AI22" s="40"/>
      <c r="AJ22" s="40"/>
      <c r="AK22" s="40"/>
      <c r="AL22" s="3"/>
      <c r="AM22" s="57"/>
      <c r="AP22" s="24"/>
      <c r="AQ22" s="16"/>
      <c r="AR22" s="3"/>
      <c r="AS22" s="3"/>
      <c r="AT22" s="3"/>
      <c r="AU22" s="3"/>
      <c r="AV22" s="3"/>
      <c r="AW22" s="17"/>
      <c r="AX22" s="40"/>
      <c r="AY22" s="25"/>
      <c r="BB22" s="40"/>
      <c r="BC22" s="40"/>
      <c r="BD22" s="40"/>
      <c r="BE22" s="40"/>
      <c r="BF22" s="40"/>
      <c r="BG22" s="40"/>
      <c r="BH22" s="3"/>
      <c r="BL22" s="24"/>
      <c r="BM22" s="16"/>
      <c r="BN22" s="3"/>
      <c r="BO22" s="3"/>
      <c r="BP22" s="3"/>
      <c r="BQ22" s="3"/>
      <c r="BR22" s="3"/>
      <c r="BS22" s="17"/>
      <c r="BT22" s="40"/>
      <c r="BU22" s="25"/>
      <c r="BX22" s="40"/>
      <c r="BY22" s="40"/>
      <c r="BZ22" s="40"/>
      <c r="CA22" s="40"/>
      <c r="CB22" s="40"/>
    </row>
    <row r="23" spans="1:85" x14ac:dyDescent="0.35">
      <c r="A23" s="144">
        <v>0.88</v>
      </c>
      <c r="B23" s="97">
        <v>27.32367472002289</v>
      </c>
      <c r="C23" s="97" t="s">
        <v>10</v>
      </c>
      <c r="D23" s="147"/>
      <c r="E23" s="147">
        <v>0.45</v>
      </c>
      <c r="F23" s="97">
        <v>9.7830625645687768</v>
      </c>
      <c r="G23" s="97" t="s">
        <v>7</v>
      </c>
      <c r="H23" s="97"/>
      <c r="I23" s="117"/>
      <c r="J23" s="97"/>
      <c r="K23" s="117"/>
      <c r="L23" s="97"/>
      <c r="M23" s="122" t="s">
        <v>29</v>
      </c>
      <c r="N23" s="122">
        <v>0.25</v>
      </c>
      <c r="O23" s="128">
        <f>1-EXP(-P23*$E$2)</f>
        <v>0</v>
      </c>
      <c r="P23" s="126">
        <f>AN31</f>
        <v>0</v>
      </c>
      <c r="Q23" s="97"/>
      <c r="R23" s="97"/>
      <c r="S23" s="97"/>
      <c r="T23" s="24"/>
      <c r="U23" s="16"/>
      <c r="V23" s="3"/>
      <c r="W23" s="3"/>
      <c r="X23" s="3"/>
      <c r="Y23" s="3"/>
      <c r="Z23" s="3"/>
      <c r="AA23" s="17"/>
      <c r="AB23" s="39"/>
      <c r="AC23" s="25"/>
      <c r="AF23" s="39"/>
      <c r="AG23" s="39"/>
      <c r="AH23" s="39"/>
      <c r="AI23" s="39"/>
      <c r="AJ23" s="39"/>
      <c r="AK23" s="39"/>
      <c r="AL23" s="3"/>
      <c r="AM23" s="57"/>
      <c r="AP23" s="24"/>
      <c r="AQ23" s="16"/>
      <c r="AR23" s="3"/>
      <c r="AS23" s="3"/>
      <c r="AT23" s="3"/>
      <c r="AU23" s="3"/>
      <c r="AV23" s="3"/>
      <c r="AW23" s="17"/>
      <c r="AX23" s="39"/>
      <c r="AY23" s="25"/>
      <c r="BB23" s="39"/>
      <c r="BC23" s="39"/>
      <c r="BD23" s="39"/>
      <c r="BE23" s="39"/>
      <c r="BF23" s="39"/>
      <c r="BG23" s="39"/>
      <c r="BH23" s="3"/>
      <c r="BL23" s="24"/>
      <c r="BM23" s="16"/>
      <c r="BN23" s="3"/>
      <c r="BO23" s="3"/>
      <c r="BP23" s="3"/>
      <c r="BQ23" s="3"/>
      <c r="BR23" s="3"/>
      <c r="BS23" s="17"/>
      <c r="BT23" s="39"/>
      <c r="BU23" s="25"/>
      <c r="BX23" s="39"/>
      <c r="BY23" s="39"/>
      <c r="BZ23" s="39"/>
      <c r="CA23" s="39"/>
      <c r="CB23" s="39"/>
    </row>
    <row r="24" spans="1:85" x14ac:dyDescent="0.35">
      <c r="A24" s="144">
        <v>0.89</v>
      </c>
      <c r="B24" s="97">
        <v>25.382820018603589</v>
      </c>
      <c r="C24" s="97" t="s">
        <v>10</v>
      </c>
      <c r="D24" s="147"/>
      <c r="E24" s="147">
        <v>0.5</v>
      </c>
      <c r="F24" s="97">
        <v>8.9474685456232912</v>
      </c>
      <c r="G24" s="97" t="s">
        <v>7</v>
      </c>
      <c r="H24" s="97"/>
      <c r="I24" s="117"/>
      <c r="J24" s="97"/>
      <c r="K24" s="117"/>
      <c r="L24" s="97"/>
      <c r="M24" s="97"/>
      <c r="N24" s="97"/>
      <c r="O24" s="128"/>
      <c r="P24" s="126"/>
      <c r="Q24" s="97"/>
      <c r="R24" s="97"/>
      <c r="S24" s="97"/>
      <c r="T24" s="24"/>
      <c r="U24" s="16"/>
      <c r="V24" s="3"/>
      <c r="W24" s="3"/>
      <c r="X24" s="3"/>
      <c r="Y24" s="3"/>
      <c r="Z24" s="3"/>
      <c r="AA24" s="17"/>
      <c r="AB24" s="39"/>
      <c r="AC24" s="25"/>
      <c r="AF24" s="39"/>
      <c r="AG24" s="39"/>
      <c r="AH24" s="39"/>
      <c r="AI24" s="39"/>
      <c r="AJ24" s="39"/>
      <c r="AK24" s="39"/>
      <c r="AL24" s="3"/>
      <c r="AM24" s="57"/>
      <c r="AP24" s="24"/>
      <c r="AQ24" s="16"/>
      <c r="AR24" s="3"/>
      <c r="AS24" s="3"/>
      <c r="AT24" s="3"/>
      <c r="AU24" s="3"/>
      <c r="AV24" s="3"/>
      <c r="AW24" s="17"/>
      <c r="AX24" s="39"/>
      <c r="AY24" s="25"/>
      <c r="BB24" s="39"/>
      <c r="BC24" s="39"/>
      <c r="BD24" s="39"/>
      <c r="BE24" s="39"/>
      <c r="BF24" s="39"/>
      <c r="BG24" s="39"/>
      <c r="BH24" s="3"/>
      <c r="BL24" s="24"/>
      <c r="BM24" s="16"/>
      <c r="BN24" s="3"/>
      <c r="BO24" s="3"/>
      <c r="BP24" s="3"/>
      <c r="BQ24" s="3"/>
      <c r="BR24" s="3"/>
      <c r="BS24" s="17"/>
      <c r="BT24" s="39"/>
      <c r="BU24" s="25"/>
      <c r="BX24" s="39"/>
      <c r="BY24" s="39"/>
      <c r="BZ24" s="39"/>
      <c r="CA24" s="39"/>
      <c r="CB24" s="39"/>
    </row>
    <row r="25" spans="1:85" x14ac:dyDescent="0.35">
      <c r="A25" s="144">
        <v>0.9</v>
      </c>
      <c r="B25" s="97">
        <v>23.392565334944138</v>
      </c>
      <c r="C25" s="97" t="s">
        <v>10</v>
      </c>
      <c r="D25" s="147"/>
      <c r="E25" s="147">
        <v>0.55000000000000004</v>
      </c>
      <c r="F25" s="97">
        <v>8.101250677579106</v>
      </c>
      <c r="G25" s="97" t="s">
        <v>7</v>
      </c>
      <c r="H25" s="97"/>
      <c r="I25" s="117"/>
      <c r="J25" s="97"/>
      <c r="K25" s="117"/>
      <c r="L25" s="97"/>
      <c r="M25" s="155" t="s">
        <v>42</v>
      </c>
      <c r="N25" s="155"/>
      <c r="O25" s="128"/>
      <c r="P25" s="126"/>
      <c r="Q25" s="97"/>
      <c r="R25" s="97"/>
      <c r="S25" s="97"/>
      <c r="T25" s="24" t="s">
        <v>16</v>
      </c>
      <c r="U25" s="18"/>
      <c r="V25" s="19"/>
      <c r="W25" s="19"/>
      <c r="X25" s="19"/>
      <c r="Y25" s="19"/>
      <c r="Z25" s="19"/>
      <c r="AA25" s="19"/>
      <c r="AB25" s="19"/>
      <c r="AC25" s="59"/>
      <c r="AD25" s="23"/>
      <c r="AE25" s="3"/>
      <c r="AF25" s="3"/>
      <c r="AG25" s="3"/>
      <c r="AH25" s="3"/>
      <c r="AI25" s="3"/>
      <c r="AJ25" s="3"/>
      <c r="AK25" s="3"/>
      <c r="AL25" s="3"/>
      <c r="AM25" s="57"/>
      <c r="AP25" s="24" t="s">
        <v>16</v>
      </c>
      <c r="AQ25" s="18"/>
      <c r="AR25" s="19"/>
      <c r="AS25" s="19"/>
      <c r="AT25" s="19"/>
      <c r="AU25" s="19"/>
      <c r="AV25" s="19"/>
      <c r="AW25" s="19"/>
      <c r="AX25" s="19"/>
      <c r="AY25" s="59"/>
      <c r="AZ25" s="23"/>
      <c r="BA25" s="3"/>
      <c r="BB25" s="3"/>
      <c r="BC25" s="3"/>
      <c r="BD25" s="3"/>
      <c r="BE25" s="3"/>
      <c r="BF25" s="3"/>
      <c r="BG25" s="3"/>
      <c r="BH25" s="3"/>
      <c r="BL25" s="24" t="s">
        <v>16</v>
      </c>
      <c r="BM25" s="18"/>
      <c r="BN25" s="19"/>
      <c r="BO25" s="19"/>
      <c r="BP25" s="19"/>
      <c r="BQ25" s="19"/>
      <c r="BR25" s="19"/>
      <c r="BS25" s="19"/>
      <c r="BT25" s="19"/>
      <c r="BU25" s="59"/>
      <c r="BV25" s="23"/>
      <c r="BW25" s="3"/>
      <c r="BX25" s="3"/>
      <c r="BY25" s="3"/>
      <c r="BZ25" s="3"/>
      <c r="CA25" s="3"/>
      <c r="CB25" s="3"/>
    </row>
    <row r="26" spans="1:85" ht="13.15" thickBot="1" x14ac:dyDescent="0.4">
      <c r="A26" s="144">
        <v>0.91</v>
      </c>
      <c r="B26" s="97">
        <v>21.349834628485446</v>
      </c>
      <c r="C26" s="97" t="s">
        <v>10</v>
      </c>
      <c r="D26" s="147"/>
      <c r="E26" s="97"/>
      <c r="F26" s="97"/>
      <c r="G26" s="97"/>
      <c r="H26" s="97"/>
      <c r="I26" s="117"/>
      <c r="J26" s="97"/>
      <c r="K26" s="117"/>
      <c r="L26" s="97"/>
      <c r="M26" s="97"/>
      <c r="N26" s="97"/>
      <c r="O26" s="128"/>
      <c r="P26" s="126"/>
      <c r="Q26" s="97"/>
      <c r="R26" s="97"/>
      <c r="S26" s="97"/>
      <c r="T26" s="24"/>
      <c r="U26" s="3"/>
      <c r="V26" s="3"/>
      <c r="W26" s="3"/>
      <c r="X26" s="3"/>
      <c r="Y26" s="3"/>
      <c r="Z26" s="3"/>
      <c r="AA26" s="3"/>
      <c r="AB26" s="3"/>
      <c r="AD26" s="23"/>
      <c r="AE26" s="3"/>
      <c r="AF26" s="3"/>
      <c r="AG26" s="3"/>
      <c r="AH26" s="3"/>
      <c r="AI26" s="3"/>
      <c r="AJ26" s="3"/>
      <c r="AK26" s="3"/>
      <c r="AL26" s="3"/>
      <c r="AM26" s="57"/>
      <c r="AP26" s="24"/>
      <c r="AQ26" s="3"/>
      <c r="AR26" s="3"/>
      <c r="AS26" s="3"/>
      <c r="AT26" s="3"/>
      <c r="AU26" s="3"/>
      <c r="AV26" s="3"/>
      <c r="AW26" s="3"/>
      <c r="AX26" s="3"/>
      <c r="AZ26" s="23"/>
      <c r="BA26" s="3"/>
      <c r="BB26" s="3"/>
      <c r="BC26" s="3"/>
      <c r="BD26" s="3"/>
      <c r="BE26" s="3"/>
      <c r="BF26" s="3"/>
      <c r="BG26" s="3"/>
      <c r="BH26" s="3"/>
      <c r="BL26" s="24"/>
      <c r="BM26" s="3"/>
      <c r="BN26" s="3"/>
      <c r="BO26" s="3"/>
      <c r="BP26" s="3"/>
      <c r="BQ26" s="3"/>
      <c r="BR26" s="3"/>
      <c r="BS26" s="3"/>
      <c r="BT26" s="3"/>
      <c r="BV26" s="23"/>
      <c r="BW26" s="3"/>
      <c r="BX26" s="3"/>
      <c r="BY26" s="3"/>
      <c r="BZ26" s="3"/>
      <c r="CA26" s="3"/>
      <c r="CB26" s="3"/>
    </row>
    <row r="27" spans="1:85" ht="15.4" x14ac:dyDescent="0.45">
      <c r="A27" s="144">
        <v>0.92</v>
      </c>
      <c r="B27" s="97">
        <v>19.251344722806497</v>
      </c>
      <c r="C27" s="97" t="s">
        <v>10</v>
      </c>
      <c r="D27" s="147"/>
      <c r="E27" s="97"/>
      <c r="F27" s="97"/>
      <c r="G27" s="97"/>
      <c r="H27" s="97"/>
      <c r="I27" s="117"/>
      <c r="J27" s="97"/>
      <c r="K27" s="117"/>
      <c r="L27" s="97"/>
      <c r="M27" s="120" t="s">
        <v>31</v>
      </c>
      <c r="N27" s="122">
        <v>0.25</v>
      </c>
      <c r="O27" s="128">
        <f>1-EXP(-P27*$E$2)</f>
        <v>0.26071765384731371</v>
      </c>
      <c r="P27" s="126">
        <f>AM33</f>
        <v>9.0622609752897691</v>
      </c>
      <c r="Q27" s="97"/>
      <c r="R27" s="97"/>
      <c r="S27" s="97"/>
      <c r="T27" s="53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53" t="s">
        <v>26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L27" s="53" t="s">
        <v>26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5" ht="15.4" x14ac:dyDescent="0.45">
      <c r="A28" s="144">
        <v>0.93</v>
      </c>
      <c r="B28" s="97">
        <v>17.093606632046292</v>
      </c>
      <c r="C28" s="97" t="s">
        <v>10</v>
      </c>
      <c r="D28" s="147"/>
      <c r="E28" s="97"/>
      <c r="F28" s="97"/>
      <c r="G28" s="97"/>
      <c r="H28" s="97"/>
      <c r="I28" s="117"/>
      <c r="J28" s="97"/>
      <c r="K28" s="117"/>
      <c r="L28" s="97"/>
      <c r="M28" s="117"/>
      <c r="N28" s="97"/>
      <c r="O28" s="128"/>
      <c r="P28" s="126"/>
      <c r="Q28" s="97"/>
      <c r="R28" s="97"/>
      <c r="S28" s="97"/>
      <c r="T28" s="54"/>
      <c r="AM28" s="140" t="s">
        <v>33</v>
      </c>
      <c r="AP28" s="54"/>
      <c r="BL28" s="54"/>
    </row>
    <row r="29" spans="1:85" s="51" customFormat="1" ht="15.4" x14ac:dyDescent="0.45">
      <c r="A29" s="144">
        <v>0.94</v>
      </c>
      <c r="B29" s="97">
        <v>14.872931707668165</v>
      </c>
      <c r="C29" s="97" t="s">
        <v>10</v>
      </c>
      <c r="D29" s="147"/>
      <c r="E29" s="97"/>
      <c r="F29" s="97"/>
      <c r="G29" s="97"/>
      <c r="H29" s="97"/>
      <c r="I29" s="117"/>
      <c r="J29" s="97"/>
      <c r="K29" s="123"/>
      <c r="L29" s="97"/>
      <c r="M29" s="117"/>
      <c r="N29" s="97"/>
      <c r="O29" s="128"/>
      <c r="P29" s="126"/>
      <c r="Q29" s="97"/>
      <c r="R29" s="97"/>
      <c r="S29" s="97"/>
      <c r="T29" s="49"/>
      <c r="U29" s="49" t="s">
        <v>12</v>
      </c>
      <c r="V29" s="49"/>
      <c r="W29" s="49"/>
      <c r="X29" s="49"/>
      <c r="Y29" s="49"/>
      <c r="Z29" s="49"/>
      <c r="AA29" s="55" t="s">
        <v>13</v>
      </c>
      <c r="AB29" s="55" t="s">
        <v>27</v>
      </c>
      <c r="AC29" s="56"/>
      <c r="AD29" s="55" t="s">
        <v>28</v>
      </c>
      <c r="AE29" s="55" t="s">
        <v>15</v>
      </c>
      <c r="AF29" s="55" t="s">
        <v>29</v>
      </c>
      <c r="AG29" s="55" t="s">
        <v>30</v>
      </c>
      <c r="AH29" s="55" t="s">
        <v>31</v>
      </c>
      <c r="AI29" s="9"/>
      <c r="AJ29"/>
      <c r="AK29" s="55"/>
      <c r="AM29" s="55" t="s">
        <v>29</v>
      </c>
      <c r="AN29" s="55" t="s">
        <v>30</v>
      </c>
      <c r="AO29" s="55" t="s">
        <v>31</v>
      </c>
      <c r="AP29" s="49"/>
      <c r="AQ29" s="49" t="s">
        <v>12</v>
      </c>
      <c r="AR29" s="49"/>
      <c r="AS29" s="49"/>
      <c r="AT29" s="49"/>
      <c r="AU29" s="49"/>
      <c r="AV29" s="49"/>
      <c r="AW29" s="55" t="s">
        <v>13</v>
      </c>
      <c r="AX29" s="55" t="s">
        <v>27</v>
      </c>
      <c r="AY29" s="56"/>
      <c r="AZ29" s="55" t="s">
        <v>28</v>
      </c>
      <c r="BA29" s="55" t="s">
        <v>15</v>
      </c>
      <c r="BB29" s="55" t="s">
        <v>29</v>
      </c>
      <c r="BC29" s="55" t="s">
        <v>30</v>
      </c>
      <c r="BD29" s="55" t="s">
        <v>31</v>
      </c>
      <c r="BE29" s="9"/>
      <c r="BF29"/>
      <c r="BG29" s="55"/>
      <c r="BH29"/>
      <c r="BL29" s="49"/>
      <c r="BM29" s="49" t="s">
        <v>12</v>
      </c>
      <c r="BN29" s="49"/>
      <c r="BO29" s="49"/>
      <c r="BP29" s="49"/>
      <c r="BQ29" s="49"/>
      <c r="BR29" s="49"/>
      <c r="BS29" s="55" t="s">
        <v>13</v>
      </c>
      <c r="BT29" s="55" t="s">
        <v>27</v>
      </c>
      <c r="BU29" s="56"/>
      <c r="BV29" s="55" t="s">
        <v>28</v>
      </c>
      <c r="BW29" s="55" t="s">
        <v>15</v>
      </c>
      <c r="BX29" s="55" t="s">
        <v>29</v>
      </c>
      <c r="BY29" s="55" t="s">
        <v>30</v>
      </c>
      <c r="BZ29" s="55" t="s">
        <v>31</v>
      </c>
      <c r="CA29" s="9"/>
      <c r="CB29"/>
    </row>
    <row r="30" spans="1:85" x14ac:dyDescent="0.35">
      <c r="A30" s="144">
        <v>0.95</v>
      </c>
      <c r="B30" s="97">
        <v>12.585443560490425</v>
      </c>
      <c r="C30" s="97" t="s">
        <v>10</v>
      </c>
      <c r="D30" s="147"/>
      <c r="E30" s="97"/>
      <c r="F30" s="97"/>
      <c r="G30" s="97"/>
      <c r="H30" s="97"/>
      <c r="I30" s="117"/>
      <c r="J30" s="97"/>
      <c r="K30" s="122" t="s">
        <v>29</v>
      </c>
      <c r="L30" s="122">
        <v>0.25</v>
      </c>
      <c r="M30" s="120" t="s">
        <v>30</v>
      </c>
      <c r="N30" s="122">
        <v>0.5</v>
      </c>
      <c r="O30" s="128">
        <f>1-EXP(-P30*$E$2)</f>
        <v>0.15853805969297297</v>
      </c>
      <c r="P30" s="126">
        <f>AM32</f>
        <v>5.1784348430227229</v>
      </c>
      <c r="Q30" s="97"/>
      <c r="R30" s="97"/>
      <c r="S30" s="97"/>
      <c r="T30" s="24" t="s">
        <v>16</v>
      </c>
      <c r="U30" s="60" t="s">
        <v>32</v>
      </c>
      <c r="V30" s="5"/>
      <c r="W30" s="5"/>
      <c r="X30" s="5"/>
      <c r="Y30" s="5"/>
      <c r="Z30" s="5"/>
      <c r="AA30" s="5"/>
      <c r="AB30" s="5"/>
      <c r="AC30" s="14"/>
      <c r="AD30" s="21"/>
      <c r="AE30" s="5"/>
      <c r="AF30" s="5"/>
      <c r="AG30" s="5"/>
      <c r="AH30" s="5"/>
      <c r="AI30" s="58"/>
      <c r="AK30" s="145"/>
      <c r="AL30" s="142">
        <f>AA73</f>
        <v>11.232676261827974</v>
      </c>
      <c r="AM30" s="62">
        <v>1</v>
      </c>
      <c r="AN30" s="63">
        <v>2.5</v>
      </c>
      <c r="AO30" s="64">
        <v>5.5</v>
      </c>
      <c r="AP30" s="24" t="s">
        <v>16</v>
      </c>
      <c r="AQ30" s="60" t="s">
        <v>32</v>
      </c>
      <c r="AR30" s="5"/>
      <c r="AS30" s="5"/>
      <c r="AT30" s="5"/>
      <c r="AU30" s="5"/>
      <c r="AV30" s="5"/>
      <c r="AW30" s="5"/>
      <c r="AX30" s="5"/>
      <c r="AY30" s="14"/>
      <c r="AZ30" s="21"/>
      <c r="BA30" s="5"/>
      <c r="BB30" s="5"/>
      <c r="BC30" s="5"/>
      <c r="BD30" s="5"/>
      <c r="BE30" s="58"/>
      <c r="BI30" s="140" t="s">
        <v>33</v>
      </c>
      <c r="BL30" s="24" t="s">
        <v>16</v>
      </c>
      <c r="BM30" s="60" t="s">
        <v>32</v>
      </c>
      <c r="BN30" s="5"/>
      <c r="BO30" s="5"/>
      <c r="BP30" s="5"/>
      <c r="BQ30" s="5"/>
      <c r="BR30" s="5"/>
      <c r="BS30" s="5"/>
      <c r="BT30" s="5"/>
      <c r="BU30" s="14"/>
      <c r="BV30" s="21"/>
      <c r="BW30" s="5"/>
      <c r="BX30" s="5"/>
      <c r="BY30" s="5"/>
      <c r="BZ30" s="5"/>
      <c r="CA30" s="58"/>
      <c r="CE30" s="140" t="s">
        <v>33</v>
      </c>
    </row>
    <row r="31" spans="1:85" s="45" customFormat="1" ht="15.4" x14ac:dyDescent="0.45">
      <c r="A31" s="144">
        <v>0.96</v>
      </c>
      <c r="B31" s="97">
        <v>10.935148456403384</v>
      </c>
      <c r="C31" s="97" t="s">
        <v>7</v>
      </c>
      <c r="D31" s="147"/>
      <c r="E31" s="127" t="s">
        <v>90</v>
      </c>
      <c r="F31" s="134" t="s">
        <v>82</v>
      </c>
      <c r="G31" s="134" t="s">
        <v>83</v>
      </c>
      <c r="H31" s="97"/>
      <c r="I31" s="117"/>
      <c r="J31" s="97"/>
      <c r="K31" s="97">
        <f>O27*N27+O30*N30+O33*N33</f>
        <v>0.14444844330831491</v>
      </c>
      <c r="L31" s="97"/>
      <c r="M31" s="117"/>
      <c r="N31" s="97"/>
      <c r="O31" s="128"/>
      <c r="P31" s="126"/>
      <c r="Q31" s="97"/>
      <c r="R31" s="97"/>
      <c r="S31" s="97"/>
      <c r="T31" s="46" t="s">
        <v>16</v>
      </c>
      <c r="U31" s="140" t="s">
        <v>33</v>
      </c>
      <c r="V31" s="95"/>
      <c r="W31" s="95"/>
      <c r="X31" s="3"/>
      <c r="Y31" s="3"/>
      <c r="Z31" s="3"/>
      <c r="AA31" s="17" t="s">
        <v>34</v>
      </c>
      <c r="AB31" s="44">
        <v>2</v>
      </c>
      <c r="AC31" s="7"/>
      <c r="AD31" s="41">
        <f>INDEX(AF31:AH31,AB31)</f>
        <v>2.5</v>
      </c>
      <c r="AE31" s="7" t="s">
        <v>35</v>
      </c>
      <c r="AF31" s="62">
        <v>1</v>
      </c>
      <c r="AG31" s="63">
        <v>2.5</v>
      </c>
      <c r="AH31" s="64">
        <v>5.5</v>
      </c>
      <c r="AI31" s="58"/>
      <c r="AJ31" s="139" t="s">
        <v>42</v>
      </c>
      <c r="AK31" s="55" t="s">
        <v>29</v>
      </c>
      <c r="AL31" s="85">
        <v>9.75</v>
      </c>
      <c r="AM31">
        <f t="dataTable" ref="AM31:AO33" dt2D="1" dtr="1" r1="AD31" r2="AD35"/>
        <v>0</v>
      </c>
      <c r="AN31" s="95">
        <v>0</v>
      </c>
      <c r="AO31" s="95">
        <v>0</v>
      </c>
      <c r="AP31" s="46" t="s">
        <v>16</v>
      </c>
      <c r="AQ31" s="43" t="s">
        <v>33</v>
      </c>
      <c r="AR31" s="95"/>
      <c r="AS31" s="95"/>
      <c r="AT31" s="3"/>
      <c r="AU31" s="3"/>
      <c r="AV31" s="3"/>
      <c r="AW31" s="17" t="s">
        <v>34</v>
      </c>
      <c r="AX31" s="44">
        <v>2</v>
      </c>
      <c r="AY31" s="7"/>
      <c r="AZ31" s="41">
        <f>INDEX(BB31:BD31,AX31)</f>
        <v>2.5</v>
      </c>
      <c r="BA31" s="7" t="s">
        <v>35</v>
      </c>
      <c r="BB31" s="62">
        <v>1</v>
      </c>
      <c r="BC31" s="63">
        <v>2.5</v>
      </c>
      <c r="BD31" s="64">
        <v>5.5</v>
      </c>
      <c r="BE31" s="58"/>
      <c r="BF31"/>
      <c r="BG31" s="55"/>
      <c r="BH31" s="51"/>
      <c r="BI31" s="55" t="s">
        <v>29</v>
      </c>
      <c r="BJ31" s="55" t="s">
        <v>30</v>
      </c>
      <c r="BK31" s="55" t="s">
        <v>31</v>
      </c>
      <c r="BL31" s="46" t="s">
        <v>16</v>
      </c>
      <c r="BM31" s="43" t="s">
        <v>33</v>
      </c>
      <c r="BN31" s="95"/>
      <c r="BO31" s="95"/>
      <c r="BP31" s="3"/>
      <c r="BQ31" s="3"/>
      <c r="BR31" s="3"/>
      <c r="BS31" s="17" t="s">
        <v>34</v>
      </c>
      <c r="BT31" s="44">
        <v>2</v>
      </c>
      <c r="BU31" s="7"/>
      <c r="BV31" s="41">
        <f>INDEX(BX31:BZ31,BT31)</f>
        <v>2.5</v>
      </c>
      <c r="BW31" s="7" t="s">
        <v>35</v>
      </c>
      <c r="BX31" s="62">
        <v>1</v>
      </c>
      <c r="BY31" s="63">
        <v>2.5</v>
      </c>
      <c r="BZ31" s="64">
        <v>5.5</v>
      </c>
      <c r="CA31" s="58"/>
      <c r="CB31"/>
      <c r="CC31" s="55"/>
      <c r="CD31" s="51"/>
      <c r="CE31" s="55" t="s">
        <v>29</v>
      </c>
      <c r="CF31" s="55" t="s">
        <v>30</v>
      </c>
      <c r="CG31" s="55" t="s">
        <v>31</v>
      </c>
    </row>
    <row r="32" spans="1:85" s="45" customFormat="1" ht="15.4" x14ac:dyDescent="0.45">
      <c r="A32" s="144">
        <v>0.97</v>
      </c>
      <c r="B32" s="97">
        <v>10.935148456403384</v>
      </c>
      <c r="C32" s="97" t="s">
        <v>7</v>
      </c>
      <c r="D32" s="147"/>
      <c r="E32" s="147">
        <v>0.05</v>
      </c>
      <c r="F32" s="97">
        <v>12.158459389627014</v>
      </c>
      <c r="G32" s="97" t="s">
        <v>7</v>
      </c>
      <c r="H32" s="97"/>
      <c r="I32" s="117"/>
      <c r="J32" s="97"/>
      <c r="K32" s="97"/>
      <c r="L32" s="97"/>
      <c r="M32" s="123"/>
      <c r="N32" s="97"/>
      <c r="O32" s="128"/>
      <c r="P32" s="126"/>
      <c r="Q32" s="97"/>
      <c r="R32" s="97"/>
      <c r="S32" s="97"/>
      <c r="T32" s="46" t="s">
        <v>16</v>
      </c>
      <c r="U32" s="43" t="s">
        <v>36</v>
      </c>
      <c r="V32" s="95"/>
      <c r="W32" s="95"/>
      <c r="X32" s="3"/>
      <c r="Y32" s="3"/>
      <c r="Z32" s="3"/>
      <c r="AA32" s="17" t="s">
        <v>34</v>
      </c>
      <c r="AB32" s="44">
        <v>2</v>
      </c>
      <c r="AC32" s="7"/>
      <c r="AD32" s="41">
        <f t="shared" ref="AD32:AD37" si="0">INDEX(AF32:AH32,AB32)</f>
        <v>1.6</v>
      </c>
      <c r="AE32" s="7" t="s">
        <v>37</v>
      </c>
      <c r="AF32" s="62">
        <v>1.3</v>
      </c>
      <c r="AG32" s="63">
        <v>1.6</v>
      </c>
      <c r="AH32" s="64">
        <v>1.8</v>
      </c>
      <c r="AI32" s="58"/>
      <c r="AJ32"/>
      <c r="AK32" s="55" t="s">
        <v>30</v>
      </c>
      <c r="AL32" s="86">
        <v>10.75</v>
      </c>
      <c r="AM32">
        <v>5.1784348430227229</v>
      </c>
      <c r="AN32" s="95">
        <v>11.232676261827974</v>
      </c>
      <c r="AO32" s="95">
        <v>11.232676261827974</v>
      </c>
      <c r="AP32" s="46" t="s">
        <v>16</v>
      </c>
      <c r="AQ32" s="43" t="s">
        <v>36</v>
      </c>
      <c r="AR32" s="95"/>
      <c r="AS32" s="95"/>
      <c r="AT32" s="3"/>
      <c r="AU32" s="3"/>
      <c r="AV32" s="3"/>
      <c r="AW32" s="17" t="s">
        <v>34</v>
      </c>
      <c r="AX32" s="44">
        <v>2</v>
      </c>
      <c r="AY32" s="7"/>
      <c r="AZ32" s="41">
        <f t="shared" ref="AZ32:AZ37" si="1">INDEX(BB32:BD32,AX32)</f>
        <v>1.6</v>
      </c>
      <c r="BA32" s="7" t="s">
        <v>37</v>
      </c>
      <c r="BB32" s="62">
        <v>1.3</v>
      </c>
      <c r="BC32" s="63">
        <v>1.6</v>
      </c>
      <c r="BD32" s="64">
        <v>1.8</v>
      </c>
      <c r="BE32" s="58"/>
      <c r="BF32"/>
      <c r="BG32" s="145"/>
      <c r="BH32" s="142">
        <f>AW73</f>
        <v>14.040845327284968</v>
      </c>
      <c r="BI32" s="62">
        <v>1</v>
      </c>
      <c r="BJ32" s="63">
        <v>2.5</v>
      </c>
      <c r="BK32" s="64">
        <v>5.5</v>
      </c>
      <c r="BL32" s="46" t="s">
        <v>16</v>
      </c>
      <c r="BM32" s="43" t="s">
        <v>36</v>
      </c>
      <c r="BN32" s="95"/>
      <c r="BO32" s="95"/>
      <c r="BP32" s="3"/>
      <c r="BQ32" s="3"/>
      <c r="BR32" s="3"/>
      <c r="BS32" s="17" t="s">
        <v>34</v>
      </c>
      <c r="BT32" s="44">
        <v>2</v>
      </c>
      <c r="BU32" s="7"/>
      <c r="BV32" s="41">
        <f t="shared" ref="BV32:BV37" si="2">INDEX(BX32:BZ32,BT32)</f>
        <v>1.6</v>
      </c>
      <c r="BW32" s="7" t="s">
        <v>37</v>
      </c>
      <c r="BX32" s="62">
        <v>1.3</v>
      </c>
      <c r="BY32" s="63">
        <v>1.6</v>
      </c>
      <c r="BZ32" s="64">
        <v>1.8</v>
      </c>
      <c r="CA32" s="58"/>
      <c r="CB32"/>
      <c r="CC32" s="145"/>
      <c r="CD32" s="142">
        <f>BS73</f>
        <v>16.849014392741964</v>
      </c>
      <c r="CE32" s="62">
        <v>1</v>
      </c>
      <c r="CF32" s="63">
        <v>2.5</v>
      </c>
      <c r="CG32" s="64">
        <v>5.5</v>
      </c>
    </row>
    <row r="33" spans="1:85" ht="15.4" x14ac:dyDescent="0.45">
      <c r="A33" s="144">
        <v>0.98</v>
      </c>
      <c r="B33" s="97">
        <v>10.935148456403384</v>
      </c>
      <c r="C33" s="97" t="s">
        <v>7</v>
      </c>
      <c r="D33" s="147"/>
      <c r="E33" s="147">
        <v>0.1</v>
      </c>
      <c r="F33" s="97">
        <v>10.233101563138435</v>
      </c>
      <c r="G33" s="97" t="s">
        <v>7</v>
      </c>
      <c r="H33" s="97"/>
      <c r="I33" s="117"/>
      <c r="J33" s="97"/>
      <c r="K33" s="97"/>
      <c r="L33" s="97"/>
      <c r="M33" s="122" t="s">
        <v>29</v>
      </c>
      <c r="N33" s="122">
        <v>0.25</v>
      </c>
      <c r="O33" s="128">
        <f>1-EXP(-P33*$E$2)</f>
        <v>0</v>
      </c>
      <c r="P33" s="126">
        <f>AM31</f>
        <v>0</v>
      </c>
      <c r="Q33" s="97"/>
      <c r="R33" s="97"/>
      <c r="S33" s="97"/>
      <c r="T33" s="24" t="s">
        <v>16</v>
      </c>
      <c r="U33" s="43" t="s">
        <v>38</v>
      </c>
      <c r="V33" s="3"/>
      <c r="X33" s="3"/>
      <c r="Y33" s="3"/>
      <c r="Z33" s="3"/>
      <c r="AA33" s="17" t="s">
        <v>39</v>
      </c>
      <c r="AB33" s="44">
        <v>2</v>
      </c>
      <c r="AC33" s="7"/>
      <c r="AD33" s="84">
        <f t="shared" si="0"/>
        <v>3.5999999999999997E-2</v>
      </c>
      <c r="AE33" s="7" t="s">
        <v>40</v>
      </c>
      <c r="AF33" s="152">
        <v>-3.2000000000000001E-2</v>
      </c>
      <c r="AG33" s="152">
        <v>3.5999999999999997E-2</v>
      </c>
      <c r="AH33" s="152">
        <v>0.108</v>
      </c>
      <c r="AI33" s="58"/>
      <c r="AK33" s="55" t="s">
        <v>31</v>
      </c>
      <c r="AL33" s="87">
        <v>11.5</v>
      </c>
      <c r="AM33">
        <v>9.0622609752897691</v>
      </c>
      <c r="AN33">
        <v>19.657183458198954</v>
      </c>
      <c r="AO33">
        <v>19.657183458198954</v>
      </c>
      <c r="AP33" s="24" t="s">
        <v>16</v>
      </c>
      <c r="AQ33" s="43" t="s">
        <v>38</v>
      </c>
      <c r="AR33" s="3"/>
      <c r="AT33" s="3"/>
      <c r="AU33" s="3"/>
      <c r="AV33" s="3"/>
      <c r="AW33" s="17" t="s">
        <v>39</v>
      </c>
      <c r="AX33" s="44">
        <v>2</v>
      </c>
      <c r="AY33" s="7"/>
      <c r="AZ33" s="84">
        <f t="shared" si="1"/>
        <v>3.5999999999999997E-2</v>
      </c>
      <c r="BA33" s="7" t="s">
        <v>40</v>
      </c>
      <c r="BB33" s="152">
        <v>-3.2000000000000001E-2</v>
      </c>
      <c r="BC33" s="152">
        <v>3.5999999999999997E-2</v>
      </c>
      <c r="BD33" s="152">
        <v>0.108</v>
      </c>
      <c r="BE33" s="58"/>
      <c r="BF33" s="139" t="s">
        <v>42</v>
      </c>
      <c r="BG33" s="55" t="s">
        <v>29</v>
      </c>
      <c r="BH33" s="85">
        <v>9.75</v>
      </c>
      <c r="BI33">
        <f t="dataTable" ref="BI33:BK35" dt2D="1" dtr="1" r1="AZ31" r2="AZ35"/>
        <v>1.2946087107556814</v>
      </c>
      <c r="BJ33" s="95">
        <v>2.8081690654569935</v>
      </c>
      <c r="BK33" s="95">
        <v>2.8081690654569935</v>
      </c>
      <c r="BL33" s="24" t="s">
        <v>16</v>
      </c>
      <c r="BM33" s="43" t="s">
        <v>38</v>
      </c>
      <c r="BN33" s="3"/>
      <c r="BP33" s="3"/>
      <c r="BQ33" s="3"/>
      <c r="BR33" s="3"/>
      <c r="BS33" s="17" t="s">
        <v>39</v>
      </c>
      <c r="BT33" s="44">
        <v>2</v>
      </c>
      <c r="BU33" s="7"/>
      <c r="BV33" s="84">
        <f t="shared" si="2"/>
        <v>3.5999999999999997E-2</v>
      </c>
      <c r="BW33" s="7" t="s">
        <v>40</v>
      </c>
      <c r="BX33" s="152">
        <v>-3.2000000000000001E-2</v>
      </c>
      <c r="BY33" s="152">
        <v>3.5999999999999997E-2</v>
      </c>
      <c r="BZ33" s="152">
        <v>0.108</v>
      </c>
      <c r="CA33" s="58"/>
      <c r="CB33" s="139" t="s">
        <v>42</v>
      </c>
      <c r="CC33" s="55" t="s">
        <v>29</v>
      </c>
      <c r="CD33" s="85">
        <v>9.75</v>
      </c>
      <c r="CE33">
        <f t="dataTable" ref="CE33:CG35" dt2D="1" dtr="1" r1="BV31" r2="BV35"/>
        <v>2.5892174215113628</v>
      </c>
      <c r="CF33" s="95">
        <v>5.616338130913987</v>
      </c>
      <c r="CG33" s="95">
        <v>5.616338130913987</v>
      </c>
    </row>
    <row r="34" spans="1:85" ht="15.4" x14ac:dyDescent="0.45">
      <c r="A34" s="97"/>
      <c r="B34" s="97"/>
      <c r="C34" s="97"/>
      <c r="D34" s="147"/>
      <c r="E34" s="147">
        <v>0.15</v>
      </c>
      <c r="F34" s="97">
        <v>8.7930289062309743</v>
      </c>
      <c r="G34" s="97" t="s">
        <v>7</v>
      </c>
      <c r="H34" s="97"/>
      <c r="I34" s="117"/>
      <c r="J34" s="97"/>
      <c r="K34" s="155"/>
      <c r="L34" s="155"/>
      <c r="M34" s="97"/>
      <c r="N34" s="97"/>
      <c r="O34" s="128"/>
      <c r="P34" s="126"/>
      <c r="Q34" s="97"/>
      <c r="R34" s="97"/>
      <c r="S34" s="97"/>
      <c r="T34" s="24" t="s">
        <v>16</v>
      </c>
      <c r="U34" s="13" t="s">
        <v>41</v>
      </c>
      <c r="W34" s="3"/>
      <c r="X34" s="3"/>
      <c r="Y34" s="3"/>
      <c r="Z34" s="3"/>
      <c r="AA34" s="3"/>
      <c r="AB34" s="132"/>
      <c r="AD34" s="40"/>
      <c r="AE34" s="3"/>
      <c r="AF34" s="26"/>
      <c r="AG34" s="26"/>
      <c r="AH34" s="26"/>
      <c r="AI34" s="58"/>
      <c r="AK34" s="3"/>
      <c r="AP34" s="24" t="s">
        <v>16</v>
      </c>
      <c r="AQ34" s="13" t="s">
        <v>41</v>
      </c>
      <c r="AS34" s="3"/>
      <c r="AT34" s="3"/>
      <c r="AU34" s="3"/>
      <c r="AV34" s="3"/>
      <c r="AW34" s="3"/>
      <c r="AX34" s="132"/>
      <c r="AZ34" s="40"/>
      <c r="BA34" s="3"/>
      <c r="BB34" s="26"/>
      <c r="BC34" s="26"/>
      <c r="BD34" s="26"/>
      <c r="BE34" s="58"/>
      <c r="BG34" s="55" t="s">
        <v>30</v>
      </c>
      <c r="BH34" s="86">
        <v>10.75</v>
      </c>
      <c r="BI34">
        <v>6.473043553778405</v>
      </c>
      <c r="BJ34" s="95">
        <v>14.040845327284968</v>
      </c>
      <c r="BK34" s="95">
        <v>14.040845327284968</v>
      </c>
      <c r="BL34" s="24" t="s">
        <v>16</v>
      </c>
      <c r="BM34" s="13" t="s">
        <v>41</v>
      </c>
      <c r="BO34" s="3"/>
      <c r="BP34" s="3"/>
      <c r="BQ34" s="3"/>
      <c r="BR34" s="3"/>
      <c r="BS34" s="3"/>
      <c r="BT34" s="132"/>
      <c r="BV34" s="40"/>
      <c r="BW34" s="3"/>
      <c r="BX34" s="26"/>
      <c r="BY34" s="26"/>
      <c r="BZ34" s="26"/>
      <c r="CA34" s="58"/>
      <c r="CC34" s="55" t="s">
        <v>30</v>
      </c>
      <c r="CD34" s="86">
        <v>10.75</v>
      </c>
      <c r="CE34">
        <v>7.7676522645340862</v>
      </c>
      <c r="CF34" s="95">
        <v>16.849014392741964</v>
      </c>
      <c r="CG34" s="95">
        <v>16.849014392741964</v>
      </c>
    </row>
    <row r="35" spans="1:85" ht="15.4" x14ac:dyDescent="0.45">
      <c r="A35" s="97"/>
      <c r="B35" s="97"/>
      <c r="C35" s="97"/>
      <c r="D35" s="147"/>
      <c r="E35" s="147">
        <v>0.2</v>
      </c>
      <c r="F35" s="97">
        <v>7.6966610704928264</v>
      </c>
      <c r="G35" s="97" t="s">
        <v>7</v>
      </c>
      <c r="H35" s="97"/>
      <c r="I35" s="117"/>
      <c r="J35" s="97"/>
      <c r="K35" s="124"/>
      <c r="L35" s="124"/>
      <c r="M35" s="97"/>
      <c r="N35" s="97"/>
      <c r="O35" s="128"/>
      <c r="P35" s="126"/>
      <c r="Q35" s="97"/>
      <c r="R35" s="97"/>
      <c r="S35" s="97"/>
      <c r="T35" s="24" t="s">
        <v>16</v>
      </c>
      <c r="U35" s="139" t="s">
        <v>42</v>
      </c>
      <c r="V35" s="3"/>
      <c r="W35" s="3"/>
      <c r="X35" s="3"/>
      <c r="Y35" s="3"/>
      <c r="Z35" s="3"/>
      <c r="AA35" s="17" t="s">
        <v>43</v>
      </c>
      <c r="AB35" s="44">
        <v>2</v>
      </c>
      <c r="AD35" s="84">
        <f t="shared" si="0"/>
        <v>10.75</v>
      </c>
      <c r="AE35" s="7" t="s">
        <v>44</v>
      </c>
      <c r="AF35" s="85">
        <v>9.75</v>
      </c>
      <c r="AG35" s="86">
        <v>10.75</v>
      </c>
      <c r="AH35" s="87">
        <v>11.5</v>
      </c>
      <c r="AI35" s="58"/>
      <c r="AP35" s="24" t="s">
        <v>16</v>
      </c>
      <c r="AQ35" s="16" t="s">
        <v>42</v>
      </c>
      <c r="AR35" s="3"/>
      <c r="AS35" s="3"/>
      <c r="AT35" s="3"/>
      <c r="AU35" s="3"/>
      <c r="AV35" s="3"/>
      <c r="AW35" s="17" t="s">
        <v>43</v>
      </c>
      <c r="AX35" s="44">
        <v>2</v>
      </c>
      <c r="AZ35" s="84">
        <f t="shared" si="1"/>
        <v>10.75</v>
      </c>
      <c r="BA35" s="7" t="s">
        <v>44</v>
      </c>
      <c r="BB35" s="85">
        <v>9.75</v>
      </c>
      <c r="BC35" s="86">
        <v>10.75</v>
      </c>
      <c r="BD35" s="87">
        <v>11.5</v>
      </c>
      <c r="BE35" s="58"/>
      <c r="BG35" s="55" t="s">
        <v>31</v>
      </c>
      <c r="BH35" s="87">
        <v>11.5</v>
      </c>
      <c r="BI35">
        <v>10.356869686045449</v>
      </c>
      <c r="BJ35">
        <v>22.465352523655948</v>
      </c>
      <c r="BK35">
        <v>22.465352523655948</v>
      </c>
      <c r="BL35" s="24" t="s">
        <v>16</v>
      </c>
      <c r="BM35" s="16" t="s">
        <v>42</v>
      </c>
      <c r="BN35" s="3"/>
      <c r="BO35" s="3"/>
      <c r="BP35" s="3"/>
      <c r="BQ35" s="3"/>
      <c r="BR35" s="3"/>
      <c r="BS35" s="17" t="s">
        <v>43</v>
      </c>
      <c r="BT35" s="44">
        <v>2</v>
      </c>
      <c r="BV35" s="84">
        <f t="shared" si="2"/>
        <v>10.75</v>
      </c>
      <c r="BW35" s="7" t="s">
        <v>44</v>
      </c>
      <c r="BX35" s="85">
        <v>9.75</v>
      </c>
      <c r="BY35" s="86">
        <v>10.75</v>
      </c>
      <c r="BZ35" s="87">
        <v>11.5</v>
      </c>
      <c r="CA35" s="58"/>
      <c r="CC35" s="55" t="s">
        <v>31</v>
      </c>
      <c r="CD35" s="87">
        <v>11.5</v>
      </c>
      <c r="CE35">
        <v>11.65147839680113</v>
      </c>
      <c r="CF35">
        <v>25.273521589112942</v>
      </c>
      <c r="CG35">
        <v>25.273521589112942</v>
      </c>
    </row>
    <row r="36" spans="1:85" x14ac:dyDescent="0.35">
      <c r="A36" s="97"/>
      <c r="B36" s="97"/>
      <c r="C36" s="97"/>
      <c r="D36" s="147"/>
      <c r="E36" s="147">
        <v>0.25</v>
      </c>
      <c r="F36" s="97">
        <v>6.8471087672670876</v>
      </c>
      <c r="G36" s="97" t="s">
        <v>7</v>
      </c>
      <c r="H36" s="97"/>
      <c r="I36" s="117"/>
      <c r="J36" s="97"/>
      <c r="K36" s="97"/>
      <c r="L36" s="97"/>
      <c r="M36" s="155" t="s">
        <v>42</v>
      </c>
      <c r="N36" s="155"/>
      <c r="O36" s="128"/>
      <c r="P36" s="126"/>
      <c r="Q36" s="97"/>
      <c r="R36" s="97"/>
      <c r="S36" s="97"/>
      <c r="T36" s="24" t="s">
        <v>16</v>
      </c>
      <c r="U36" s="139" t="s">
        <v>45</v>
      </c>
      <c r="W36" s="3"/>
      <c r="X36" s="3"/>
      <c r="Y36" s="3"/>
      <c r="Z36" s="3"/>
      <c r="AA36" s="17" t="s">
        <v>43</v>
      </c>
      <c r="AB36" s="44">
        <v>3</v>
      </c>
      <c r="AC36" s="7"/>
      <c r="AD36" s="41">
        <f t="shared" si="0"/>
        <v>9.75</v>
      </c>
      <c r="AE36" s="7" t="s">
        <v>46</v>
      </c>
      <c r="AF36" s="85">
        <v>9.25</v>
      </c>
      <c r="AG36" s="86">
        <v>9.5</v>
      </c>
      <c r="AH36" s="87">
        <v>9.75</v>
      </c>
      <c r="AI36" s="58"/>
      <c r="AP36" s="24" t="s">
        <v>16</v>
      </c>
      <c r="AQ36" s="16" t="s">
        <v>45</v>
      </c>
      <c r="AS36" s="3"/>
      <c r="AT36" s="3"/>
      <c r="AU36" s="3"/>
      <c r="AV36" s="3"/>
      <c r="AW36" s="17" t="s">
        <v>43</v>
      </c>
      <c r="AX36" s="44">
        <v>2</v>
      </c>
      <c r="AY36" s="7"/>
      <c r="AZ36" s="41">
        <f t="shared" si="1"/>
        <v>9.5</v>
      </c>
      <c r="BA36" s="7" t="s">
        <v>46</v>
      </c>
      <c r="BB36" s="85">
        <v>9.25</v>
      </c>
      <c r="BC36" s="86">
        <v>9.5</v>
      </c>
      <c r="BD36" s="87">
        <v>9.75</v>
      </c>
      <c r="BE36" s="58"/>
      <c r="BL36" s="24" t="s">
        <v>16</v>
      </c>
      <c r="BM36" s="16" t="s">
        <v>45</v>
      </c>
      <c r="BO36" s="3"/>
      <c r="BP36" s="3"/>
      <c r="BQ36" s="3"/>
      <c r="BR36" s="3"/>
      <c r="BS36" s="17" t="s">
        <v>43</v>
      </c>
      <c r="BT36" s="44">
        <v>1</v>
      </c>
      <c r="BU36" s="7"/>
      <c r="BV36" s="41">
        <f t="shared" si="2"/>
        <v>9.25</v>
      </c>
      <c r="BW36" s="7" t="s">
        <v>46</v>
      </c>
      <c r="BX36" s="85">
        <v>9.25</v>
      </c>
      <c r="BY36" s="86">
        <v>9.5</v>
      </c>
      <c r="BZ36" s="87">
        <v>9.75</v>
      </c>
      <c r="CA36" s="58"/>
    </row>
    <row r="37" spans="1:85" x14ac:dyDescent="0.35">
      <c r="A37" s="97"/>
      <c r="B37" s="97"/>
      <c r="C37" s="97"/>
      <c r="D37" s="147"/>
      <c r="E37" s="147">
        <v>0.3</v>
      </c>
      <c r="F37" s="97">
        <v>6.177551193804133</v>
      </c>
      <c r="G37" s="97" t="s">
        <v>7</v>
      </c>
      <c r="H37" s="97"/>
      <c r="I37" s="117"/>
      <c r="J37" s="97"/>
      <c r="K37" s="97"/>
      <c r="L37" s="97"/>
      <c r="M37" s="97"/>
      <c r="N37" s="97"/>
      <c r="O37" s="128"/>
      <c r="P37" s="126"/>
      <c r="Q37" s="97"/>
      <c r="R37" s="97"/>
      <c r="S37" s="97"/>
      <c r="T37" s="24"/>
      <c r="U37" s="16" t="s">
        <v>47</v>
      </c>
      <c r="W37" s="3"/>
      <c r="X37" s="3"/>
      <c r="Y37" s="3"/>
      <c r="Z37" s="3"/>
      <c r="AA37" s="17" t="s">
        <v>48</v>
      </c>
      <c r="AB37" s="44">
        <v>2</v>
      </c>
      <c r="AC37" s="7"/>
      <c r="AD37" s="84">
        <f t="shared" si="0"/>
        <v>14.5</v>
      </c>
      <c r="AE37" s="7" t="s">
        <v>49</v>
      </c>
      <c r="AF37" s="88">
        <v>13</v>
      </c>
      <c r="AG37" s="89">
        <v>14.5</v>
      </c>
      <c r="AH37" s="90">
        <v>17</v>
      </c>
      <c r="AI37" s="58"/>
      <c r="AP37" s="24"/>
      <c r="AQ37" s="16" t="s">
        <v>47</v>
      </c>
      <c r="AS37" s="3"/>
      <c r="AT37" s="3"/>
      <c r="AU37" s="3"/>
      <c r="AV37" s="3"/>
      <c r="AW37" s="17" t="s">
        <v>48</v>
      </c>
      <c r="AX37" s="44">
        <v>2</v>
      </c>
      <c r="AY37" s="7"/>
      <c r="AZ37" s="84">
        <f t="shared" si="1"/>
        <v>14.5</v>
      </c>
      <c r="BA37" s="7" t="s">
        <v>49</v>
      </c>
      <c r="BB37" s="88">
        <v>13</v>
      </c>
      <c r="BC37" s="89">
        <v>14.5</v>
      </c>
      <c r="BD37" s="90">
        <v>17</v>
      </c>
      <c r="BE37" s="58"/>
      <c r="BL37" s="24"/>
      <c r="BM37" s="16" t="s">
        <v>47</v>
      </c>
      <c r="BO37" s="3"/>
      <c r="BP37" s="3"/>
      <c r="BQ37" s="3"/>
      <c r="BR37" s="3"/>
      <c r="BS37" s="17" t="s">
        <v>48</v>
      </c>
      <c r="BT37" s="44">
        <v>2</v>
      </c>
      <c r="BU37" s="7"/>
      <c r="BV37" s="84">
        <f t="shared" si="2"/>
        <v>14.5</v>
      </c>
      <c r="BW37" s="7" t="s">
        <v>49</v>
      </c>
      <c r="BX37" s="88">
        <v>13</v>
      </c>
      <c r="BY37" s="89">
        <v>14.5</v>
      </c>
      <c r="BZ37" s="90">
        <v>17</v>
      </c>
      <c r="CA37" s="58"/>
    </row>
    <row r="38" spans="1:85" x14ac:dyDescent="0.35">
      <c r="A38" s="97"/>
      <c r="B38" s="97"/>
      <c r="C38" s="97"/>
      <c r="D38" s="147"/>
      <c r="E38" s="147">
        <v>0.35</v>
      </c>
      <c r="F38" s="97">
        <v>5.6413582545009255</v>
      </c>
      <c r="G38" s="97" t="s">
        <v>7</v>
      </c>
      <c r="H38" s="97"/>
      <c r="I38" s="117"/>
      <c r="J38" s="97"/>
      <c r="K38" s="97"/>
      <c r="L38" s="97"/>
      <c r="M38" s="120" t="s">
        <v>31</v>
      </c>
      <c r="N38" s="122">
        <v>0.25</v>
      </c>
      <c r="O38" s="128">
        <f>1-EXP(-P38*$E$2)</f>
        <v>0.52708758847711112</v>
      </c>
      <c r="P38" s="126">
        <f>BK35</f>
        <v>22.465352523655948</v>
      </c>
      <c r="Q38" s="97"/>
      <c r="R38" s="97"/>
      <c r="S38" s="97"/>
      <c r="U38" s="16"/>
      <c r="AB38" s="66"/>
      <c r="AI38" s="58"/>
      <c r="AQ38" s="16"/>
      <c r="AX38" s="66"/>
      <c r="BE38" s="58"/>
      <c r="BM38" s="16"/>
      <c r="BT38" s="66"/>
      <c r="CA38" s="58"/>
    </row>
    <row r="39" spans="1:85" x14ac:dyDescent="0.35">
      <c r="A39" s="97"/>
      <c r="B39" s="97"/>
      <c r="C39" s="97"/>
      <c r="D39" s="147"/>
      <c r="E39" s="147">
        <v>0.4</v>
      </c>
      <c r="F39" s="97">
        <v>5.2055416244293209</v>
      </c>
      <c r="G39" s="97" t="s">
        <v>7</v>
      </c>
      <c r="H39" s="97"/>
      <c r="I39" s="117"/>
      <c r="J39" s="97"/>
      <c r="K39" s="155" t="s">
        <v>33</v>
      </c>
      <c r="L39" s="164"/>
      <c r="M39" s="117"/>
      <c r="N39" s="97"/>
      <c r="O39" s="128"/>
      <c r="P39" s="126"/>
      <c r="Q39" s="97"/>
      <c r="R39" s="97"/>
      <c r="S39" s="97"/>
      <c r="T39" s="24" t="s">
        <v>16</v>
      </c>
      <c r="U39" s="22"/>
      <c r="V39" s="3"/>
      <c r="W39" s="3"/>
      <c r="X39" s="3"/>
      <c r="Y39" s="3"/>
      <c r="Z39" s="3"/>
      <c r="AB39" s="66"/>
      <c r="AI39" s="58"/>
      <c r="AP39" s="24" t="s">
        <v>16</v>
      </c>
      <c r="AQ39" s="22"/>
      <c r="AR39" s="3"/>
      <c r="AS39" s="3"/>
      <c r="AT39" s="3"/>
      <c r="AU39" s="3"/>
      <c r="AV39" s="3"/>
      <c r="AX39" s="66"/>
      <c r="BE39" s="58"/>
      <c r="BL39" s="24" t="s">
        <v>16</v>
      </c>
      <c r="BM39" s="22"/>
      <c r="BN39" s="3"/>
      <c r="BO39" s="3"/>
      <c r="BP39" s="3"/>
      <c r="BQ39" s="3"/>
      <c r="BR39" s="3"/>
      <c r="BT39" s="66"/>
      <c r="CA39" s="58"/>
    </row>
    <row r="40" spans="1:85" s="45" customFormat="1" x14ac:dyDescent="0.35">
      <c r="A40" s="97"/>
      <c r="B40" s="97"/>
      <c r="C40" s="97"/>
      <c r="D40" s="97"/>
      <c r="E40" s="147">
        <v>0.45</v>
      </c>
      <c r="F40" s="97">
        <v>4.8464252016287013</v>
      </c>
      <c r="G40" s="97" t="s">
        <v>7</v>
      </c>
      <c r="H40" s="97"/>
      <c r="I40" s="117"/>
      <c r="J40" s="97"/>
      <c r="K40" s="97"/>
      <c r="L40" s="97"/>
      <c r="M40" s="117"/>
      <c r="N40" s="97"/>
      <c r="O40" s="128"/>
      <c r="P40" s="126"/>
      <c r="Q40" s="97"/>
      <c r="R40" s="97"/>
      <c r="S40" s="97"/>
      <c r="T40" s="46" t="s">
        <v>16</v>
      </c>
      <c r="U40" s="43"/>
      <c r="V40" s="95"/>
      <c r="W40" s="3"/>
      <c r="X40" s="3"/>
      <c r="Y40" s="3"/>
      <c r="Z40" s="3"/>
      <c r="AA40" s="17"/>
      <c r="AB40" s="65"/>
      <c r="AC40" s="7"/>
      <c r="AD40" s="42"/>
      <c r="AE40" s="7"/>
      <c r="AF40" s="42"/>
      <c r="AG40" s="42"/>
      <c r="AH40" s="42"/>
      <c r="AI40" s="58"/>
      <c r="AJ40"/>
      <c r="AK40"/>
      <c r="AL40"/>
      <c r="AM40"/>
      <c r="AN40" s="95"/>
      <c r="AO40" s="95"/>
      <c r="AP40" s="46" t="s">
        <v>16</v>
      </c>
      <c r="AQ40" s="43"/>
      <c r="AR40" s="95"/>
      <c r="AS40" s="3"/>
      <c r="AT40" s="3"/>
      <c r="AU40" s="3"/>
      <c r="AV40" s="3"/>
      <c r="AW40" s="17"/>
      <c r="AX40" s="65"/>
      <c r="AY40" s="7"/>
      <c r="AZ40" s="42"/>
      <c r="BA40" s="7"/>
      <c r="BB40" s="42"/>
      <c r="BC40" s="42"/>
      <c r="BD40" s="42"/>
      <c r="BE40" s="58"/>
      <c r="BF40"/>
      <c r="BG40"/>
      <c r="BH40"/>
      <c r="BI40" s="95"/>
      <c r="BJ40" s="95"/>
      <c r="BK40" s="95"/>
      <c r="BL40" s="46" t="s">
        <v>16</v>
      </c>
      <c r="BM40" s="43"/>
      <c r="BN40" s="95"/>
      <c r="BO40" s="3"/>
      <c r="BP40" s="3"/>
      <c r="BQ40" s="3"/>
      <c r="BR40" s="3"/>
      <c r="BS40" s="17"/>
      <c r="BT40" s="65"/>
      <c r="BU40" s="7"/>
      <c r="BV40" s="42"/>
      <c r="BW40" s="7"/>
      <c r="BX40" s="42"/>
      <c r="BY40" s="42"/>
      <c r="BZ40" s="42"/>
      <c r="CA40" s="58"/>
      <c r="CB40"/>
      <c r="CC40" s="95"/>
      <c r="CD40" s="95"/>
      <c r="CE40" s="95"/>
      <c r="CF40" s="95"/>
      <c r="CG40" s="95"/>
    </row>
    <row r="41" spans="1:85" x14ac:dyDescent="0.35">
      <c r="A41" s="97"/>
      <c r="B41" s="97"/>
      <c r="C41" s="97"/>
      <c r="D41" s="97"/>
      <c r="E41" s="147">
        <v>0.5</v>
      </c>
      <c r="F41" s="97">
        <v>4.5467683892955773</v>
      </c>
      <c r="G41" s="97" t="s">
        <v>7</v>
      </c>
      <c r="H41" s="97"/>
      <c r="I41" s="117"/>
      <c r="J41" s="97"/>
      <c r="K41" s="120" t="s">
        <v>31</v>
      </c>
      <c r="L41" s="122">
        <v>0.25</v>
      </c>
      <c r="M41" s="120" t="s">
        <v>30</v>
      </c>
      <c r="N41" s="122">
        <v>0.5</v>
      </c>
      <c r="O41" s="128">
        <f>1-EXP(-P41*$E$2)</f>
        <v>0.37376412240019319</v>
      </c>
      <c r="P41" s="126">
        <f>BK34</f>
        <v>14.040845327284968</v>
      </c>
      <c r="Q41" s="97"/>
      <c r="R41" s="97"/>
      <c r="S41" s="97"/>
      <c r="T41" s="2"/>
      <c r="U41" s="29"/>
      <c r="V41" s="19"/>
      <c r="W41" s="19"/>
      <c r="X41" s="19"/>
      <c r="Y41" s="19"/>
      <c r="Z41" s="19"/>
      <c r="AA41" s="20"/>
      <c r="AB41" s="20"/>
      <c r="AC41" s="9"/>
      <c r="AD41" s="30"/>
      <c r="AE41" s="61"/>
      <c r="AF41" s="30"/>
      <c r="AG41" s="30"/>
      <c r="AH41" s="30"/>
      <c r="AI41" s="59"/>
      <c r="AK41" s="42"/>
      <c r="AP41" s="2"/>
      <c r="AQ41" s="29"/>
      <c r="AR41" s="19"/>
      <c r="AS41" s="19"/>
      <c r="AT41" s="19"/>
      <c r="AU41" s="19"/>
      <c r="AV41" s="19"/>
      <c r="AW41" s="20"/>
      <c r="AX41" s="20"/>
      <c r="AY41" s="9"/>
      <c r="AZ41" s="30"/>
      <c r="BA41" s="61"/>
      <c r="BB41" s="30"/>
      <c r="BC41" s="30"/>
      <c r="BD41" s="30"/>
      <c r="BE41" s="59"/>
      <c r="BG41" s="42"/>
      <c r="BL41" s="2"/>
      <c r="BM41" s="29"/>
      <c r="BN41" s="19"/>
      <c r="BO41" s="19"/>
      <c r="BP41" s="19"/>
      <c r="BQ41" s="19"/>
      <c r="BR41" s="19"/>
      <c r="BS41" s="20"/>
      <c r="BT41" s="20"/>
      <c r="BU41" s="9"/>
      <c r="BV41" s="30"/>
      <c r="BW41" s="61"/>
      <c r="BX41" s="30"/>
      <c r="BY41" s="30"/>
      <c r="BZ41" s="30"/>
      <c r="CA41" s="59"/>
    </row>
    <row r="42" spans="1:85" ht="13.15" thickBot="1" x14ac:dyDescent="0.4">
      <c r="A42" s="97"/>
      <c r="B42" s="97"/>
      <c r="C42" s="97"/>
      <c r="D42" s="97"/>
      <c r="E42" s="97"/>
      <c r="F42" s="97"/>
      <c r="G42" s="97"/>
      <c r="H42" s="97"/>
      <c r="I42" s="117"/>
      <c r="J42" s="97"/>
      <c r="K42" s="117">
        <f>O38*N38+O41*N41+O44*N44</f>
        <v>0.34099350426244762</v>
      </c>
      <c r="L42" s="97"/>
      <c r="M42" s="117"/>
      <c r="N42" s="97"/>
      <c r="O42" s="128"/>
      <c r="P42" s="126"/>
      <c r="Q42" s="97"/>
      <c r="R42" s="97"/>
      <c r="S42" s="97"/>
    </row>
    <row r="43" spans="1:85" ht="15.4" x14ac:dyDescent="0.45">
      <c r="A43" s="97"/>
      <c r="B43" s="97"/>
      <c r="C43" s="97"/>
      <c r="D43" s="97"/>
      <c r="E43" s="97"/>
      <c r="F43" s="97"/>
      <c r="G43" s="97"/>
      <c r="H43" s="97"/>
      <c r="I43" s="117"/>
      <c r="J43" s="97"/>
      <c r="K43" s="117"/>
      <c r="L43" s="97"/>
      <c r="M43" s="123"/>
      <c r="N43" s="97"/>
      <c r="O43" s="128"/>
      <c r="P43" s="126"/>
      <c r="Q43" s="97"/>
      <c r="R43" s="97"/>
      <c r="S43" s="97"/>
      <c r="T43" s="53" t="s">
        <v>50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P43" s="53" t="s">
        <v>50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L43" s="53" t="s">
        <v>50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5" ht="15.4" x14ac:dyDescent="0.45">
      <c r="A44" s="97"/>
      <c r="B44" s="97"/>
      <c r="C44" s="97"/>
      <c r="D44" s="97"/>
      <c r="E44" s="97"/>
      <c r="F44" s="97"/>
      <c r="G44" s="97"/>
      <c r="H44" s="97"/>
      <c r="I44" s="117"/>
      <c r="J44" s="97"/>
      <c r="K44" s="117"/>
      <c r="L44" s="97"/>
      <c r="M44" s="122" t="s">
        <v>29</v>
      </c>
      <c r="N44" s="122">
        <v>0.25</v>
      </c>
      <c r="O44" s="128">
        <f>1-EXP(-P44*$E$2)</f>
        <v>8.9358183772292987E-2</v>
      </c>
      <c r="P44" s="126">
        <f>BK33</f>
        <v>2.8081690654569935</v>
      </c>
      <c r="Q44" s="97"/>
      <c r="R44" s="97"/>
      <c r="S44" s="97"/>
      <c r="T44" s="54"/>
      <c r="AP44" s="54"/>
      <c r="BL44" s="54"/>
    </row>
    <row r="45" spans="1:85" ht="15.4" x14ac:dyDescent="0.45">
      <c r="A45" s="97"/>
      <c r="B45" s="97"/>
      <c r="C45" s="97"/>
      <c r="D45" s="97"/>
      <c r="E45" s="97"/>
      <c r="F45" s="97"/>
      <c r="G45" s="97"/>
      <c r="H45" s="97"/>
      <c r="I45" s="117"/>
      <c r="J45" s="97"/>
      <c r="K45" s="117"/>
      <c r="L45" s="97"/>
      <c r="M45" s="97"/>
      <c r="N45" s="97"/>
      <c r="O45" s="128"/>
      <c r="P45" s="126"/>
      <c r="Q45" s="97"/>
      <c r="R45" s="97"/>
      <c r="S45" s="97"/>
      <c r="T45" s="54" t="str">
        <f>s_n</f>
        <v>No Partnership / No Expansion</v>
      </c>
      <c r="AP45" s="54" t="str">
        <f>strategy_name</f>
        <v>No Partnership / No Expansion</v>
      </c>
      <c r="BL45" s="54" t="str">
        <f>SN</f>
        <v>No Partnership / No Expansion</v>
      </c>
    </row>
    <row r="46" spans="1:85" x14ac:dyDescent="0.35">
      <c r="A46" s="97"/>
      <c r="B46" s="97"/>
      <c r="C46" s="97"/>
      <c r="D46" s="97"/>
      <c r="E46" s="97"/>
      <c r="F46" s="97"/>
      <c r="G46" s="97"/>
      <c r="H46" s="97"/>
      <c r="I46" s="117"/>
      <c r="J46" s="97"/>
      <c r="K46" s="117"/>
      <c r="L46" s="97"/>
      <c r="M46" s="155" t="s">
        <v>42</v>
      </c>
      <c r="N46" s="155"/>
      <c r="O46" s="128"/>
      <c r="P46" s="126"/>
      <c r="Q46" s="97"/>
      <c r="R46" s="97"/>
      <c r="S46" s="97"/>
      <c r="T46" s="13"/>
      <c r="AP46" s="13"/>
      <c r="BL46" s="13"/>
    </row>
    <row r="47" spans="1:85" ht="15" x14ac:dyDescent="0.4">
      <c r="A47" s="97"/>
      <c r="B47" s="97"/>
      <c r="C47" s="97"/>
      <c r="D47" s="97"/>
      <c r="E47" s="97"/>
      <c r="F47" s="97"/>
      <c r="G47" s="97"/>
      <c r="H47" s="97"/>
      <c r="I47" s="117"/>
      <c r="J47" s="97"/>
      <c r="K47" s="117"/>
      <c r="L47" s="97"/>
      <c r="M47" s="97"/>
      <c r="N47" s="97"/>
      <c r="O47" s="128"/>
      <c r="P47" s="126"/>
      <c r="Q47" s="97"/>
      <c r="R47" s="97"/>
      <c r="S47" s="97"/>
      <c r="T47" s="51" t="s">
        <v>51</v>
      </c>
      <c r="U47" s="48"/>
      <c r="V47" s="48"/>
      <c r="Z47" s="7"/>
      <c r="AA47" s="52">
        <v>2026</v>
      </c>
      <c r="AB47" s="52">
        <f>AA47+1</f>
        <v>2027</v>
      </c>
      <c r="AC47" s="52">
        <f t="shared" ref="AC47:AH47" si="3">AB47+1</f>
        <v>2028</v>
      </c>
      <c r="AD47" s="52">
        <f t="shared" si="3"/>
        <v>2029</v>
      </c>
      <c r="AE47" s="52">
        <f t="shared" si="3"/>
        <v>2030</v>
      </c>
      <c r="AF47" s="52">
        <f t="shared" si="3"/>
        <v>2031</v>
      </c>
      <c r="AG47" s="52">
        <f t="shared" si="3"/>
        <v>2032</v>
      </c>
      <c r="AH47" s="52">
        <f t="shared" si="3"/>
        <v>2033</v>
      </c>
      <c r="AI47" s="52">
        <f>AH47+1</f>
        <v>2034</v>
      </c>
      <c r="AJ47" s="52">
        <f>AI47+1</f>
        <v>2035</v>
      </c>
      <c r="AP47" s="51" t="s">
        <v>51</v>
      </c>
      <c r="AQ47" s="48"/>
      <c r="AR47" s="48"/>
      <c r="AV47" s="7"/>
      <c r="AW47" s="52">
        <v>2026</v>
      </c>
      <c r="AX47" s="52">
        <f>AW47+1</f>
        <v>2027</v>
      </c>
      <c r="AY47" s="52">
        <f t="shared" ref="AY47:BD47" si="4">AX47+1</f>
        <v>2028</v>
      </c>
      <c r="AZ47" s="52">
        <f t="shared" si="4"/>
        <v>2029</v>
      </c>
      <c r="BA47" s="52">
        <f t="shared" si="4"/>
        <v>2030</v>
      </c>
      <c r="BB47" s="52">
        <f t="shared" si="4"/>
        <v>2031</v>
      </c>
      <c r="BC47" s="52">
        <f t="shared" si="4"/>
        <v>2032</v>
      </c>
      <c r="BD47" s="52">
        <f t="shared" si="4"/>
        <v>2033</v>
      </c>
      <c r="BE47" s="52">
        <f>BD47+1</f>
        <v>2034</v>
      </c>
      <c r="BF47" s="52">
        <f>BE47+1</f>
        <v>2035</v>
      </c>
      <c r="BL47" s="51" t="s">
        <v>51</v>
      </c>
      <c r="BM47" s="48"/>
      <c r="BN47" s="48"/>
      <c r="BR47" s="7"/>
      <c r="BS47" s="52">
        <v>2026</v>
      </c>
      <c r="BT47" s="52">
        <f>BS47+1</f>
        <v>2027</v>
      </c>
      <c r="BU47" s="52">
        <f t="shared" ref="BU47:BZ47" si="5">BT47+1</f>
        <v>2028</v>
      </c>
      <c r="BV47" s="52">
        <f t="shared" si="5"/>
        <v>2029</v>
      </c>
      <c r="BW47" s="52">
        <f t="shared" si="5"/>
        <v>2030</v>
      </c>
      <c r="BX47" s="52">
        <f t="shared" si="5"/>
        <v>2031</v>
      </c>
      <c r="BY47" s="52">
        <f t="shared" si="5"/>
        <v>2032</v>
      </c>
      <c r="BZ47" s="52">
        <f t="shared" si="5"/>
        <v>2033</v>
      </c>
      <c r="CA47" s="52">
        <f>BZ47+1</f>
        <v>2034</v>
      </c>
      <c r="CB47" s="52">
        <f>CA47+1</f>
        <v>2035</v>
      </c>
    </row>
    <row r="48" spans="1:85" ht="15" x14ac:dyDescent="0.4">
      <c r="A48" s="97"/>
      <c r="B48" s="97"/>
      <c r="C48" s="97"/>
      <c r="D48" s="97"/>
      <c r="E48" s="97"/>
      <c r="F48" s="97"/>
      <c r="G48" s="97"/>
      <c r="H48" s="97"/>
      <c r="I48" s="117"/>
      <c r="J48" s="97"/>
      <c r="K48" s="117"/>
      <c r="L48" s="97"/>
      <c r="M48" s="120" t="s">
        <v>31</v>
      </c>
      <c r="N48" s="122">
        <v>0.25</v>
      </c>
      <c r="O48" s="128">
        <f>1-EXP(-P48*$E$2)</f>
        <v>0.52708758847711112</v>
      </c>
      <c r="P48" s="126">
        <f>BJ35</f>
        <v>22.465352523655948</v>
      </c>
      <c r="Q48" s="97"/>
      <c r="R48" s="97"/>
      <c r="S48" s="97"/>
      <c r="T48" s="51" t="s">
        <v>52</v>
      </c>
      <c r="U48" s="48"/>
      <c r="V48" s="48"/>
      <c r="Z48" s="7"/>
      <c r="AA48" s="52">
        <f>AA47-$AA$47</f>
        <v>0</v>
      </c>
      <c r="AB48" s="52">
        <f t="shared" ref="AB48:AJ48" si="6">AB47-$AA$47</f>
        <v>1</v>
      </c>
      <c r="AC48" s="52">
        <f t="shared" si="6"/>
        <v>2</v>
      </c>
      <c r="AD48" s="52">
        <f t="shared" si="6"/>
        <v>3</v>
      </c>
      <c r="AE48" s="52">
        <f t="shared" si="6"/>
        <v>4</v>
      </c>
      <c r="AF48" s="52">
        <f t="shared" si="6"/>
        <v>5</v>
      </c>
      <c r="AG48" s="52">
        <f t="shared" si="6"/>
        <v>6</v>
      </c>
      <c r="AH48" s="52">
        <f t="shared" si="6"/>
        <v>7</v>
      </c>
      <c r="AI48" s="52">
        <f t="shared" si="6"/>
        <v>8</v>
      </c>
      <c r="AJ48" s="52">
        <f t="shared" si="6"/>
        <v>9</v>
      </c>
      <c r="AP48" s="51" t="s">
        <v>52</v>
      </c>
      <c r="AQ48" s="48"/>
      <c r="AR48" s="48"/>
      <c r="AV48" s="7"/>
      <c r="AW48" s="52">
        <f t="shared" ref="AW48:BF48" si="7">AW47-$AW$47</f>
        <v>0</v>
      </c>
      <c r="AX48" s="52">
        <f t="shared" si="7"/>
        <v>1</v>
      </c>
      <c r="AY48" s="52">
        <f t="shared" si="7"/>
        <v>2</v>
      </c>
      <c r="AZ48" s="52">
        <f t="shared" si="7"/>
        <v>3</v>
      </c>
      <c r="BA48" s="52">
        <f t="shared" si="7"/>
        <v>4</v>
      </c>
      <c r="BB48" s="52">
        <f t="shared" si="7"/>
        <v>5</v>
      </c>
      <c r="BC48" s="52">
        <f t="shared" si="7"/>
        <v>6</v>
      </c>
      <c r="BD48" s="52">
        <f t="shared" si="7"/>
        <v>7</v>
      </c>
      <c r="BE48" s="52">
        <f t="shared" si="7"/>
        <v>8</v>
      </c>
      <c r="BF48" s="52">
        <f t="shared" si="7"/>
        <v>9</v>
      </c>
      <c r="BL48" s="51" t="s">
        <v>52</v>
      </c>
      <c r="BM48" s="48"/>
      <c r="BN48" s="48"/>
      <c r="BR48" s="7"/>
      <c r="BS48" s="52">
        <f t="shared" ref="BS48:CB48" si="8">BS47-$BS$47</f>
        <v>0</v>
      </c>
      <c r="BT48" s="52">
        <f t="shared" si="8"/>
        <v>1</v>
      </c>
      <c r="BU48" s="52">
        <f t="shared" si="8"/>
        <v>2</v>
      </c>
      <c r="BV48" s="52">
        <f t="shared" si="8"/>
        <v>3</v>
      </c>
      <c r="BW48" s="52">
        <f t="shared" si="8"/>
        <v>4</v>
      </c>
      <c r="BX48" s="52">
        <f t="shared" si="8"/>
        <v>5</v>
      </c>
      <c r="BY48" s="52">
        <f t="shared" si="8"/>
        <v>6</v>
      </c>
      <c r="BZ48" s="52">
        <f t="shared" si="8"/>
        <v>7</v>
      </c>
      <c r="CA48" s="52">
        <f t="shared" si="8"/>
        <v>8</v>
      </c>
      <c r="CB48" s="52">
        <f t="shared" si="8"/>
        <v>9</v>
      </c>
    </row>
    <row r="49" spans="1:80" ht="15.4" x14ac:dyDescent="0.45">
      <c r="A49" s="97"/>
      <c r="B49" s="97"/>
      <c r="C49" s="97"/>
      <c r="D49" s="97"/>
      <c r="E49" s="97"/>
      <c r="F49" s="97"/>
      <c r="G49" s="97"/>
      <c r="H49" s="97"/>
      <c r="I49" s="117"/>
      <c r="J49" s="97"/>
      <c r="K49" s="117"/>
      <c r="L49" s="97"/>
      <c r="M49" s="117"/>
      <c r="N49" s="97"/>
      <c r="O49" s="128"/>
      <c r="P49" s="126"/>
      <c r="Q49" s="97"/>
      <c r="R49" s="97"/>
      <c r="S49" s="97"/>
      <c r="T49" s="49"/>
      <c r="U49" s="48"/>
      <c r="V49" s="48"/>
      <c r="Z49" s="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8"/>
      <c r="AL49" s="68"/>
      <c r="AM49" s="68"/>
      <c r="AN49" s="68"/>
      <c r="AO49" s="68"/>
      <c r="AP49" s="49"/>
      <c r="AQ49" s="48"/>
      <c r="AR49" s="48"/>
      <c r="AV49" s="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8"/>
      <c r="BH49" s="68"/>
      <c r="BL49" s="49"/>
      <c r="BM49" s="48"/>
      <c r="BN49" s="48"/>
      <c r="BR49" s="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s="3" customFormat="1" ht="15.4" x14ac:dyDescent="0.45">
      <c r="A50" s="97"/>
      <c r="B50" s="97"/>
      <c r="C50" s="97"/>
      <c r="D50" s="97"/>
      <c r="E50" s="97"/>
      <c r="F50" s="156" t="s">
        <v>7</v>
      </c>
      <c r="G50" s="156"/>
      <c r="H50" s="157"/>
      <c r="I50" s="117"/>
      <c r="J50" s="97"/>
      <c r="K50" s="117"/>
      <c r="L50" s="97"/>
      <c r="M50" s="117"/>
      <c r="N50" s="97"/>
      <c r="O50" s="128"/>
      <c r="P50" s="126"/>
      <c r="Q50" s="97"/>
      <c r="R50" s="97"/>
      <c r="S50" s="97"/>
      <c r="T50" s="49" t="s">
        <v>53</v>
      </c>
      <c r="U50" s="50"/>
      <c r="V50" s="50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8"/>
      <c r="AL50" s="68"/>
      <c r="AM50" s="68"/>
      <c r="AN50" s="68"/>
      <c r="AO50" s="68"/>
      <c r="AP50" s="49" t="s">
        <v>53</v>
      </c>
      <c r="AQ50" s="50"/>
      <c r="AR50" s="50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8"/>
      <c r="BH50" s="68"/>
      <c r="BI50"/>
      <c r="BJ50"/>
      <c r="BK50"/>
      <c r="BL50" s="49" t="s">
        <v>53</v>
      </c>
      <c r="BM50" s="50"/>
      <c r="BN50" s="50"/>
      <c r="BS50" s="69"/>
      <c r="BT50" s="69"/>
      <c r="BU50" s="69"/>
      <c r="BV50" s="69"/>
      <c r="BW50" s="69"/>
      <c r="BX50" s="69"/>
      <c r="BY50" s="69"/>
      <c r="BZ50" s="69"/>
      <c r="CA50" s="69"/>
      <c r="CB50" s="69"/>
    </row>
    <row r="51" spans="1:80" ht="15" x14ac:dyDescent="0.4">
      <c r="A51" s="97"/>
      <c r="B51" s="97"/>
      <c r="C51" s="97"/>
      <c r="D51" s="97"/>
      <c r="E51" s="121"/>
      <c r="F51" s="120" t="s">
        <v>84</v>
      </c>
      <c r="G51" s="122">
        <f>J20*I21+J51*I52+J82*I83</f>
        <v>0.29971211145658477</v>
      </c>
      <c r="H51" s="122"/>
      <c r="I51" s="120" t="s">
        <v>30</v>
      </c>
      <c r="J51" s="122">
        <v>0.5</v>
      </c>
      <c r="K51" s="120" t="s">
        <v>30</v>
      </c>
      <c r="L51" s="122">
        <v>0.5</v>
      </c>
      <c r="M51" s="120" t="s">
        <v>30</v>
      </c>
      <c r="N51" s="122">
        <v>0.5</v>
      </c>
      <c r="O51" s="128">
        <f>1-EXP(-P51*$E$2)</f>
        <v>0.37376412240019319</v>
      </c>
      <c r="P51" s="126">
        <f>BJ34</f>
        <v>14.040845327284968</v>
      </c>
      <c r="Q51" s="97"/>
      <c r="R51" s="97"/>
      <c r="S51" s="97"/>
      <c r="T51" s="48"/>
      <c r="U51" s="48" t="s">
        <v>54</v>
      </c>
      <c r="V51" s="48"/>
      <c r="Z51" s="11" t="s">
        <v>55</v>
      </c>
      <c r="AA51" s="70">
        <f>IF(Ss&lt;3,DC_,0)</f>
        <v>2.5</v>
      </c>
      <c r="AB51" s="70">
        <f>AA51*(1+$AD$33)</f>
        <v>2.59</v>
      </c>
      <c r="AC51" s="70">
        <f t="shared" ref="AC51:AJ52" si="9">AB51*(1+$AD$33)</f>
        <v>2.6832400000000001</v>
      </c>
      <c r="AD51" s="70">
        <f t="shared" si="9"/>
        <v>2.7798366400000001</v>
      </c>
      <c r="AE51" s="70">
        <f t="shared" si="9"/>
        <v>2.8799107590400004</v>
      </c>
      <c r="AF51" s="70">
        <f t="shared" si="9"/>
        <v>2.9835875463654404</v>
      </c>
      <c r="AG51" s="70">
        <f t="shared" si="9"/>
        <v>3.0909966980345964</v>
      </c>
      <c r="AH51" s="70">
        <f t="shared" si="9"/>
        <v>3.202272579163842</v>
      </c>
      <c r="AI51" s="70">
        <f t="shared" si="9"/>
        <v>3.3175543920137405</v>
      </c>
      <c r="AJ51" s="70">
        <f t="shared" si="9"/>
        <v>3.4369863501262352</v>
      </c>
      <c r="AK51" s="68"/>
      <c r="AL51" s="68"/>
      <c r="AM51" s="68"/>
      <c r="AN51" s="68"/>
      <c r="AO51" s="68"/>
      <c r="AP51" s="48"/>
      <c r="AQ51" s="48" t="s">
        <v>54</v>
      </c>
      <c r="AR51" s="48"/>
      <c r="AV51" s="11" t="s">
        <v>55</v>
      </c>
      <c r="AW51" s="70">
        <f>IF(strategy&lt;3,dem_DAC,0)</f>
        <v>2.5</v>
      </c>
      <c r="AX51" s="70">
        <f t="shared" ref="AX51:BF52" si="10">AW51*(1+$AZ$33)</f>
        <v>2.59</v>
      </c>
      <c r="AY51" s="70">
        <f t="shared" si="10"/>
        <v>2.6832400000000001</v>
      </c>
      <c r="AZ51" s="70">
        <f t="shared" si="10"/>
        <v>2.7798366400000001</v>
      </c>
      <c r="BA51" s="70">
        <f t="shared" si="10"/>
        <v>2.8799107590400004</v>
      </c>
      <c r="BB51" s="70">
        <f t="shared" si="10"/>
        <v>2.9835875463654404</v>
      </c>
      <c r="BC51" s="70">
        <f t="shared" si="10"/>
        <v>3.0909966980345964</v>
      </c>
      <c r="BD51" s="70">
        <f t="shared" si="10"/>
        <v>3.202272579163842</v>
      </c>
      <c r="BE51" s="70">
        <f t="shared" si="10"/>
        <v>3.3175543920137405</v>
      </c>
      <c r="BF51" s="70">
        <f t="shared" si="10"/>
        <v>3.4369863501262352</v>
      </c>
      <c r="BG51" s="68"/>
      <c r="BH51" s="68"/>
      <c r="BL51" s="48"/>
      <c r="BM51" s="48" t="s">
        <v>54</v>
      </c>
      <c r="BN51" s="48"/>
      <c r="BR51" s="11" t="s">
        <v>55</v>
      </c>
      <c r="BS51" s="70">
        <f>IF(S&lt;3,DC,0)</f>
        <v>2.5</v>
      </c>
      <c r="BT51" s="70">
        <f t="shared" ref="BT51:CB52" si="11">BS51*(1+$BV$33)</f>
        <v>2.59</v>
      </c>
      <c r="BU51" s="70">
        <f t="shared" si="11"/>
        <v>2.6832400000000001</v>
      </c>
      <c r="BV51" s="70">
        <f t="shared" si="11"/>
        <v>2.7798366400000001</v>
      </c>
      <c r="BW51" s="70">
        <f t="shared" si="11"/>
        <v>2.8799107590400004</v>
      </c>
      <c r="BX51" s="70">
        <f t="shared" si="11"/>
        <v>2.9835875463654404</v>
      </c>
      <c r="BY51" s="70">
        <f t="shared" si="11"/>
        <v>3.0909966980345964</v>
      </c>
      <c r="BZ51" s="70">
        <f t="shared" si="11"/>
        <v>3.202272579163842</v>
      </c>
      <c r="CA51" s="70">
        <f t="shared" si="11"/>
        <v>3.3175543920137405</v>
      </c>
      <c r="CB51" s="70">
        <f t="shared" si="11"/>
        <v>3.4369863501262352</v>
      </c>
    </row>
    <row r="52" spans="1:80" ht="15" x14ac:dyDescent="0.4">
      <c r="A52" s="97"/>
      <c r="B52" s="97"/>
      <c r="C52" s="97"/>
      <c r="D52" s="97"/>
      <c r="E52" s="121"/>
      <c r="F52" s="97" t="s">
        <v>87</v>
      </c>
      <c r="G52" s="126">
        <f>-LN(-G51+1)/$E$2</f>
        <v>10.687912774171622</v>
      </c>
      <c r="H52" s="97"/>
      <c r="I52" s="117">
        <f>L41*K42+L51*K52+L61*K62</f>
        <v>0.3008909558323779</v>
      </c>
      <c r="J52" s="97"/>
      <c r="K52" s="117">
        <f>O48*N48+O51*N51+O54*N54</f>
        <v>0.34099350426244762</v>
      </c>
      <c r="L52" s="97"/>
      <c r="M52" s="117"/>
      <c r="N52" s="97"/>
      <c r="O52" s="128"/>
      <c r="P52" s="126"/>
      <c r="Q52" s="97"/>
      <c r="R52" s="97"/>
      <c r="S52" s="97"/>
      <c r="T52" s="48"/>
      <c r="U52" s="48" t="s">
        <v>56</v>
      </c>
      <c r="V52" s="48"/>
      <c r="Z52" s="11" t="s">
        <v>55</v>
      </c>
      <c r="AA52" s="70">
        <f>IF(Ss&gt;2,DC_*AD32,0)</f>
        <v>0</v>
      </c>
      <c r="AB52" s="70">
        <f>AA52*(1+$AD$33)</f>
        <v>0</v>
      </c>
      <c r="AC52" s="70">
        <f t="shared" si="9"/>
        <v>0</v>
      </c>
      <c r="AD52" s="70">
        <f t="shared" si="9"/>
        <v>0</v>
      </c>
      <c r="AE52" s="70">
        <f t="shared" si="9"/>
        <v>0</v>
      </c>
      <c r="AF52" s="70">
        <f t="shared" si="9"/>
        <v>0</v>
      </c>
      <c r="AG52" s="70">
        <f t="shared" si="9"/>
        <v>0</v>
      </c>
      <c r="AH52" s="70">
        <f t="shared" si="9"/>
        <v>0</v>
      </c>
      <c r="AI52" s="70">
        <f t="shared" si="9"/>
        <v>0</v>
      </c>
      <c r="AJ52" s="70">
        <f t="shared" si="9"/>
        <v>0</v>
      </c>
      <c r="AK52" s="68"/>
      <c r="AL52" s="68"/>
      <c r="AM52" s="68"/>
      <c r="AN52" s="68"/>
      <c r="AO52" s="68"/>
      <c r="AP52" s="48"/>
      <c r="AQ52" s="48" t="s">
        <v>56</v>
      </c>
      <c r="AR52" s="48"/>
      <c r="AV52" s="11" t="s">
        <v>55</v>
      </c>
      <c r="AW52" s="70">
        <f>IF(strategy&gt;2,dem_DAC*AZ32,0)</f>
        <v>0</v>
      </c>
      <c r="AX52" s="70">
        <f t="shared" si="10"/>
        <v>0</v>
      </c>
      <c r="AY52" s="70">
        <f t="shared" si="10"/>
        <v>0</v>
      </c>
      <c r="AZ52" s="70">
        <f t="shared" si="10"/>
        <v>0</v>
      </c>
      <c r="BA52" s="70">
        <f t="shared" si="10"/>
        <v>0</v>
      </c>
      <c r="BB52" s="70">
        <f t="shared" si="10"/>
        <v>0</v>
      </c>
      <c r="BC52" s="70">
        <f t="shared" si="10"/>
        <v>0</v>
      </c>
      <c r="BD52" s="70">
        <f t="shared" si="10"/>
        <v>0</v>
      </c>
      <c r="BE52" s="70">
        <f t="shared" si="10"/>
        <v>0</v>
      </c>
      <c r="BF52" s="70">
        <f t="shared" si="10"/>
        <v>0</v>
      </c>
      <c r="BG52" s="68"/>
      <c r="BH52" s="68"/>
      <c r="BL52" s="48"/>
      <c r="BM52" s="48" t="s">
        <v>56</v>
      </c>
      <c r="BN52" s="48"/>
      <c r="BR52" s="11" t="s">
        <v>55</v>
      </c>
      <c r="BS52" s="70">
        <f>IF(S&gt;2,DC*BV32,0)</f>
        <v>0</v>
      </c>
      <c r="BT52" s="70">
        <f t="shared" si="11"/>
        <v>0</v>
      </c>
      <c r="BU52" s="70">
        <f t="shared" si="11"/>
        <v>0</v>
      </c>
      <c r="BV52" s="70">
        <f t="shared" si="11"/>
        <v>0</v>
      </c>
      <c r="BW52" s="70">
        <f t="shared" si="11"/>
        <v>0</v>
      </c>
      <c r="BX52" s="70">
        <f t="shared" si="11"/>
        <v>0</v>
      </c>
      <c r="BY52" s="70">
        <f t="shared" si="11"/>
        <v>0</v>
      </c>
      <c r="BZ52" s="70">
        <f t="shared" si="11"/>
        <v>0</v>
      </c>
      <c r="CA52" s="70">
        <f t="shared" si="11"/>
        <v>0</v>
      </c>
      <c r="CB52" s="70">
        <f t="shared" si="11"/>
        <v>0</v>
      </c>
    </row>
    <row r="53" spans="1:80" ht="15" x14ac:dyDescent="0.4">
      <c r="A53" s="97"/>
      <c r="B53" s="97"/>
      <c r="C53" s="97"/>
      <c r="D53" s="97"/>
      <c r="E53" s="121"/>
      <c r="F53" s="97"/>
      <c r="G53" s="97"/>
      <c r="H53" s="97"/>
      <c r="I53" s="117"/>
      <c r="J53" s="97"/>
      <c r="K53" s="117"/>
      <c r="L53" s="97"/>
      <c r="M53" s="123"/>
      <c r="N53" s="97"/>
      <c r="O53" s="128"/>
      <c r="P53" s="126"/>
      <c r="Q53" s="97"/>
      <c r="R53" s="97"/>
      <c r="S53" s="97"/>
      <c r="T53" s="48"/>
      <c r="U53" s="48" t="s">
        <v>57</v>
      </c>
      <c r="V53" s="48"/>
      <c r="Z53" s="11" t="s">
        <v>55</v>
      </c>
      <c r="AA53" s="71">
        <f>IF(Ss=1,2.5,IF(OR(Ss=2,Ss=3),8.5,IF(Ss=4,0,"error")))</f>
        <v>2.5</v>
      </c>
      <c r="AB53" s="71">
        <f>$AA$53</f>
        <v>2.5</v>
      </c>
      <c r="AC53" s="71">
        <f t="shared" ref="AC53:AJ53" si="12">$AA$53</f>
        <v>2.5</v>
      </c>
      <c r="AD53" s="71">
        <f t="shared" si="12"/>
        <v>2.5</v>
      </c>
      <c r="AE53" s="71">
        <f t="shared" si="12"/>
        <v>2.5</v>
      </c>
      <c r="AF53" s="71">
        <f t="shared" si="12"/>
        <v>2.5</v>
      </c>
      <c r="AG53" s="71">
        <f t="shared" si="12"/>
        <v>2.5</v>
      </c>
      <c r="AH53" s="71">
        <f t="shared" si="12"/>
        <v>2.5</v>
      </c>
      <c r="AI53" s="71">
        <f t="shared" si="12"/>
        <v>2.5</v>
      </c>
      <c r="AJ53" s="71">
        <f t="shared" si="12"/>
        <v>2.5</v>
      </c>
      <c r="AK53" s="68"/>
      <c r="AL53" s="68"/>
      <c r="AM53" s="68"/>
      <c r="AN53" s="68"/>
      <c r="AO53" s="68"/>
      <c r="AP53" s="48"/>
      <c r="AQ53" s="48" t="s">
        <v>57</v>
      </c>
      <c r="AR53" s="48"/>
      <c r="AV53" s="11" t="s">
        <v>55</v>
      </c>
      <c r="AW53" s="71">
        <f>IF(strategy=1,2.5,IF(OR(strategy=2,strategy=3),8.5,IF(strategy=4,0,"error")))</f>
        <v>2.5</v>
      </c>
      <c r="AX53" s="71">
        <f t="shared" ref="AX53:BF53" si="13">$AW$53</f>
        <v>2.5</v>
      </c>
      <c r="AY53" s="71">
        <f t="shared" si="13"/>
        <v>2.5</v>
      </c>
      <c r="AZ53" s="71">
        <f t="shared" si="13"/>
        <v>2.5</v>
      </c>
      <c r="BA53" s="71">
        <f t="shared" si="13"/>
        <v>2.5</v>
      </c>
      <c r="BB53" s="71">
        <f t="shared" si="13"/>
        <v>2.5</v>
      </c>
      <c r="BC53" s="71">
        <f t="shared" si="13"/>
        <v>2.5</v>
      </c>
      <c r="BD53" s="71">
        <f t="shared" si="13"/>
        <v>2.5</v>
      </c>
      <c r="BE53" s="71">
        <f t="shared" si="13"/>
        <v>2.5</v>
      </c>
      <c r="BF53" s="71">
        <f t="shared" si="13"/>
        <v>2.5</v>
      </c>
      <c r="BG53" s="68"/>
      <c r="BH53" s="68"/>
      <c r="BL53" s="48"/>
      <c r="BM53" s="48" t="s">
        <v>57</v>
      </c>
      <c r="BN53" s="48"/>
      <c r="BR53" s="11" t="s">
        <v>55</v>
      </c>
      <c r="BS53" s="71">
        <f>IF(S=1,2.5,IF(OR(S=2,S=3),8.5,IF(S=4,0,"error")))</f>
        <v>2.5</v>
      </c>
      <c r="BT53" s="71">
        <f t="shared" ref="BT53:CB53" si="14">$BS$53</f>
        <v>2.5</v>
      </c>
      <c r="BU53" s="71">
        <f t="shared" si="14"/>
        <v>2.5</v>
      </c>
      <c r="BV53" s="71">
        <f t="shared" si="14"/>
        <v>2.5</v>
      </c>
      <c r="BW53" s="71">
        <f t="shared" si="14"/>
        <v>2.5</v>
      </c>
      <c r="BX53" s="71">
        <f t="shared" si="14"/>
        <v>2.5</v>
      </c>
      <c r="BY53" s="71">
        <f t="shared" si="14"/>
        <v>2.5</v>
      </c>
      <c r="BZ53" s="71">
        <f t="shared" si="14"/>
        <v>2.5</v>
      </c>
      <c r="CA53" s="71">
        <f t="shared" si="14"/>
        <v>2.5</v>
      </c>
      <c r="CB53" s="71">
        <f t="shared" si="14"/>
        <v>2.5</v>
      </c>
    </row>
    <row r="54" spans="1:80" ht="15" x14ac:dyDescent="0.4">
      <c r="A54" s="97"/>
      <c r="B54" s="97"/>
      <c r="C54" s="97"/>
      <c r="D54" s="97"/>
      <c r="E54" s="121"/>
      <c r="F54" s="97"/>
      <c r="G54" s="97"/>
      <c r="H54" s="97"/>
      <c r="I54" s="117"/>
      <c r="J54" s="97"/>
      <c r="K54" s="117"/>
      <c r="L54" s="97"/>
      <c r="M54" s="122" t="s">
        <v>29</v>
      </c>
      <c r="N54" s="122">
        <v>0.25</v>
      </c>
      <c r="O54" s="128">
        <f>1-EXP(-P54*$E$2)</f>
        <v>8.9358183772292987E-2</v>
      </c>
      <c r="P54" s="126">
        <f>BJ33</f>
        <v>2.8081690654569935</v>
      </c>
      <c r="Q54" s="97"/>
      <c r="R54" s="97"/>
      <c r="S54" s="97"/>
      <c r="T54" s="48"/>
      <c r="U54" s="48" t="s">
        <v>53</v>
      </c>
      <c r="V54" s="48"/>
      <c r="Z54" s="11" t="s">
        <v>55</v>
      </c>
      <c r="AA54" s="70">
        <f t="shared" ref="AA54:AJ54" si="15">MIN(IF(Ss&lt;=2,AA51,AA52),IF(Ss=4,AA52,AA53))</f>
        <v>2.5</v>
      </c>
      <c r="AB54" s="70">
        <f t="shared" si="15"/>
        <v>2.5</v>
      </c>
      <c r="AC54" s="70">
        <f t="shared" si="15"/>
        <v>2.5</v>
      </c>
      <c r="AD54" s="70">
        <f t="shared" si="15"/>
        <v>2.5</v>
      </c>
      <c r="AE54" s="70">
        <f t="shared" si="15"/>
        <v>2.5</v>
      </c>
      <c r="AF54" s="70">
        <f t="shared" si="15"/>
        <v>2.5</v>
      </c>
      <c r="AG54" s="70">
        <f t="shared" si="15"/>
        <v>2.5</v>
      </c>
      <c r="AH54" s="70">
        <f t="shared" si="15"/>
        <v>2.5</v>
      </c>
      <c r="AI54" s="70">
        <f t="shared" si="15"/>
        <v>2.5</v>
      </c>
      <c r="AJ54" s="70">
        <f t="shared" si="15"/>
        <v>2.5</v>
      </c>
      <c r="AK54" s="68"/>
      <c r="AL54" s="68"/>
      <c r="AM54" s="68"/>
      <c r="AN54" s="68"/>
      <c r="AO54" s="68"/>
      <c r="AP54" s="48"/>
      <c r="AQ54" s="48" t="s">
        <v>53</v>
      </c>
      <c r="AR54" s="48"/>
      <c r="AV54" s="11" t="s">
        <v>55</v>
      </c>
      <c r="AW54" s="70">
        <f t="shared" ref="AW54:BF54" si="16">MIN(IF(strategy&lt;=2,AW51,AW52),IF(strategy=4,AW52,AW53))</f>
        <v>2.5</v>
      </c>
      <c r="AX54" s="70">
        <f t="shared" si="16"/>
        <v>2.5</v>
      </c>
      <c r="AY54" s="70">
        <f t="shared" si="16"/>
        <v>2.5</v>
      </c>
      <c r="AZ54" s="70">
        <f t="shared" si="16"/>
        <v>2.5</v>
      </c>
      <c r="BA54" s="70">
        <f t="shared" si="16"/>
        <v>2.5</v>
      </c>
      <c r="BB54" s="70">
        <f t="shared" si="16"/>
        <v>2.5</v>
      </c>
      <c r="BC54" s="70">
        <f t="shared" si="16"/>
        <v>2.5</v>
      </c>
      <c r="BD54" s="70">
        <f t="shared" si="16"/>
        <v>2.5</v>
      </c>
      <c r="BE54" s="70">
        <f t="shared" si="16"/>
        <v>2.5</v>
      </c>
      <c r="BF54" s="70">
        <f t="shared" si="16"/>
        <v>2.5</v>
      </c>
      <c r="BG54" s="68"/>
      <c r="BH54" s="68"/>
      <c r="BL54" s="48"/>
      <c r="BM54" s="48" t="s">
        <v>53</v>
      </c>
      <c r="BN54" s="48"/>
      <c r="BR54" s="11" t="s">
        <v>55</v>
      </c>
      <c r="BS54" s="70">
        <f t="shared" ref="BS54:CB54" si="17">MIN(IF(S&lt;=2,BS51,BS52),IF(S=4,BS52,BS53))</f>
        <v>2.5</v>
      </c>
      <c r="BT54" s="70">
        <f t="shared" si="17"/>
        <v>2.5</v>
      </c>
      <c r="BU54" s="70">
        <f t="shared" si="17"/>
        <v>2.5</v>
      </c>
      <c r="BV54" s="70">
        <f t="shared" si="17"/>
        <v>2.5</v>
      </c>
      <c r="BW54" s="70">
        <f t="shared" si="17"/>
        <v>2.5</v>
      </c>
      <c r="BX54" s="70">
        <f t="shared" si="17"/>
        <v>2.5</v>
      </c>
      <c r="BY54" s="70">
        <f t="shared" si="17"/>
        <v>2.5</v>
      </c>
      <c r="BZ54" s="70">
        <f t="shared" si="17"/>
        <v>2.5</v>
      </c>
      <c r="CA54" s="70">
        <f t="shared" si="17"/>
        <v>2.5</v>
      </c>
      <c r="CB54" s="70">
        <f t="shared" si="17"/>
        <v>2.5</v>
      </c>
    </row>
    <row r="55" spans="1:80" ht="15" x14ac:dyDescent="0.4">
      <c r="A55" s="97"/>
      <c r="B55" s="97"/>
      <c r="C55" s="97"/>
      <c r="D55" s="97"/>
      <c r="E55" s="121"/>
      <c r="F55" s="97"/>
      <c r="G55" s="97"/>
      <c r="H55" s="97"/>
      <c r="I55" s="117"/>
      <c r="J55" s="97"/>
      <c r="K55" s="117"/>
      <c r="L55" s="97"/>
      <c r="M55" s="97"/>
      <c r="N55" s="97"/>
      <c r="O55" s="128"/>
      <c r="P55" s="126"/>
      <c r="Q55" s="97"/>
      <c r="R55" s="97"/>
      <c r="S55" s="97"/>
      <c r="T55" s="48"/>
      <c r="U55" s="48"/>
      <c r="V55" s="48"/>
      <c r="Z55" s="11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68"/>
      <c r="AL55" s="68"/>
      <c r="AM55" s="68"/>
      <c r="AN55" s="68"/>
      <c r="AO55" s="68"/>
      <c r="AP55" s="48"/>
      <c r="AQ55" s="48"/>
      <c r="AR55" s="48"/>
      <c r="AV55" s="11"/>
      <c r="AW55" s="136"/>
      <c r="AX55" s="136"/>
      <c r="AY55" s="136"/>
      <c r="AZ55" s="136"/>
      <c r="BA55" s="136"/>
      <c r="BB55" s="136"/>
      <c r="BC55" s="136"/>
      <c r="BD55" s="136"/>
      <c r="BE55" s="136"/>
      <c r="BF55" s="136"/>
      <c r="BG55" s="68"/>
      <c r="BH55" s="68"/>
      <c r="BL55" s="48"/>
      <c r="BM55" s="48"/>
      <c r="BN55" s="48"/>
      <c r="BR55" s="11"/>
      <c r="BS55" s="136"/>
      <c r="BT55" s="136"/>
      <c r="BU55" s="136"/>
      <c r="BV55" s="136"/>
      <c r="BW55" s="136"/>
      <c r="BX55" s="136"/>
      <c r="BY55" s="136"/>
      <c r="BZ55" s="136"/>
      <c r="CA55" s="136"/>
      <c r="CB55" s="136"/>
    </row>
    <row r="56" spans="1:80" ht="15.4" x14ac:dyDescent="0.45">
      <c r="A56" s="97"/>
      <c r="B56" s="97"/>
      <c r="C56" s="97"/>
      <c r="D56" s="97"/>
      <c r="E56" s="121"/>
      <c r="F56" s="97"/>
      <c r="G56" s="97"/>
      <c r="H56" s="97"/>
      <c r="I56" s="117"/>
      <c r="J56" s="97"/>
      <c r="K56" s="117"/>
      <c r="L56" s="97"/>
      <c r="M56" s="155" t="s">
        <v>42</v>
      </c>
      <c r="N56" s="155"/>
      <c r="O56" s="128"/>
      <c r="P56" s="126"/>
      <c r="Q56" s="97"/>
      <c r="R56" s="97"/>
      <c r="S56" s="97"/>
      <c r="T56" s="49" t="s">
        <v>58</v>
      </c>
      <c r="U56" s="48"/>
      <c r="V56" s="48"/>
      <c r="Z56" s="80" t="s">
        <v>59</v>
      </c>
      <c r="AA56" s="72">
        <f>AA54*$AD$35</f>
        <v>26.875</v>
      </c>
      <c r="AB56" s="72">
        <f t="shared" ref="AB56:AJ56" si="18">AB54*$AD$35</f>
        <v>26.875</v>
      </c>
      <c r="AC56" s="72">
        <f t="shared" si="18"/>
        <v>26.875</v>
      </c>
      <c r="AD56" s="72">
        <f t="shared" si="18"/>
        <v>26.875</v>
      </c>
      <c r="AE56" s="72">
        <f t="shared" si="18"/>
        <v>26.875</v>
      </c>
      <c r="AF56" s="72">
        <f t="shared" si="18"/>
        <v>26.875</v>
      </c>
      <c r="AG56" s="72">
        <f t="shared" si="18"/>
        <v>26.875</v>
      </c>
      <c r="AH56" s="72">
        <f t="shared" si="18"/>
        <v>26.875</v>
      </c>
      <c r="AI56" s="72">
        <f t="shared" si="18"/>
        <v>26.875</v>
      </c>
      <c r="AJ56" s="72">
        <f t="shared" si="18"/>
        <v>26.875</v>
      </c>
      <c r="AK56" s="68"/>
      <c r="AL56" s="68"/>
      <c r="AM56" s="68"/>
      <c r="AN56" s="68"/>
      <c r="AO56" s="68"/>
      <c r="AP56" s="49" t="s">
        <v>58</v>
      </c>
      <c r="AQ56" s="48"/>
      <c r="AR56" s="48"/>
      <c r="AV56" s="80" t="s">
        <v>59</v>
      </c>
      <c r="AW56" s="72">
        <f t="shared" ref="AW56:BF56" si="19">AW54*$AZ$35</f>
        <v>26.875</v>
      </c>
      <c r="AX56" s="72">
        <f t="shared" si="19"/>
        <v>26.875</v>
      </c>
      <c r="AY56" s="72">
        <f t="shared" si="19"/>
        <v>26.875</v>
      </c>
      <c r="AZ56" s="72">
        <f t="shared" si="19"/>
        <v>26.875</v>
      </c>
      <c r="BA56" s="72">
        <f t="shared" si="19"/>
        <v>26.875</v>
      </c>
      <c r="BB56" s="72">
        <f t="shared" si="19"/>
        <v>26.875</v>
      </c>
      <c r="BC56" s="72">
        <f t="shared" si="19"/>
        <v>26.875</v>
      </c>
      <c r="BD56" s="72">
        <f t="shared" si="19"/>
        <v>26.875</v>
      </c>
      <c r="BE56" s="72">
        <f t="shared" si="19"/>
        <v>26.875</v>
      </c>
      <c r="BF56" s="72">
        <f t="shared" si="19"/>
        <v>26.875</v>
      </c>
      <c r="BG56" s="68"/>
      <c r="BH56" s="68"/>
      <c r="BL56" s="49" t="s">
        <v>58</v>
      </c>
      <c r="BM56" s="48"/>
      <c r="BN56" s="48"/>
      <c r="BR56" s="80" t="s">
        <v>59</v>
      </c>
      <c r="BS56" s="72">
        <f t="shared" ref="BS56:CB56" si="20">BS54*$BV$35</f>
        <v>26.875</v>
      </c>
      <c r="BT56" s="72">
        <f t="shared" si="20"/>
        <v>26.875</v>
      </c>
      <c r="BU56" s="72">
        <f t="shared" si="20"/>
        <v>26.875</v>
      </c>
      <c r="BV56" s="72">
        <f t="shared" si="20"/>
        <v>26.875</v>
      </c>
      <c r="BW56" s="72">
        <f t="shared" si="20"/>
        <v>26.875</v>
      </c>
      <c r="BX56" s="72">
        <f t="shared" si="20"/>
        <v>26.875</v>
      </c>
      <c r="BY56" s="72">
        <f t="shared" si="20"/>
        <v>26.875</v>
      </c>
      <c r="BZ56" s="72">
        <f t="shared" si="20"/>
        <v>26.875</v>
      </c>
      <c r="CA56" s="72">
        <f t="shared" si="20"/>
        <v>26.875</v>
      </c>
      <c r="CB56" s="72">
        <f t="shared" si="20"/>
        <v>26.875</v>
      </c>
    </row>
    <row r="57" spans="1:80" ht="15.4" x14ac:dyDescent="0.45">
      <c r="A57" s="97"/>
      <c r="B57" s="97"/>
      <c r="C57" s="97"/>
      <c r="D57" s="97"/>
      <c r="E57" s="121"/>
      <c r="F57" s="97"/>
      <c r="G57" s="97"/>
      <c r="H57" s="97"/>
      <c r="I57" s="117"/>
      <c r="J57" s="97"/>
      <c r="K57" s="117"/>
      <c r="L57" s="97"/>
      <c r="M57" s="97"/>
      <c r="N57" s="97"/>
      <c r="O57" s="128"/>
      <c r="P57" s="126"/>
      <c r="Q57" s="97"/>
      <c r="R57" s="97"/>
      <c r="S57" s="97"/>
      <c r="T57" s="50"/>
      <c r="U57" s="48"/>
      <c r="V57" s="48"/>
      <c r="Z57" s="80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68"/>
      <c r="AL57" s="68"/>
      <c r="AM57" s="68"/>
      <c r="AN57" s="68"/>
      <c r="AO57" s="68"/>
      <c r="AP57" s="50"/>
      <c r="AQ57" s="48"/>
      <c r="AR57" s="48"/>
      <c r="AV57" s="80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68"/>
      <c r="BH57" s="68"/>
      <c r="BL57" s="50"/>
      <c r="BM57" s="48"/>
      <c r="BN57" s="48"/>
      <c r="BR57" s="80"/>
      <c r="BS57" s="72"/>
      <c r="BT57" s="72"/>
      <c r="BU57" s="72"/>
      <c r="BV57" s="72"/>
      <c r="BW57" s="72"/>
      <c r="BX57" s="72"/>
      <c r="BY57" s="72"/>
      <c r="BZ57" s="72"/>
      <c r="CA57" s="72"/>
      <c r="CB57" s="72"/>
    </row>
    <row r="58" spans="1:80" ht="15.4" x14ac:dyDescent="0.45">
      <c r="A58" s="97"/>
      <c r="B58" s="97"/>
      <c r="C58" s="97"/>
      <c r="D58" s="97"/>
      <c r="E58" s="121"/>
      <c r="F58" s="97"/>
      <c r="G58" s="97"/>
      <c r="H58" s="97"/>
      <c r="I58" s="117"/>
      <c r="J58" s="97"/>
      <c r="K58" s="117"/>
      <c r="L58" s="97"/>
      <c r="M58" s="120" t="s">
        <v>31</v>
      </c>
      <c r="N58" s="122">
        <v>0.25</v>
      </c>
      <c r="O58" s="128">
        <f>1-EXP(-P58*$E$2)</f>
        <v>0.29194180301473338</v>
      </c>
      <c r="P58" s="126">
        <f>BI35</f>
        <v>10.356869686045449</v>
      </c>
      <c r="Q58" s="97"/>
      <c r="R58" s="97"/>
      <c r="S58" s="97"/>
      <c r="T58" s="49" t="s">
        <v>60</v>
      </c>
      <c r="U58" s="48"/>
      <c r="V58" s="48"/>
      <c r="Z58" s="80" t="s">
        <v>59</v>
      </c>
      <c r="AA58" s="72">
        <f t="shared" ref="AA58:AJ58" si="21">IF(Ss=4,0,AA54*$AD$36)</f>
        <v>24.375</v>
      </c>
      <c r="AB58" s="72">
        <f t="shared" si="21"/>
        <v>24.375</v>
      </c>
      <c r="AC58" s="72">
        <f t="shared" si="21"/>
        <v>24.375</v>
      </c>
      <c r="AD58" s="72">
        <f t="shared" si="21"/>
        <v>24.375</v>
      </c>
      <c r="AE58" s="72">
        <f t="shared" si="21"/>
        <v>24.375</v>
      </c>
      <c r="AF58" s="72">
        <f t="shared" si="21"/>
        <v>24.375</v>
      </c>
      <c r="AG58" s="72">
        <f t="shared" si="21"/>
        <v>24.375</v>
      </c>
      <c r="AH58" s="72">
        <f t="shared" si="21"/>
        <v>24.375</v>
      </c>
      <c r="AI58" s="72">
        <f t="shared" si="21"/>
        <v>24.375</v>
      </c>
      <c r="AJ58" s="72">
        <f t="shared" si="21"/>
        <v>24.375</v>
      </c>
      <c r="AK58" s="68"/>
      <c r="AL58" s="68"/>
      <c r="AM58" s="68"/>
      <c r="AN58" s="68"/>
      <c r="AO58" s="68"/>
      <c r="AP58" s="49" t="s">
        <v>60</v>
      </c>
      <c r="AQ58" s="48"/>
      <c r="AR58" s="48"/>
      <c r="AV58" s="80" t="s">
        <v>59</v>
      </c>
      <c r="AW58" s="72">
        <f t="shared" ref="AW58:BF58" si="22">IF(strategy=4,0,AW54*$AZ$36)</f>
        <v>23.75</v>
      </c>
      <c r="AX58" s="72">
        <f t="shared" si="22"/>
        <v>23.75</v>
      </c>
      <c r="AY58" s="72">
        <f t="shared" si="22"/>
        <v>23.75</v>
      </c>
      <c r="AZ58" s="72">
        <f t="shared" si="22"/>
        <v>23.75</v>
      </c>
      <c r="BA58" s="72">
        <f t="shared" si="22"/>
        <v>23.75</v>
      </c>
      <c r="BB58" s="72">
        <f t="shared" si="22"/>
        <v>23.75</v>
      </c>
      <c r="BC58" s="72">
        <f t="shared" si="22"/>
        <v>23.75</v>
      </c>
      <c r="BD58" s="72">
        <f t="shared" si="22"/>
        <v>23.75</v>
      </c>
      <c r="BE58" s="72">
        <f t="shared" si="22"/>
        <v>23.75</v>
      </c>
      <c r="BF58" s="72">
        <f t="shared" si="22"/>
        <v>23.75</v>
      </c>
      <c r="BG58" s="68"/>
      <c r="BH58" s="68"/>
      <c r="BL58" s="49" t="s">
        <v>60</v>
      </c>
      <c r="BM58" s="48"/>
      <c r="BN58" s="48"/>
      <c r="BR58" s="80" t="s">
        <v>59</v>
      </c>
      <c r="BS58" s="72">
        <f t="shared" ref="BS58:CB58" si="23">IF(S=4,0,BS54*$BV$36)</f>
        <v>23.125</v>
      </c>
      <c r="BT58" s="72">
        <f t="shared" si="23"/>
        <v>23.125</v>
      </c>
      <c r="BU58" s="72">
        <f t="shared" si="23"/>
        <v>23.125</v>
      </c>
      <c r="BV58" s="72">
        <f t="shared" si="23"/>
        <v>23.125</v>
      </c>
      <c r="BW58" s="72">
        <f t="shared" si="23"/>
        <v>23.125</v>
      </c>
      <c r="BX58" s="72">
        <f t="shared" si="23"/>
        <v>23.125</v>
      </c>
      <c r="BY58" s="72">
        <f t="shared" si="23"/>
        <v>23.125</v>
      </c>
      <c r="BZ58" s="72">
        <f t="shared" si="23"/>
        <v>23.125</v>
      </c>
      <c r="CA58" s="72">
        <f t="shared" si="23"/>
        <v>23.125</v>
      </c>
      <c r="CB58" s="72">
        <f t="shared" si="23"/>
        <v>23.125</v>
      </c>
    </row>
    <row r="59" spans="1:80" ht="15.4" x14ac:dyDescent="0.45">
      <c r="A59" s="97"/>
      <c r="B59" s="97"/>
      <c r="C59" s="97"/>
      <c r="D59" s="97"/>
      <c r="E59" s="121"/>
      <c r="F59" s="97"/>
      <c r="G59" s="97"/>
      <c r="H59" s="97"/>
      <c r="I59" s="117"/>
      <c r="J59" s="97"/>
      <c r="K59" s="117"/>
      <c r="L59" s="97"/>
      <c r="M59" s="117"/>
      <c r="N59" s="97"/>
      <c r="O59" s="128"/>
      <c r="P59" s="126"/>
      <c r="Q59" s="97"/>
      <c r="R59" s="97"/>
      <c r="S59" s="97"/>
      <c r="T59" s="50"/>
      <c r="U59" s="48"/>
      <c r="V59" s="48"/>
      <c r="Z59" s="80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68"/>
      <c r="AL59" s="68"/>
      <c r="AM59" s="68"/>
      <c r="AN59" s="68"/>
      <c r="AO59" s="68"/>
      <c r="AP59" s="50"/>
      <c r="AQ59" s="48"/>
      <c r="AR59" s="48"/>
      <c r="AV59" s="80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68"/>
      <c r="BH59" s="68"/>
      <c r="BL59" s="50"/>
      <c r="BM59" s="48"/>
      <c r="BN59" s="48"/>
      <c r="BR59" s="80"/>
      <c r="BS59" s="72"/>
      <c r="BT59" s="72"/>
      <c r="BU59" s="72"/>
      <c r="BV59" s="72"/>
      <c r="BW59" s="72"/>
      <c r="BX59" s="72"/>
      <c r="BY59" s="72"/>
      <c r="BZ59" s="72"/>
      <c r="CA59" s="72"/>
      <c r="CB59" s="72"/>
    </row>
    <row r="60" spans="1:80" ht="15" x14ac:dyDescent="0.4">
      <c r="A60" s="97"/>
      <c r="B60" s="97"/>
      <c r="C60" s="97"/>
      <c r="D60" s="97"/>
      <c r="E60" s="121"/>
      <c r="F60" s="97"/>
      <c r="G60" s="97"/>
      <c r="H60" s="97"/>
      <c r="I60" s="117"/>
      <c r="J60" s="97"/>
      <c r="K60" s="123"/>
      <c r="L60" s="97"/>
      <c r="M60" s="117"/>
      <c r="N60" s="97"/>
      <c r="O60" s="128"/>
      <c r="P60" s="126"/>
      <c r="Q60" s="97"/>
      <c r="R60" s="97"/>
      <c r="S60" s="97"/>
      <c r="T60" s="51" t="s">
        <v>61</v>
      </c>
      <c r="U60" s="48"/>
      <c r="V60" s="48"/>
      <c r="Z60" s="80" t="s">
        <v>59</v>
      </c>
      <c r="AA60" s="72">
        <f>IF(Ss=2,$AD$37,0)</f>
        <v>0</v>
      </c>
      <c r="AB60" s="72">
        <v>0</v>
      </c>
      <c r="AC60" s="72">
        <v>0</v>
      </c>
      <c r="AD60" s="72">
        <v>0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>
        <v>0</v>
      </c>
      <c r="AK60" s="68"/>
      <c r="AL60" s="68"/>
      <c r="AM60" s="68"/>
      <c r="AN60" s="68"/>
      <c r="AO60" s="68"/>
      <c r="AP60" s="51" t="s">
        <v>61</v>
      </c>
      <c r="AQ60" s="48"/>
      <c r="AR60" s="48"/>
      <c r="AV60" s="80" t="s">
        <v>59</v>
      </c>
      <c r="AW60" s="72">
        <f>IF(strategy=2,$AZ$37,0)</f>
        <v>0</v>
      </c>
      <c r="AX60" s="72">
        <v>0</v>
      </c>
      <c r="AY60" s="72">
        <v>0</v>
      </c>
      <c r="AZ60" s="72">
        <v>0</v>
      </c>
      <c r="BA60" s="72">
        <v>0</v>
      </c>
      <c r="BB60" s="72">
        <v>0</v>
      </c>
      <c r="BC60" s="72">
        <v>0</v>
      </c>
      <c r="BD60" s="72">
        <v>0</v>
      </c>
      <c r="BE60" s="72">
        <v>0</v>
      </c>
      <c r="BF60" s="72">
        <v>0</v>
      </c>
      <c r="BG60" s="68"/>
      <c r="BH60" s="68"/>
      <c r="BL60" s="51" t="s">
        <v>61</v>
      </c>
      <c r="BM60" s="48"/>
      <c r="BN60" s="48"/>
      <c r="BR60" s="80" t="s">
        <v>59</v>
      </c>
      <c r="BS60" s="72">
        <f>IF(S=2,$BV$37,0)</f>
        <v>0</v>
      </c>
      <c r="BT60" s="72">
        <v>0</v>
      </c>
      <c r="BU60" s="72">
        <v>0</v>
      </c>
      <c r="BV60" s="72">
        <v>0</v>
      </c>
      <c r="BW60" s="72">
        <v>0</v>
      </c>
      <c r="BX60" s="72">
        <v>0</v>
      </c>
      <c r="BY60" s="72">
        <v>0</v>
      </c>
      <c r="BZ60" s="72">
        <v>0</v>
      </c>
      <c r="CA60" s="72">
        <v>0</v>
      </c>
      <c r="CB60" s="72">
        <v>0</v>
      </c>
    </row>
    <row r="61" spans="1:80" ht="15" x14ac:dyDescent="0.4">
      <c r="A61" s="97"/>
      <c r="B61" s="97"/>
      <c r="C61" s="97"/>
      <c r="D61" s="97"/>
      <c r="E61" s="121"/>
      <c r="F61" s="97"/>
      <c r="G61" s="97"/>
      <c r="H61" s="97"/>
      <c r="I61" s="117"/>
      <c r="J61" s="97"/>
      <c r="K61" s="122" t="s">
        <v>29</v>
      </c>
      <c r="L61" s="122">
        <v>0.25</v>
      </c>
      <c r="M61" s="120" t="s">
        <v>30</v>
      </c>
      <c r="N61" s="122">
        <v>0.5</v>
      </c>
      <c r="O61" s="128">
        <f>1-EXP(-P61*$E$2)</f>
        <v>0.19407784131982464</v>
      </c>
      <c r="P61" s="126">
        <f>BI34</f>
        <v>6.473043553778405</v>
      </c>
      <c r="Q61" s="97"/>
      <c r="R61" s="97"/>
      <c r="S61" s="97"/>
      <c r="T61" s="48"/>
      <c r="U61" s="48"/>
      <c r="V61" s="48"/>
      <c r="Z61" s="80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68"/>
      <c r="AL61" s="68"/>
      <c r="AM61" s="68"/>
      <c r="AN61" s="68"/>
      <c r="AO61" s="68"/>
      <c r="AP61" s="48"/>
      <c r="AQ61" s="48"/>
      <c r="AR61" s="48"/>
      <c r="AV61" s="80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68"/>
      <c r="BH61" s="68"/>
      <c r="BL61" s="48"/>
      <c r="BM61" s="48"/>
      <c r="BN61" s="48"/>
      <c r="BR61" s="80"/>
      <c r="BS61" s="72"/>
      <c r="BT61" s="72"/>
      <c r="BU61" s="72"/>
      <c r="BV61" s="72"/>
      <c r="BW61" s="72"/>
      <c r="BX61" s="72"/>
      <c r="BY61" s="72"/>
      <c r="BZ61" s="72"/>
      <c r="CA61" s="72"/>
      <c r="CB61" s="72"/>
    </row>
    <row r="62" spans="1:80" ht="15" x14ac:dyDescent="0.4">
      <c r="A62" s="97"/>
      <c r="B62" s="97"/>
      <c r="C62" s="97"/>
      <c r="D62" s="97"/>
      <c r="E62" s="121"/>
      <c r="F62" s="97"/>
      <c r="G62" s="97"/>
      <c r="H62" s="97"/>
      <c r="I62" s="117"/>
      <c r="J62" s="97"/>
      <c r="K62" s="97">
        <f>O58*N58+O61*N61+O64*N64</f>
        <v>0.18058331054216878</v>
      </c>
      <c r="L62" s="97"/>
      <c r="M62" s="117"/>
      <c r="N62" s="97"/>
      <c r="O62" s="128"/>
      <c r="P62" s="126"/>
      <c r="Q62" s="97"/>
      <c r="R62" s="97"/>
      <c r="S62" s="97"/>
      <c r="T62" s="51" t="s">
        <v>62</v>
      </c>
      <c r="U62" s="48"/>
      <c r="V62" s="48"/>
      <c r="Z62" s="80" t="s">
        <v>59</v>
      </c>
      <c r="AA62" s="72">
        <f t="shared" ref="AA62:AJ62" si="24">IF(Ss=3,$AB$20*(AA56-AA58),0)</f>
        <v>0</v>
      </c>
      <c r="AB62" s="72">
        <f t="shared" si="24"/>
        <v>0</v>
      </c>
      <c r="AC62" s="72">
        <f t="shared" si="24"/>
        <v>0</v>
      </c>
      <c r="AD62" s="72">
        <f t="shared" si="24"/>
        <v>0</v>
      </c>
      <c r="AE62" s="72">
        <f t="shared" si="24"/>
        <v>0</v>
      </c>
      <c r="AF62" s="72">
        <f t="shared" si="24"/>
        <v>0</v>
      </c>
      <c r="AG62" s="72">
        <f t="shared" si="24"/>
        <v>0</v>
      </c>
      <c r="AH62" s="72">
        <f t="shared" si="24"/>
        <v>0</v>
      </c>
      <c r="AI62" s="72">
        <f t="shared" si="24"/>
        <v>0</v>
      </c>
      <c r="AJ62" s="72">
        <f t="shared" si="24"/>
        <v>0</v>
      </c>
      <c r="AK62" s="68"/>
      <c r="AL62" s="68"/>
      <c r="AM62" s="68"/>
      <c r="AN62" s="68"/>
      <c r="AO62" s="68"/>
      <c r="AP62" s="51" t="s">
        <v>62</v>
      </c>
      <c r="AQ62" s="48"/>
      <c r="AR62" s="48"/>
      <c r="AV62" s="80" t="s">
        <v>59</v>
      </c>
      <c r="AW62" s="72">
        <f t="shared" ref="AW62:BF62" si="25">IF(strategy=3,$AX$20*(AW56-AW58),0)</f>
        <v>0</v>
      </c>
      <c r="AX62" s="72">
        <f t="shared" si="25"/>
        <v>0</v>
      </c>
      <c r="AY62" s="72">
        <f t="shared" si="25"/>
        <v>0</v>
      </c>
      <c r="AZ62" s="72">
        <f t="shared" si="25"/>
        <v>0</v>
      </c>
      <c r="BA62" s="72">
        <f t="shared" si="25"/>
        <v>0</v>
      </c>
      <c r="BB62" s="72">
        <f t="shared" si="25"/>
        <v>0</v>
      </c>
      <c r="BC62" s="72">
        <f t="shared" si="25"/>
        <v>0</v>
      </c>
      <c r="BD62" s="72">
        <f t="shared" si="25"/>
        <v>0</v>
      </c>
      <c r="BE62" s="72">
        <f t="shared" si="25"/>
        <v>0</v>
      </c>
      <c r="BF62" s="72">
        <f t="shared" si="25"/>
        <v>0</v>
      </c>
      <c r="BG62" s="68"/>
      <c r="BH62" s="68"/>
      <c r="BL62" s="51" t="s">
        <v>62</v>
      </c>
      <c r="BM62" s="48"/>
      <c r="BN62" s="48"/>
      <c r="BR62" s="80" t="s">
        <v>59</v>
      </c>
      <c r="BS62" s="72">
        <f t="shared" ref="BS62:CB62" si="26">IF(S=3,$BT$20*(BS56-BS58),0)</f>
        <v>0</v>
      </c>
      <c r="BT62" s="72">
        <f t="shared" si="26"/>
        <v>0</v>
      </c>
      <c r="BU62" s="72">
        <f t="shared" si="26"/>
        <v>0</v>
      </c>
      <c r="BV62" s="72">
        <f t="shared" si="26"/>
        <v>0</v>
      </c>
      <c r="BW62" s="72">
        <f t="shared" si="26"/>
        <v>0</v>
      </c>
      <c r="BX62" s="72">
        <f t="shared" si="26"/>
        <v>0</v>
      </c>
      <c r="BY62" s="72">
        <f t="shared" si="26"/>
        <v>0</v>
      </c>
      <c r="BZ62" s="72">
        <f t="shared" si="26"/>
        <v>0</v>
      </c>
      <c r="CA62" s="72">
        <f t="shared" si="26"/>
        <v>0</v>
      </c>
      <c r="CB62" s="72">
        <f t="shared" si="26"/>
        <v>0</v>
      </c>
    </row>
    <row r="63" spans="1:80" ht="15" x14ac:dyDescent="0.4">
      <c r="A63" s="97"/>
      <c r="B63" s="97"/>
      <c r="C63" s="97"/>
      <c r="D63" s="97"/>
      <c r="E63" s="121"/>
      <c r="F63" s="97"/>
      <c r="G63" s="97"/>
      <c r="H63" s="97"/>
      <c r="I63" s="117"/>
      <c r="J63" s="97"/>
      <c r="K63" s="97"/>
      <c r="L63" s="97"/>
      <c r="M63" s="123"/>
      <c r="N63" s="97"/>
      <c r="O63" s="128"/>
      <c r="P63" s="126"/>
      <c r="Q63" s="97"/>
      <c r="R63" s="97"/>
      <c r="S63" s="97"/>
      <c r="T63" s="51" t="s">
        <v>63</v>
      </c>
      <c r="U63" s="48"/>
      <c r="V63" s="48"/>
      <c r="Z63" s="80" t="s">
        <v>59</v>
      </c>
      <c r="AA63" s="72">
        <f>$AB$21*(AA56)</f>
        <v>26.337499999999999</v>
      </c>
      <c r="AB63" s="72">
        <f t="shared" ref="AB63:AJ63" si="27">$AB$21*(AB56)</f>
        <v>26.337499999999999</v>
      </c>
      <c r="AC63" s="72">
        <f t="shared" si="27"/>
        <v>26.337499999999999</v>
      </c>
      <c r="AD63" s="72">
        <f t="shared" si="27"/>
        <v>26.337499999999999</v>
      </c>
      <c r="AE63" s="72">
        <f t="shared" si="27"/>
        <v>26.337499999999999</v>
      </c>
      <c r="AF63" s="72">
        <f t="shared" si="27"/>
        <v>26.337499999999999</v>
      </c>
      <c r="AG63" s="72">
        <f t="shared" si="27"/>
        <v>26.337499999999999</v>
      </c>
      <c r="AH63" s="72">
        <f t="shared" si="27"/>
        <v>26.337499999999999</v>
      </c>
      <c r="AI63" s="72">
        <f t="shared" si="27"/>
        <v>26.337499999999999</v>
      </c>
      <c r="AJ63" s="72">
        <f t="shared" si="27"/>
        <v>26.337499999999999</v>
      </c>
      <c r="AK63" s="68"/>
      <c r="AL63" s="68"/>
      <c r="AM63" s="68"/>
      <c r="AN63" s="68"/>
      <c r="AO63" s="68"/>
      <c r="AP63" s="51" t="s">
        <v>63</v>
      </c>
      <c r="AQ63" s="48"/>
      <c r="AR63" s="48"/>
      <c r="AV63" s="80" t="s">
        <v>59</v>
      </c>
      <c r="AW63" s="72">
        <f t="shared" ref="AW63:BF63" si="28">$AX$21*(AW56)</f>
        <v>26.337499999999999</v>
      </c>
      <c r="AX63" s="72">
        <f t="shared" si="28"/>
        <v>26.337499999999999</v>
      </c>
      <c r="AY63" s="72">
        <f t="shared" si="28"/>
        <v>26.337499999999999</v>
      </c>
      <c r="AZ63" s="72">
        <f t="shared" si="28"/>
        <v>26.337499999999999</v>
      </c>
      <c r="BA63" s="72">
        <f t="shared" si="28"/>
        <v>26.337499999999999</v>
      </c>
      <c r="BB63" s="72">
        <f t="shared" si="28"/>
        <v>26.337499999999999</v>
      </c>
      <c r="BC63" s="72">
        <f t="shared" si="28"/>
        <v>26.337499999999999</v>
      </c>
      <c r="BD63" s="72">
        <f t="shared" si="28"/>
        <v>26.337499999999999</v>
      </c>
      <c r="BE63" s="72">
        <f t="shared" si="28"/>
        <v>26.337499999999999</v>
      </c>
      <c r="BF63" s="72">
        <f t="shared" si="28"/>
        <v>26.337499999999999</v>
      </c>
      <c r="BG63" s="68"/>
      <c r="BH63" s="68"/>
      <c r="BL63" s="51" t="s">
        <v>63</v>
      </c>
      <c r="BM63" s="48"/>
      <c r="BN63" s="48"/>
      <c r="BR63" s="80" t="s">
        <v>59</v>
      </c>
      <c r="BS63" s="72">
        <f t="shared" ref="BS63:CB63" si="29">$BT$21*(BS56)</f>
        <v>26.337499999999999</v>
      </c>
      <c r="BT63" s="72">
        <f t="shared" si="29"/>
        <v>26.337499999999999</v>
      </c>
      <c r="BU63" s="72">
        <f t="shared" si="29"/>
        <v>26.337499999999999</v>
      </c>
      <c r="BV63" s="72">
        <f t="shared" si="29"/>
        <v>26.337499999999999</v>
      </c>
      <c r="BW63" s="72">
        <f t="shared" si="29"/>
        <v>26.337499999999999</v>
      </c>
      <c r="BX63" s="72">
        <f t="shared" si="29"/>
        <v>26.337499999999999</v>
      </c>
      <c r="BY63" s="72">
        <f t="shared" si="29"/>
        <v>26.337499999999999</v>
      </c>
      <c r="BZ63" s="72">
        <f t="shared" si="29"/>
        <v>26.337499999999999</v>
      </c>
      <c r="CA63" s="72">
        <f t="shared" si="29"/>
        <v>26.337499999999999</v>
      </c>
      <c r="CB63" s="72">
        <f t="shared" si="29"/>
        <v>26.337499999999999</v>
      </c>
    </row>
    <row r="64" spans="1:80" ht="15" x14ac:dyDescent="0.4">
      <c r="A64" s="97"/>
      <c r="B64" s="97"/>
      <c r="C64" s="97"/>
      <c r="D64" s="97"/>
      <c r="E64" s="121"/>
      <c r="F64" s="97"/>
      <c r="G64" s="97"/>
      <c r="H64" s="97"/>
      <c r="I64" s="117"/>
      <c r="J64" s="97"/>
      <c r="K64" s="97"/>
      <c r="L64" s="97"/>
      <c r="M64" s="122" t="s">
        <v>29</v>
      </c>
      <c r="N64" s="122">
        <v>0.25</v>
      </c>
      <c r="O64" s="128">
        <f>1-EXP(-P64*$E$2)</f>
        <v>4.2235756514292455E-2</v>
      </c>
      <c r="P64" s="126">
        <f>BI33</f>
        <v>1.2946087107556814</v>
      </c>
      <c r="Q64" s="97"/>
      <c r="R64" s="97"/>
      <c r="S64" s="97"/>
      <c r="T64" s="48"/>
      <c r="U64" s="48"/>
      <c r="V64" s="48"/>
      <c r="Z64" s="80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68"/>
      <c r="AL64" s="68"/>
      <c r="AM64" s="68"/>
      <c r="AN64" s="68"/>
      <c r="AO64" s="68"/>
      <c r="AP64" s="48"/>
      <c r="AQ64" s="48"/>
      <c r="AR64" s="48"/>
      <c r="AV64" s="80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68"/>
      <c r="BH64" s="68"/>
      <c r="BL64" s="48"/>
      <c r="BM64" s="48"/>
      <c r="BN64" s="48"/>
      <c r="BR64" s="80"/>
      <c r="BS64" s="72"/>
      <c r="BT64" s="72"/>
      <c r="BU64" s="72"/>
      <c r="BV64" s="72"/>
      <c r="BW64" s="72"/>
      <c r="BX64" s="72"/>
      <c r="BY64" s="72"/>
      <c r="BZ64" s="72"/>
      <c r="CA64" s="72"/>
      <c r="CB64" s="72"/>
    </row>
    <row r="65" spans="1:80" ht="15" x14ac:dyDescent="0.4">
      <c r="A65" s="97"/>
      <c r="B65" s="97"/>
      <c r="C65" s="97"/>
      <c r="D65" s="97"/>
      <c r="E65" s="121"/>
      <c r="F65" s="97"/>
      <c r="G65" s="97"/>
      <c r="H65" s="97"/>
      <c r="I65" s="117"/>
      <c r="J65" s="97"/>
      <c r="K65" s="97"/>
      <c r="L65" s="97"/>
      <c r="M65" s="97"/>
      <c r="N65" s="97"/>
      <c r="O65" s="128"/>
      <c r="P65" s="126"/>
      <c r="Q65" s="97"/>
      <c r="R65" s="97"/>
      <c r="S65" s="97"/>
      <c r="T65" s="51" t="s">
        <v>64</v>
      </c>
      <c r="U65" s="48"/>
      <c r="V65" s="48"/>
      <c r="Z65" s="80" t="s">
        <v>59</v>
      </c>
      <c r="AA65" s="72">
        <f t="shared" ref="AA65:AJ65" si="30">IF(Ss=1,AA56-AA58,IF(Ss=2,AA56-AA58-AA60,IF(Ss=3,AA56-AA58-AA62,IF(Ss=4,AA56-AA58-AA63,"error"))))</f>
        <v>2.5</v>
      </c>
      <c r="AB65" s="72">
        <f t="shared" si="30"/>
        <v>2.5</v>
      </c>
      <c r="AC65" s="72">
        <f t="shared" si="30"/>
        <v>2.5</v>
      </c>
      <c r="AD65" s="72">
        <f t="shared" si="30"/>
        <v>2.5</v>
      </c>
      <c r="AE65" s="72">
        <f t="shared" si="30"/>
        <v>2.5</v>
      </c>
      <c r="AF65" s="72">
        <f t="shared" si="30"/>
        <v>2.5</v>
      </c>
      <c r="AG65" s="72">
        <f t="shared" si="30"/>
        <v>2.5</v>
      </c>
      <c r="AH65" s="72">
        <f t="shared" si="30"/>
        <v>2.5</v>
      </c>
      <c r="AI65" s="72">
        <f t="shared" si="30"/>
        <v>2.5</v>
      </c>
      <c r="AJ65" s="72">
        <f t="shared" si="30"/>
        <v>2.5</v>
      </c>
      <c r="AK65" s="68"/>
      <c r="AL65" s="68"/>
      <c r="AM65" s="68"/>
      <c r="AN65" s="68"/>
      <c r="AO65" s="68"/>
      <c r="AP65" s="51" t="s">
        <v>64</v>
      </c>
      <c r="AQ65" s="48"/>
      <c r="AR65" s="48"/>
      <c r="AV65" s="80" t="s">
        <v>59</v>
      </c>
      <c r="AW65" s="72">
        <f t="shared" ref="AW65:BF65" si="31">IF(strategy=1,AW56-AW58,IF(strategy=2,AW56-AW58-AW60,IF(strategy=3,AW56-AW58-AW62,IF(strategy=4,AW56-AW58-AW63,"error"))))</f>
        <v>3.125</v>
      </c>
      <c r="AX65" s="72">
        <f t="shared" si="31"/>
        <v>3.125</v>
      </c>
      <c r="AY65" s="72">
        <f t="shared" si="31"/>
        <v>3.125</v>
      </c>
      <c r="AZ65" s="72">
        <f t="shared" si="31"/>
        <v>3.125</v>
      </c>
      <c r="BA65" s="72">
        <f t="shared" si="31"/>
        <v>3.125</v>
      </c>
      <c r="BB65" s="72">
        <f t="shared" si="31"/>
        <v>3.125</v>
      </c>
      <c r="BC65" s="72">
        <f t="shared" si="31"/>
        <v>3.125</v>
      </c>
      <c r="BD65" s="72">
        <f t="shared" si="31"/>
        <v>3.125</v>
      </c>
      <c r="BE65" s="72">
        <f t="shared" si="31"/>
        <v>3.125</v>
      </c>
      <c r="BF65" s="72">
        <f t="shared" si="31"/>
        <v>3.125</v>
      </c>
      <c r="BG65" s="68"/>
      <c r="BH65" s="68"/>
      <c r="BL65" s="51" t="s">
        <v>64</v>
      </c>
      <c r="BM65" s="48"/>
      <c r="BN65" s="48"/>
      <c r="BR65" s="80" t="s">
        <v>59</v>
      </c>
      <c r="BS65" s="72">
        <f t="shared" ref="BS65:CB65" si="32">IF(S=1,BS56-BS58,IF(S=2,BS56-BS58-BS60,IF(S=3,BS56-BS58-BS62,IF(S=4,BS56-BS58-BS63,"error"))))</f>
        <v>3.75</v>
      </c>
      <c r="BT65" s="72">
        <f t="shared" si="32"/>
        <v>3.75</v>
      </c>
      <c r="BU65" s="72">
        <f t="shared" si="32"/>
        <v>3.75</v>
      </c>
      <c r="BV65" s="72">
        <f t="shared" si="32"/>
        <v>3.75</v>
      </c>
      <c r="BW65" s="72">
        <f t="shared" si="32"/>
        <v>3.75</v>
      </c>
      <c r="BX65" s="72">
        <f t="shared" si="32"/>
        <v>3.75</v>
      </c>
      <c r="BY65" s="72">
        <f t="shared" si="32"/>
        <v>3.75</v>
      </c>
      <c r="BZ65" s="72">
        <f t="shared" si="32"/>
        <v>3.75</v>
      </c>
      <c r="CA65" s="72">
        <f t="shared" si="32"/>
        <v>3.75</v>
      </c>
      <c r="CB65" s="72">
        <f t="shared" si="32"/>
        <v>3.75</v>
      </c>
    </row>
    <row r="66" spans="1:80" ht="15" x14ac:dyDescent="0.4">
      <c r="A66" s="97"/>
      <c r="B66" s="97"/>
      <c r="C66" s="97"/>
      <c r="D66" s="97"/>
      <c r="E66" s="121"/>
      <c r="F66" s="97"/>
      <c r="G66" s="97"/>
      <c r="H66" s="97"/>
      <c r="I66" s="117"/>
      <c r="J66" s="97"/>
      <c r="K66" s="97"/>
      <c r="L66" s="97"/>
      <c r="M66" s="97"/>
      <c r="N66" s="97"/>
      <c r="O66" s="128"/>
      <c r="P66" s="126"/>
      <c r="Q66" s="97"/>
      <c r="R66" s="97"/>
      <c r="S66" s="97"/>
      <c r="T66" s="48"/>
      <c r="U66" s="48"/>
      <c r="V66" s="48"/>
      <c r="Z66" s="80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68"/>
      <c r="AL66" s="68"/>
      <c r="AM66" s="68"/>
      <c r="AN66" s="68"/>
      <c r="AO66" s="68"/>
      <c r="AP66" s="48"/>
      <c r="AQ66" s="48"/>
      <c r="AR66" s="48"/>
      <c r="AV66" s="80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68"/>
      <c r="BH66" s="68"/>
      <c r="BL66" s="48"/>
      <c r="BM66" s="48"/>
      <c r="BN66" s="48"/>
      <c r="BR66" s="80"/>
      <c r="BS66" s="72"/>
      <c r="BT66" s="72"/>
      <c r="BU66" s="72"/>
      <c r="BV66" s="72"/>
      <c r="BW66" s="72"/>
      <c r="BX66" s="72"/>
      <c r="BY66" s="72"/>
      <c r="BZ66" s="72"/>
      <c r="CA66" s="72"/>
      <c r="CB66" s="72"/>
    </row>
    <row r="67" spans="1:80" ht="15" x14ac:dyDescent="0.4">
      <c r="A67" s="97"/>
      <c r="B67" s="97"/>
      <c r="C67" s="97"/>
      <c r="D67" s="97"/>
      <c r="E67" s="121"/>
      <c r="F67" s="97"/>
      <c r="G67" s="97"/>
      <c r="H67" s="97"/>
      <c r="I67" s="117"/>
      <c r="J67" s="97"/>
      <c r="K67" s="97"/>
      <c r="L67" s="97"/>
      <c r="M67" s="155" t="s">
        <v>42</v>
      </c>
      <c r="N67" s="155"/>
      <c r="O67" s="128"/>
      <c r="P67" s="126"/>
      <c r="Q67" s="97"/>
      <c r="R67" s="97"/>
      <c r="S67" s="97"/>
      <c r="T67" s="51" t="s">
        <v>65</v>
      </c>
      <c r="U67" s="48"/>
      <c r="V67" s="48"/>
      <c r="Z67" s="80" t="s">
        <v>59</v>
      </c>
      <c r="AA67" s="72">
        <f t="shared" ref="AA67:AJ67" si="33">TR_*AA65</f>
        <v>0.95</v>
      </c>
      <c r="AB67" s="72">
        <f t="shared" si="33"/>
        <v>0.95</v>
      </c>
      <c r="AC67" s="72">
        <f t="shared" si="33"/>
        <v>0.95</v>
      </c>
      <c r="AD67" s="72">
        <f t="shared" si="33"/>
        <v>0.95</v>
      </c>
      <c r="AE67" s="72">
        <f t="shared" si="33"/>
        <v>0.95</v>
      </c>
      <c r="AF67" s="72">
        <f t="shared" si="33"/>
        <v>0.95</v>
      </c>
      <c r="AG67" s="72">
        <f t="shared" si="33"/>
        <v>0.95</v>
      </c>
      <c r="AH67" s="72">
        <f t="shared" si="33"/>
        <v>0.95</v>
      </c>
      <c r="AI67" s="72">
        <f t="shared" si="33"/>
        <v>0.95</v>
      </c>
      <c r="AJ67" s="72">
        <f t="shared" si="33"/>
        <v>0.95</v>
      </c>
      <c r="AK67" s="68"/>
      <c r="AL67" s="68"/>
      <c r="AM67" s="68"/>
      <c r="AN67" s="68"/>
      <c r="AO67" s="68"/>
      <c r="AP67" s="51" t="s">
        <v>65</v>
      </c>
      <c r="AQ67" s="48"/>
      <c r="AR67" s="48"/>
      <c r="AV67" s="80" t="s">
        <v>59</v>
      </c>
      <c r="AW67" s="72">
        <f t="shared" ref="AW67:BF67" si="34">tax_rate*AW65</f>
        <v>1.1875</v>
      </c>
      <c r="AX67" s="72">
        <f t="shared" si="34"/>
        <v>1.1875</v>
      </c>
      <c r="AY67" s="72">
        <f t="shared" si="34"/>
        <v>1.1875</v>
      </c>
      <c r="AZ67" s="72">
        <f t="shared" si="34"/>
        <v>1.1875</v>
      </c>
      <c r="BA67" s="72">
        <f t="shared" si="34"/>
        <v>1.1875</v>
      </c>
      <c r="BB67" s="72">
        <f t="shared" si="34"/>
        <v>1.1875</v>
      </c>
      <c r="BC67" s="72">
        <f t="shared" si="34"/>
        <v>1.1875</v>
      </c>
      <c r="BD67" s="72">
        <f t="shared" si="34"/>
        <v>1.1875</v>
      </c>
      <c r="BE67" s="72">
        <f t="shared" si="34"/>
        <v>1.1875</v>
      </c>
      <c r="BF67" s="72">
        <f t="shared" si="34"/>
        <v>1.1875</v>
      </c>
      <c r="BG67" s="68"/>
      <c r="BH67" s="68"/>
      <c r="BL67" s="51" t="s">
        <v>65</v>
      </c>
      <c r="BM67" s="48"/>
      <c r="BN67" s="48"/>
      <c r="BR67" s="80" t="s">
        <v>59</v>
      </c>
      <c r="BS67" s="72">
        <f t="shared" ref="BS67:CB67" si="35">TR*BS65</f>
        <v>1.425</v>
      </c>
      <c r="BT67" s="72">
        <f t="shared" si="35"/>
        <v>1.425</v>
      </c>
      <c r="BU67" s="72">
        <f t="shared" si="35"/>
        <v>1.425</v>
      </c>
      <c r="BV67" s="72">
        <f t="shared" si="35"/>
        <v>1.425</v>
      </c>
      <c r="BW67" s="72">
        <f t="shared" si="35"/>
        <v>1.425</v>
      </c>
      <c r="BX67" s="72">
        <f t="shared" si="35"/>
        <v>1.425</v>
      </c>
      <c r="BY67" s="72">
        <f t="shared" si="35"/>
        <v>1.425</v>
      </c>
      <c r="BZ67" s="72">
        <f t="shared" si="35"/>
        <v>1.425</v>
      </c>
      <c r="CA67" s="72">
        <f t="shared" si="35"/>
        <v>1.425</v>
      </c>
      <c r="CB67" s="72">
        <f t="shared" si="35"/>
        <v>1.425</v>
      </c>
    </row>
    <row r="68" spans="1:80" ht="15" x14ac:dyDescent="0.4">
      <c r="A68" s="97"/>
      <c r="B68" s="97"/>
      <c r="C68" s="97"/>
      <c r="D68" s="97"/>
      <c r="E68" s="121"/>
      <c r="F68" s="97"/>
      <c r="G68" s="97"/>
      <c r="H68" s="97"/>
      <c r="I68" s="117"/>
      <c r="J68" s="97"/>
      <c r="K68" s="97"/>
      <c r="L68" s="97"/>
      <c r="M68" s="97"/>
      <c r="N68" s="97"/>
      <c r="O68" s="128"/>
      <c r="P68" s="126"/>
      <c r="Q68" s="97"/>
      <c r="R68" s="97"/>
      <c r="S68" s="97"/>
      <c r="T68" s="51" t="s">
        <v>66</v>
      </c>
      <c r="U68" s="48"/>
      <c r="V68" s="48"/>
      <c r="Z68" s="80" t="s">
        <v>59</v>
      </c>
      <c r="AA68" s="72">
        <f>IF(AA67&lt;0,ABS(AA67),0)</f>
        <v>0</v>
      </c>
      <c r="AB68" s="72">
        <f>IF((AB67-AA68)&lt;0,ABS(AA68-AB67),0)</f>
        <v>0</v>
      </c>
      <c r="AC68" s="72">
        <f t="shared" ref="AC68:AJ68" si="36">IF((AC67-AB68)&lt;0,ABS(AB68-AC67),0)</f>
        <v>0</v>
      </c>
      <c r="AD68" s="72">
        <f t="shared" si="36"/>
        <v>0</v>
      </c>
      <c r="AE68" s="72">
        <f t="shared" si="36"/>
        <v>0</v>
      </c>
      <c r="AF68" s="72">
        <f t="shared" si="36"/>
        <v>0</v>
      </c>
      <c r="AG68" s="72">
        <f t="shared" si="36"/>
        <v>0</v>
      </c>
      <c r="AH68" s="72">
        <f t="shared" si="36"/>
        <v>0</v>
      </c>
      <c r="AI68" s="72">
        <f t="shared" si="36"/>
        <v>0</v>
      </c>
      <c r="AJ68" s="72">
        <f t="shared" si="36"/>
        <v>0</v>
      </c>
      <c r="AK68" s="68"/>
      <c r="AL68" s="68"/>
      <c r="AM68" s="68"/>
      <c r="AN68" s="68"/>
      <c r="AO68" s="68"/>
      <c r="AP68" s="51" t="s">
        <v>66</v>
      </c>
      <c r="AQ68" s="48"/>
      <c r="AR68" s="48"/>
      <c r="AV68" s="80" t="s">
        <v>59</v>
      </c>
      <c r="AW68" s="72">
        <f>IF(AW67&lt;0,ABS(AW67),0)</f>
        <v>0</v>
      </c>
      <c r="AX68" s="72">
        <f>IF((AX67-AW68)&lt;0,ABS(AW68-AX67),0)</f>
        <v>0</v>
      </c>
      <c r="AY68" s="72">
        <f t="shared" ref="AY68:BF68" si="37">IF((AY67-AX68)&lt;0,ABS(AX68-AY67),0)</f>
        <v>0</v>
      </c>
      <c r="AZ68" s="72">
        <f t="shared" si="37"/>
        <v>0</v>
      </c>
      <c r="BA68" s="72">
        <f t="shared" si="37"/>
        <v>0</v>
      </c>
      <c r="BB68" s="72">
        <f t="shared" si="37"/>
        <v>0</v>
      </c>
      <c r="BC68" s="72">
        <f t="shared" si="37"/>
        <v>0</v>
      </c>
      <c r="BD68" s="72">
        <f t="shared" si="37"/>
        <v>0</v>
      </c>
      <c r="BE68" s="72">
        <f t="shared" si="37"/>
        <v>0</v>
      </c>
      <c r="BF68" s="72">
        <f t="shared" si="37"/>
        <v>0</v>
      </c>
      <c r="BG68" s="68"/>
      <c r="BH68" s="68"/>
      <c r="BL68" s="51" t="s">
        <v>66</v>
      </c>
      <c r="BM68" s="48"/>
      <c r="BN68" s="48"/>
      <c r="BR68" s="80" t="s">
        <v>59</v>
      </c>
      <c r="BS68" s="72">
        <f>IF(BS67&lt;0,ABS(BS67),0)</f>
        <v>0</v>
      </c>
      <c r="BT68" s="72">
        <f>IF((BT67-BS68)&lt;0,ABS(BS68-BT67),0)</f>
        <v>0</v>
      </c>
      <c r="BU68" s="72">
        <f t="shared" ref="BU68:CB68" si="38">IF((BU67-BT68)&lt;0,ABS(BT68-BU67),0)</f>
        <v>0</v>
      </c>
      <c r="BV68" s="72">
        <f t="shared" si="38"/>
        <v>0</v>
      </c>
      <c r="BW68" s="72">
        <f t="shared" si="38"/>
        <v>0</v>
      </c>
      <c r="BX68" s="72">
        <f t="shared" si="38"/>
        <v>0</v>
      </c>
      <c r="BY68" s="72">
        <f t="shared" si="38"/>
        <v>0</v>
      </c>
      <c r="BZ68" s="72">
        <f t="shared" si="38"/>
        <v>0</v>
      </c>
      <c r="CA68" s="72">
        <f t="shared" si="38"/>
        <v>0</v>
      </c>
      <c r="CB68" s="72">
        <f t="shared" si="38"/>
        <v>0</v>
      </c>
    </row>
    <row r="69" spans="1:80" ht="15" x14ac:dyDescent="0.4">
      <c r="A69" s="97"/>
      <c r="B69" s="97"/>
      <c r="C69" s="97"/>
      <c r="D69" s="97"/>
      <c r="E69" s="121"/>
      <c r="F69" s="97"/>
      <c r="G69" s="97"/>
      <c r="H69" s="97"/>
      <c r="I69" s="117"/>
      <c r="J69" s="97"/>
      <c r="K69" s="97"/>
      <c r="L69" s="97"/>
      <c r="M69" s="120" t="s">
        <v>31</v>
      </c>
      <c r="N69" s="122">
        <v>0.25</v>
      </c>
      <c r="O69" s="128">
        <f>1-EXP(-P69*$E$2)</f>
        <v>0.5693461826541717</v>
      </c>
      <c r="P69" s="126">
        <f>CG35</f>
        <v>25.273521589112942</v>
      </c>
      <c r="Q69" s="97"/>
      <c r="R69" s="97"/>
      <c r="S69" s="97"/>
      <c r="T69" s="51" t="s">
        <v>67</v>
      </c>
      <c r="U69" s="48"/>
      <c r="V69" s="48"/>
      <c r="Z69" s="80" t="s">
        <v>59</v>
      </c>
      <c r="AA69" s="72">
        <f>IF(AA67&lt;0,0,AA67)</f>
        <v>0.95</v>
      </c>
      <c r="AB69" s="72">
        <f>IF(AB67&lt;0,0,IF((AB67-AA68)&lt;0,0,(AB67-AA68)))</f>
        <v>0.95</v>
      </c>
      <c r="AC69" s="72">
        <f t="shared" ref="AC69:AJ69" si="39">IF(AC67&lt;0,0,IF((AC67-AB68)&lt;0,0,(AC67-AB68)))</f>
        <v>0.95</v>
      </c>
      <c r="AD69" s="72">
        <f t="shared" si="39"/>
        <v>0.95</v>
      </c>
      <c r="AE69" s="72">
        <f t="shared" si="39"/>
        <v>0.95</v>
      </c>
      <c r="AF69" s="72">
        <f t="shared" si="39"/>
        <v>0.95</v>
      </c>
      <c r="AG69" s="72">
        <f t="shared" si="39"/>
        <v>0.95</v>
      </c>
      <c r="AH69" s="72">
        <f t="shared" si="39"/>
        <v>0.95</v>
      </c>
      <c r="AI69" s="72">
        <f t="shared" si="39"/>
        <v>0.95</v>
      </c>
      <c r="AJ69" s="72">
        <f t="shared" si="39"/>
        <v>0.95</v>
      </c>
      <c r="AK69" s="68"/>
      <c r="AL69" s="68"/>
      <c r="AM69" s="68"/>
      <c r="AN69" s="68"/>
      <c r="AO69" s="68"/>
      <c r="AP69" s="51" t="s">
        <v>67</v>
      </c>
      <c r="AQ69" s="48"/>
      <c r="AR69" s="48"/>
      <c r="AV69" s="80" t="s">
        <v>59</v>
      </c>
      <c r="AW69" s="72">
        <f>IF(AW67&lt;0,0,AW67)</f>
        <v>1.1875</v>
      </c>
      <c r="AX69" s="72">
        <f>IF(AX67&lt;0,0,IF((AX67-AW68)&lt;0,0,(AX67-AW68)))</f>
        <v>1.1875</v>
      </c>
      <c r="AY69" s="72">
        <f t="shared" ref="AY69:BF69" si="40">IF(AY67&lt;0,0,IF((AY67-AX68)&lt;0,0,(AY67-AX68)))</f>
        <v>1.1875</v>
      </c>
      <c r="AZ69" s="72">
        <f t="shared" si="40"/>
        <v>1.1875</v>
      </c>
      <c r="BA69" s="72">
        <f t="shared" si="40"/>
        <v>1.1875</v>
      </c>
      <c r="BB69" s="72">
        <f t="shared" si="40"/>
        <v>1.1875</v>
      </c>
      <c r="BC69" s="72">
        <f t="shared" si="40"/>
        <v>1.1875</v>
      </c>
      <c r="BD69" s="72">
        <f t="shared" si="40"/>
        <v>1.1875</v>
      </c>
      <c r="BE69" s="72">
        <f t="shared" si="40"/>
        <v>1.1875</v>
      </c>
      <c r="BF69" s="72">
        <f t="shared" si="40"/>
        <v>1.1875</v>
      </c>
      <c r="BG69" s="68"/>
      <c r="BH69" s="68"/>
      <c r="BL69" s="51" t="s">
        <v>67</v>
      </c>
      <c r="BM69" s="48"/>
      <c r="BN69" s="48"/>
      <c r="BR69" s="80" t="s">
        <v>59</v>
      </c>
      <c r="BS69" s="72">
        <f>IF(BS67&lt;0,0,BS67)</f>
        <v>1.425</v>
      </c>
      <c r="BT69" s="72">
        <f>IF(BT67&lt;0,0,IF((BT67-BS68)&lt;0,0,(BT67-BS68)))</f>
        <v>1.425</v>
      </c>
      <c r="BU69" s="72">
        <f t="shared" ref="BU69:CB69" si="41">IF(BU67&lt;0,0,IF((BU67-BT68)&lt;0,0,(BU67-BT68)))</f>
        <v>1.425</v>
      </c>
      <c r="BV69" s="72">
        <f t="shared" si="41"/>
        <v>1.425</v>
      </c>
      <c r="BW69" s="72">
        <f t="shared" si="41"/>
        <v>1.425</v>
      </c>
      <c r="BX69" s="72">
        <f t="shared" si="41"/>
        <v>1.425</v>
      </c>
      <c r="BY69" s="72">
        <f t="shared" si="41"/>
        <v>1.425</v>
      </c>
      <c r="BZ69" s="72">
        <f t="shared" si="41"/>
        <v>1.425</v>
      </c>
      <c r="CA69" s="72">
        <f t="shared" si="41"/>
        <v>1.425</v>
      </c>
      <c r="CB69" s="72">
        <f t="shared" si="41"/>
        <v>1.425</v>
      </c>
    </row>
    <row r="70" spans="1:80" ht="15" x14ac:dyDescent="0.4">
      <c r="A70" s="97"/>
      <c r="B70" s="97"/>
      <c r="C70" s="97"/>
      <c r="D70" s="97"/>
      <c r="E70" s="121"/>
      <c r="F70" s="97"/>
      <c r="G70" s="97"/>
      <c r="H70" s="97"/>
      <c r="I70" s="117"/>
      <c r="J70" s="97"/>
      <c r="K70" s="155" t="s">
        <v>33</v>
      </c>
      <c r="L70" s="164"/>
      <c r="M70" s="117"/>
      <c r="N70" s="97"/>
      <c r="O70" s="128"/>
      <c r="P70" s="126"/>
      <c r="Q70" s="97"/>
      <c r="R70" s="97"/>
      <c r="S70" s="97"/>
      <c r="T70" s="48"/>
      <c r="U70" s="48"/>
      <c r="V70" s="48"/>
      <c r="Z70" s="80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3"/>
      <c r="AL70" s="73"/>
      <c r="AM70" s="73"/>
      <c r="AN70" s="68"/>
      <c r="AO70" s="68"/>
      <c r="AP70" s="48"/>
      <c r="AQ70" s="48"/>
      <c r="AR70" s="48"/>
      <c r="AV70" s="80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3"/>
      <c r="BH70" s="73"/>
      <c r="BL70" s="48"/>
      <c r="BM70" s="48"/>
      <c r="BN70" s="48"/>
      <c r="BR70" s="80"/>
      <c r="BS70" s="72"/>
      <c r="BT70" s="72"/>
      <c r="BU70" s="72"/>
      <c r="BV70" s="72"/>
      <c r="BW70" s="72"/>
      <c r="BX70" s="72"/>
      <c r="BY70" s="72"/>
      <c r="BZ70" s="72"/>
      <c r="CA70" s="72"/>
      <c r="CB70" s="72"/>
    </row>
    <row r="71" spans="1:80" ht="15" x14ac:dyDescent="0.4">
      <c r="A71" s="97"/>
      <c r="B71" s="97"/>
      <c r="C71" s="97"/>
      <c r="D71" s="97"/>
      <c r="E71" s="121"/>
      <c r="F71" s="97"/>
      <c r="G71" s="97"/>
      <c r="H71" s="97"/>
      <c r="I71" s="117"/>
      <c r="J71" s="97"/>
      <c r="K71" s="97"/>
      <c r="L71" s="97"/>
      <c r="M71" s="117"/>
      <c r="N71" s="97"/>
      <c r="O71" s="128"/>
      <c r="P71" s="126"/>
      <c r="Q71" s="97"/>
      <c r="R71" s="97"/>
      <c r="S71" s="97"/>
      <c r="T71" s="51" t="s">
        <v>68</v>
      </c>
      <c r="Z71" s="80" t="s">
        <v>69</v>
      </c>
      <c r="AA71" s="74">
        <f>AA65-AA69</f>
        <v>1.55</v>
      </c>
      <c r="AB71" s="74">
        <f t="shared" ref="AB71:AJ71" si="42">AB65-AB69</f>
        <v>1.55</v>
      </c>
      <c r="AC71" s="74">
        <f t="shared" si="42"/>
        <v>1.55</v>
      </c>
      <c r="AD71" s="74">
        <f t="shared" si="42"/>
        <v>1.55</v>
      </c>
      <c r="AE71" s="74">
        <f t="shared" si="42"/>
        <v>1.55</v>
      </c>
      <c r="AF71" s="74">
        <f t="shared" si="42"/>
        <v>1.55</v>
      </c>
      <c r="AG71" s="74">
        <f t="shared" si="42"/>
        <v>1.55</v>
      </c>
      <c r="AH71" s="74">
        <f t="shared" si="42"/>
        <v>1.55</v>
      </c>
      <c r="AI71" s="74">
        <f t="shared" si="42"/>
        <v>1.55</v>
      </c>
      <c r="AJ71" s="74">
        <f t="shared" si="42"/>
        <v>1.55</v>
      </c>
      <c r="AK71" s="75"/>
      <c r="AL71" s="75"/>
      <c r="AM71" s="75"/>
      <c r="AN71" s="68"/>
      <c r="AO71" s="68"/>
      <c r="AP71" s="51" t="s">
        <v>68</v>
      </c>
      <c r="AV71" s="80" t="s">
        <v>69</v>
      </c>
      <c r="AW71" s="74">
        <f>AW65-AW69</f>
        <v>1.9375</v>
      </c>
      <c r="AX71" s="74">
        <f t="shared" ref="AX71:BF71" si="43">AX65-AX69</f>
        <v>1.9375</v>
      </c>
      <c r="AY71" s="74">
        <f t="shared" si="43"/>
        <v>1.9375</v>
      </c>
      <c r="AZ71" s="74">
        <f t="shared" si="43"/>
        <v>1.9375</v>
      </c>
      <c r="BA71" s="74">
        <f t="shared" si="43"/>
        <v>1.9375</v>
      </c>
      <c r="BB71" s="74">
        <f t="shared" si="43"/>
        <v>1.9375</v>
      </c>
      <c r="BC71" s="74">
        <f t="shared" si="43"/>
        <v>1.9375</v>
      </c>
      <c r="BD71" s="74">
        <f t="shared" si="43"/>
        <v>1.9375</v>
      </c>
      <c r="BE71" s="74">
        <f t="shared" si="43"/>
        <v>1.9375</v>
      </c>
      <c r="BF71" s="74">
        <f t="shared" si="43"/>
        <v>1.9375</v>
      </c>
      <c r="BG71" s="75"/>
      <c r="BH71" s="75"/>
      <c r="BL71" s="51" t="s">
        <v>68</v>
      </c>
      <c r="BR71" s="80" t="s">
        <v>69</v>
      </c>
      <c r="BS71" s="74">
        <f>BS65-BS69</f>
        <v>2.3250000000000002</v>
      </c>
      <c r="BT71" s="74">
        <f t="shared" ref="BT71:CB71" si="44">BT65-BT69</f>
        <v>2.3250000000000002</v>
      </c>
      <c r="BU71" s="74">
        <f t="shared" si="44"/>
        <v>2.3250000000000002</v>
      </c>
      <c r="BV71" s="74">
        <f t="shared" si="44"/>
        <v>2.3250000000000002</v>
      </c>
      <c r="BW71" s="74">
        <f t="shared" si="44"/>
        <v>2.3250000000000002</v>
      </c>
      <c r="BX71" s="74">
        <f t="shared" si="44"/>
        <v>2.3250000000000002</v>
      </c>
      <c r="BY71" s="74">
        <f t="shared" si="44"/>
        <v>2.3250000000000002</v>
      </c>
      <c r="BZ71" s="74">
        <f t="shared" si="44"/>
        <v>2.3250000000000002</v>
      </c>
      <c r="CA71" s="74">
        <f t="shared" si="44"/>
        <v>2.3250000000000002</v>
      </c>
      <c r="CB71" s="74">
        <f t="shared" si="44"/>
        <v>2.3250000000000002</v>
      </c>
    </row>
    <row r="72" spans="1:80" x14ac:dyDescent="0.35">
      <c r="A72" s="97"/>
      <c r="B72" s="97"/>
      <c r="C72" s="97"/>
      <c r="D72" s="97"/>
      <c r="E72" s="121"/>
      <c r="F72" s="97"/>
      <c r="G72" s="97"/>
      <c r="H72" s="97"/>
      <c r="I72" s="117"/>
      <c r="J72" s="97"/>
      <c r="K72" s="120" t="s">
        <v>31</v>
      </c>
      <c r="L72" s="122">
        <v>0.25</v>
      </c>
      <c r="M72" s="120" t="s">
        <v>30</v>
      </c>
      <c r="N72" s="122">
        <v>0.5</v>
      </c>
      <c r="O72" s="128">
        <f>1-EXP(-P72*$E$2)</f>
        <v>0.42972342303555988</v>
      </c>
      <c r="P72" s="126">
        <f>CG34</f>
        <v>16.849014392741964</v>
      </c>
      <c r="Q72" s="97"/>
      <c r="R72" s="97"/>
      <c r="S72" s="97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</row>
    <row r="73" spans="1:80" ht="15" x14ac:dyDescent="0.4">
      <c r="A73" s="97"/>
      <c r="B73" s="97"/>
      <c r="C73" s="97"/>
      <c r="D73" s="97"/>
      <c r="E73" s="121"/>
      <c r="F73" s="97"/>
      <c r="G73" s="97"/>
      <c r="H73" s="97"/>
      <c r="I73" s="117"/>
      <c r="J73" s="97"/>
      <c r="K73" s="117">
        <f>O69*N69+O72*N72+O75*N75</f>
        <v>0.39988112781569862</v>
      </c>
      <c r="L73" s="97"/>
      <c r="M73" s="117"/>
      <c r="N73" s="97"/>
      <c r="O73" s="128"/>
      <c r="P73" s="126"/>
      <c r="Q73" s="97"/>
      <c r="R73" s="97"/>
      <c r="S73" s="97"/>
      <c r="T73" s="51" t="s">
        <v>70</v>
      </c>
      <c r="U73" s="48"/>
      <c r="V73" s="48"/>
      <c r="Z73" s="80" t="s">
        <v>71</v>
      </c>
      <c r="AA73" s="93">
        <f>AA71+NPV(DRS,AB71,AC71,AD71,AE71,AF71,AG71,AH71,AI71,AJ71)</f>
        <v>11.232676261827974</v>
      </c>
      <c r="AB73" s="92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68"/>
      <c r="AO73" s="68"/>
      <c r="AP73" s="51" t="s">
        <v>70</v>
      </c>
      <c r="AQ73" s="48"/>
      <c r="AR73" s="48"/>
      <c r="AV73" s="80" t="s">
        <v>71</v>
      </c>
      <c r="AW73" s="93">
        <f>AW71+NPV(discount_rate,AX71,AY71,AZ71,BA71,BB71,BC71,BD71,BE71,BF71)</f>
        <v>14.040845327284968</v>
      </c>
      <c r="AX73" s="92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L73" s="51" t="s">
        <v>70</v>
      </c>
      <c r="BM73" s="48"/>
      <c r="BN73" s="48"/>
      <c r="BR73" s="80" t="s">
        <v>71</v>
      </c>
      <c r="BS73" s="93">
        <f>BS71+NPV(DR,BT71,BU71,BV71,BW71,BX71,BY71,BZ71,CA71,CB71)</f>
        <v>16.849014392741964</v>
      </c>
      <c r="BT73" s="92"/>
      <c r="BU73" s="76"/>
      <c r="BV73" s="76"/>
      <c r="BW73" s="76"/>
      <c r="BX73" s="76"/>
      <c r="BY73" s="76"/>
      <c r="BZ73" s="76"/>
      <c r="CA73" s="76"/>
      <c r="CB73" s="76"/>
    </row>
    <row r="74" spans="1:80" x14ac:dyDescent="0.35">
      <c r="A74" s="97"/>
      <c r="B74" s="97"/>
      <c r="C74" s="97"/>
      <c r="D74" s="97"/>
      <c r="E74" s="121"/>
      <c r="F74" s="97"/>
      <c r="G74" s="97"/>
      <c r="H74" s="97"/>
      <c r="I74" s="117"/>
      <c r="J74" s="97"/>
      <c r="K74" s="117"/>
      <c r="L74" s="97"/>
      <c r="M74" s="123"/>
      <c r="N74" s="97"/>
      <c r="O74" s="128"/>
      <c r="P74" s="126"/>
      <c r="Q74" s="97"/>
      <c r="R74" s="97"/>
      <c r="S74" s="97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68"/>
      <c r="AO74" s="68"/>
      <c r="AP74" s="68"/>
    </row>
    <row r="75" spans="1:80" x14ac:dyDescent="0.35">
      <c r="A75" s="97"/>
      <c r="B75" s="97"/>
      <c r="C75" s="97"/>
      <c r="D75" s="97"/>
      <c r="E75" s="121"/>
      <c r="F75" s="97"/>
      <c r="G75" s="97"/>
      <c r="H75" s="97"/>
      <c r="I75" s="117"/>
      <c r="J75" s="97"/>
      <c r="K75" s="117"/>
      <c r="L75" s="97"/>
      <c r="M75" s="122" t="s">
        <v>29</v>
      </c>
      <c r="N75" s="122">
        <v>0.25</v>
      </c>
      <c r="O75" s="128">
        <f>1-EXP(-P75*$E$2)</f>
        <v>0.17073148253750303</v>
      </c>
      <c r="P75" s="126">
        <f>CG33</f>
        <v>5.616338130913987</v>
      </c>
      <c r="Q75" s="97"/>
      <c r="R75" s="97"/>
      <c r="S75" s="97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68"/>
      <c r="AO75" s="68"/>
      <c r="AP75" s="68"/>
    </row>
    <row r="76" spans="1:80" x14ac:dyDescent="0.35">
      <c r="A76" s="97"/>
      <c r="B76" s="97"/>
      <c r="C76" s="97"/>
      <c r="D76" s="97"/>
      <c r="E76" s="121"/>
      <c r="F76" s="97"/>
      <c r="G76" s="97"/>
      <c r="H76" s="97"/>
      <c r="I76" s="117"/>
      <c r="J76" s="97"/>
      <c r="K76" s="117"/>
      <c r="L76" s="97"/>
      <c r="M76" s="97"/>
      <c r="N76" s="97"/>
      <c r="O76" s="128"/>
      <c r="P76" s="126"/>
      <c r="Q76" s="97"/>
      <c r="R76" s="97"/>
      <c r="S76" s="97"/>
      <c r="AA76" s="94"/>
      <c r="AB76" s="75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</row>
    <row r="77" spans="1:80" x14ac:dyDescent="0.35">
      <c r="A77" s="97"/>
      <c r="B77" s="97"/>
      <c r="C77" s="97"/>
      <c r="D77" s="97"/>
      <c r="E77" s="121"/>
      <c r="F77" s="97"/>
      <c r="G77" s="97"/>
      <c r="H77" s="97"/>
      <c r="I77" s="117"/>
      <c r="J77" s="97"/>
      <c r="K77" s="117"/>
      <c r="L77" s="97"/>
      <c r="M77" s="155" t="s">
        <v>42</v>
      </c>
      <c r="N77" s="155"/>
      <c r="O77" s="128"/>
      <c r="P77" s="126"/>
      <c r="Q77" s="97"/>
      <c r="R77" s="97"/>
      <c r="S77" s="97"/>
      <c r="Z77" s="7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68"/>
      <c r="AO77" s="68"/>
      <c r="AP77" s="68"/>
    </row>
    <row r="78" spans="1:80" x14ac:dyDescent="0.35">
      <c r="A78" s="97"/>
      <c r="B78" s="97"/>
      <c r="C78" s="97"/>
      <c r="D78" s="97"/>
      <c r="E78" s="121"/>
      <c r="F78" s="97"/>
      <c r="G78" s="97"/>
      <c r="H78" s="97"/>
      <c r="I78" s="117"/>
      <c r="J78" s="97"/>
      <c r="K78" s="117"/>
      <c r="L78" s="97"/>
      <c r="M78" s="97"/>
      <c r="N78" s="97"/>
      <c r="O78" s="128"/>
      <c r="P78" s="126"/>
      <c r="Q78" s="97"/>
      <c r="R78" s="97"/>
      <c r="S78" s="97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</row>
    <row r="79" spans="1:80" x14ac:dyDescent="0.35">
      <c r="A79" s="97"/>
      <c r="B79" s="97"/>
      <c r="C79" s="97"/>
      <c r="D79" s="97"/>
      <c r="E79" s="121"/>
      <c r="F79" s="97"/>
      <c r="G79" s="97"/>
      <c r="H79" s="97"/>
      <c r="I79" s="117"/>
      <c r="J79" s="97"/>
      <c r="K79" s="117"/>
      <c r="L79" s="97"/>
      <c r="M79" s="120" t="s">
        <v>31</v>
      </c>
      <c r="N79" s="122">
        <v>0.25</v>
      </c>
      <c r="O79" s="128">
        <f>1-EXP(-P79*$E$2)</f>
        <v>0.5693461826541717</v>
      </c>
      <c r="P79" s="126">
        <f>CF35</f>
        <v>25.273521589112942</v>
      </c>
      <c r="Q79" s="97"/>
      <c r="R79" s="97"/>
      <c r="S79" s="97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</row>
    <row r="80" spans="1:80" x14ac:dyDescent="0.35">
      <c r="A80" s="97"/>
      <c r="B80" s="97"/>
      <c r="C80" s="97"/>
      <c r="D80" s="97"/>
      <c r="E80" s="121"/>
      <c r="F80" s="97"/>
      <c r="G80" s="97"/>
      <c r="H80" s="97"/>
      <c r="I80" s="117"/>
      <c r="J80" s="97"/>
      <c r="K80" s="117"/>
      <c r="L80" s="97"/>
      <c r="M80" s="117"/>
      <c r="N80" s="97"/>
      <c r="O80" s="128"/>
      <c r="P80" s="126"/>
      <c r="Q80" s="97"/>
      <c r="R80" s="97"/>
      <c r="S80" s="97"/>
      <c r="U80" s="13"/>
      <c r="AA80" s="77"/>
      <c r="AB80" s="77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</row>
    <row r="81" spans="1:42" x14ac:dyDescent="0.35">
      <c r="A81" s="97"/>
      <c r="B81" s="97"/>
      <c r="C81" s="97"/>
      <c r="D81" s="97"/>
      <c r="E81" s="121"/>
      <c r="F81" s="97"/>
      <c r="G81" s="97"/>
      <c r="H81" s="97"/>
      <c r="I81" s="123"/>
      <c r="J81" s="97"/>
      <c r="K81" s="117"/>
      <c r="L81" s="97"/>
      <c r="M81" s="117"/>
      <c r="N81" s="97"/>
      <c r="O81" s="128"/>
      <c r="P81" s="126"/>
      <c r="Q81" s="97"/>
      <c r="R81" s="97"/>
      <c r="S81" s="97"/>
      <c r="T81" s="13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68"/>
      <c r="AO81" s="68"/>
      <c r="AP81" s="68"/>
    </row>
    <row r="82" spans="1:42" x14ac:dyDescent="0.35">
      <c r="A82" s="97"/>
      <c r="B82" s="97"/>
      <c r="C82" s="97"/>
      <c r="D82" s="97"/>
      <c r="E82" s="121"/>
      <c r="F82" s="97"/>
      <c r="G82" s="97"/>
      <c r="H82" s="97"/>
      <c r="I82" s="122" t="s">
        <v>29</v>
      </c>
      <c r="J82" s="122">
        <v>0.25</v>
      </c>
      <c r="K82" s="120" t="s">
        <v>30</v>
      </c>
      <c r="L82" s="122">
        <v>0.5</v>
      </c>
      <c r="M82" s="120" t="s">
        <v>30</v>
      </c>
      <c r="N82" s="122">
        <v>0.5</v>
      </c>
      <c r="O82" s="128">
        <f>1-EXP(-P82*$E$2)</f>
        <v>0.42972342303555988</v>
      </c>
      <c r="P82" s="126">
        <f>CF34</f>
        <v>16.849014392741964</v>
      </c>
      <c r="Q82" s="97"/>
      <c r="R82" s="97"/>
      <c r="S82" s="97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68"/>
      <c r="AO82" s="68"/>
      <c r="AP82" s="68"/>
    </row>
    <row r="83" spans="1:42" x14ac:dyDescent="0.35">
      <c r="A83" s="97"/>
      <c r="B83" s="97"/>
      <c r="C83" s="97"/>
      <c r="D83" s="97"/>
      <c r="E83" s="121"/>
      <c r="F83" s="97"/>
      <c r="G83" s="97"/>
      <c r="H83" s="97"/>
      <c r="I83" s="97">
        <f>L72*K73+L82*K83+L92*K93</f>
        <v>0.35370884444223832</v>
      </c>
      <c r="J83" s="97"/>
      <c r="K83" s="117">
        <f>O79*N79+O82*N82+O85*N85</f>
        <v>0.39988112781569862</v>
      </c>
      <c r="L83" s="97"/>
      <c r="M83" s="117"/>
      <c r="N83" s="97"/>
      <c r="O83" s="128"/>
      <c r="P83" s="126"/>
      <c r="Q83" s="97"/>
      <c r="R83" s="97"/>
      <c r="S83" s="97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68"/>
      <c r="AO83" s="68"/>
      <c r="AP83" s="68"/>
    </row>
    <row r="84" spans="1:42" x14ac:dyDescent="0.35">
      <c r="A84" s="97"/>
      <c r="B84" s="97"/>
      <c r="C84" s="97"/>
      <c r="D84" s="97"/>
      <c r="E84" s="121"/>
      <c r="F84" s="97"/>
      <c r="G84" s="97"/>
      <c r="H84" s="97"/>
      <c r="I84" s="97"/>
      <c r="J84" s="97"/>
      <c r="K84" s="117"/>
      <c r="L84" s="97"/>
      <c r="M84" s="123"/>
      <c r="N84" s="97"/>
      <c r="O84" s="128"/>
      <c r="P84" s="126"/>
      <c r="Q84" s="97"/>
      <c r="R84" s="97"/>
      <c r="S84" s="97"/>
      <c r="U84" s="33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68"/>
      <c r="AO84" s="68"/>
      <c r="AP84" s="68"/>
    </row>
    <row r="85" spans="1:42" x14ac:dyDescent="0.35">
      <c r="A85" s="97"/>
      <c r="B85" s="97"/>
      <c r="C85" s="97"/>
      <c r="D85" s="97"/>
      <c r="E85" s="121"/>
      <c r="F85" s="97"/>
      <c r="G85" s="97"/>
      <c r="H85" s="97"/>
      <c r="I85" s="97"/>
      <c r="J85" s="97"/>
      <c r="K85" s="117"/>
      <c r="L85" s="97"/>
      <c r="M85" s="122" t="s">
        <v>29</v>
      </c>
      <c r="N85" s="122">
        <v>0.25</v>
      </c>
      <c r="O85" s="128">
        <f>1-EXP(-P85*$E$2)</f>
        <v>0.17073148253750303</v>
      </c>
      <c r="P85" s="126">
        <f>CF33</f>
        <v>5.616338130913987</v>
      </c>
      <c r="Q85" s="97"/>
      <c r="R85" s="97"/>
      <c r="S85" s="97"/>
      <c r="U85" s="33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68"/>
      <c r="AO85" s="68"/>
      <c r="AP85" s="68"/>
    </row>
    <row r="86" spans="1:42" x14ac:dyDescent="0.35">
      <c r="A86" s="97"/>
      <c r="B86" s="97"/>
      <c r="C86" s="97"/>
      <c r="D86" s="97"/>
      <c r="E86" s="121"/>
      <c r="F86" s="97"/>
      <c r="G86" s="97"/>
      <c r="H86" s="97"/>
      <c r="I86" s="97"/>
      <c r="J86" s="97"/>
      <c r="K86" s="117"/>
      <c r="L86" s="97"/>
      <c r="M86" s="97"/>
      <c r="N86" s="97"/>
      <c r="O86" s="128"/>
      <c r="P86" s="126"/>
      <c r="Q86" s="97"/>
      <c r="R86" s="97"/>
      <c r="S86" s="97"/>
      <c r="U86" s="33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68"/>
      <c r="AO86" s="68"/>
      <c r="AP86" s="68"/>
    </row>
    <row r="87" spans="1:42" x14ac:dyDescent="0.35">
      <c r="A87" s="97"/>
      <c r="B87" s="97"/>
      <c r="C87" s="97"/>
      <c r="D87" s="97"/>
      <c r="E87" s="121"/>
      <c r="F87" s="97"/>
      <c r="G87" s="97"/>
      <c r="H87" s="97"/>
      <c r="I87" s="97"/>
      <c r="J87" s="97"/>
      <c r="K87" s="117"/>
      <c r="L87" s="97"/>
      <c r="M87" s="155" t="s">
        <v>42</v>
      </c>
      <c r="N87" s="155"/>
      <c r="O87" s="128"/>
      <c r="P87" s="126"/>
      <c r="Q87" s="97"/>
      <c r="R87" s="97"/>
      <c r="S87" s="97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68"/>
      <c r="AO87" s="68"/>
      <c r="AP87" s="68"/>
    </row>
    <row r="88" spans="1:42" x14ac:dyDescent="0.35">
      <c r="A88" s="97"/>
      <c r="B88" s="97"/>
      <c r="C88" s="97"/>
      <c r="D88" s="97"/>
      <c r="E88" s="121"/>
      <c r="F88" s="97"/>
      <c r="G88" s="97"/>
      <c r="H88" s="97"/>
      <c r="I88" s="97"/>
      <c r="J88" s="97"/>
      <c r="K88" s="117"/>
      <c r="L88" s="97"/>
      <c r="M88" s="97"/>
      <c r="N88" s="97"/>
      <c r="O88" s="128"/>
      <c r="P88" s="126"/>
      <c r="Q88" s="97"/>
      <c r="R88" s="97"/>
      <c r="S88" s="97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68"/>
      <c r="AO88" s="68"/>
      <c r="AP88" s="68"/>
    </row>
    <row r="89" spans="1:42" x14ac:dyDescent="0.35">
      <c r="A89" s="97"/>
      <c r="B89" s="97"/>
      <c r="C89" s="97"/>
      <c r="D89" s="97"/>
      <c r="E89" s="121"/>
      <c r="F89" s="97"/>
      <c r="G89" s="97"/>
      <c r="H89" s="97"/>
      <c r="I89" s="97"/>
      <c r="J89" s="97"/>
      <c r="K89" s="117"/>
      <c r="L89" s="97"/>
      <c r="M89" s="120" t="s">
        <v>31</v>
      </c>
      <c r="N89" s="122">
        <v>0.25</v>
      </c>
      <c r="O89" s="128">
        <f>1-EXP(-P89*$E$2)</f>
        <v>0.32184717662055207</v>
      </c>
      <c r="P89" s="126">
        <f>CE35</f>
        <v>11.65147839680113</v>
      </c>
      <c r="Q89" s="97"/>
      <c r="R89" s="97"/>
      <c r="S89" s="97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68"/>
      <c r="AO89" s="68"/>
      <c r="AP89" s="68"/>
    </row>
    <row r="90" spans="1:42" x14ac:dyDescent="0.35">
      <c r="A90" s="97"/>
      <c r="B90" s="97"/>
      <c r="C90" s="97"/>
      <c r="D90" s="97"/>
      <c r="E90" s="121"/>
      <c r="F90" s="97"/>
      <c r="G90" s="97"/>
      <c r="H90" s="97"/>
      <c r="I90" s="97"/>
      <c r="J90" s="97"/>
      <c r="K90" s="117"/>
      <c r="L90" s="97"/>
      <c r="M90" s="117"/>
      <c r="N90" s="97"/>
      <c r="O90" s="128"/>
      <c r="P90" s="126"/>
      <c r="Q90" s="97"/>
      <c r="R90" s="97"/>
      <c r="S90" s="97"/>
      <c r="Z90" s="12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68"/>
      <c r="AO90" s="68"/>
      <c r="AP90" s="68"/>
    </row>
    <row r="91" spans="1:42" x14ac:dyDescent="0.35">
      <c r="A91" s="97"/>
      <c r="B91" s="97"/>
      <c r="C91" s="97"/>
      <c r="D91" s="97"/>
      <c r="E91" s="121"/>
      <c r="F91" s="97"/>
      <c r="G91" s="97"/>
      <c r="H91" s="97"/>
      <c r="I91" s="97"/>
      <c r="J91" s="97"/>
      <c r="K91" s="123"/>
      <c r="L91" s="97"/>
      <c r="M91" s="117"/>
      <c r="N91" s="97"/>
      <c r="O91" s="128"/>
      <c r="P91" s="126"/>
      <c r="Q91" s="97"/>
      <c r="R91" s="97"/>
      <c r="S91" s="97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68"/>
      <c r="AO91" s="68"/>
      <c r="AP91" s="68"/>
    </row>
    <row r="92" spans="1:42" x14ac:dyDescent="0.35">
      <c r="A92" s="97"/>
      <c r="B92" s="97"/>
      <c r="C92" s="97"/>
      <c r="D92" s="97"/>
      <c r="E92" s="121"/>
      <c r="F92" s="97"/>
      <c r="G92" s="97"/>
      <c r="H92" s="97"/>
      <c r="I92" s="97"/>
      <c r="J92" s="97"/>
      <c r="K92" s="122" t="s">
        <v>29</v>
      </c>
      <c r="L92" s="122">
        <v>0.25</v>
      </c>
      <c r="M92" s="120" t="s">
        <v>30</v>
      </c>
      <c r="N92" s="122">
        <v>0.5</v>
      </c>
      <c r="O92" s="128">
        <f>1-EXP(-P92*$E$2)</f>
        <v>0.22811657338331359</v>
      </c>
      <c r="P92" s="126">
        <f>CE34</f>
        <v>7.7676522645340862</v>
      </c>
      <c r="Q92" s="97"/>
      <c r="R92" s="97"/>
      <c r="S92" s="97"/>
      <c r="AA92" s="75"/>
      <c r="AB92" s="79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68"/>
      <c r="AO92" s="68"/>
      <c r="AP92" s="68"/>
    </row>
    <row r="93" spans="1:42" x14ac:dyDescent="0.35">
      <c r="A93" s="97"/>
      <c r="B93" s="97"/>
      <c r="C93" s="97"/>
      <c r="D93" s="97"/>
      <c r="E93" s="121"/>
      <c r="F93" s="97"/>
      <c r="G93" s="97"/>
      <c r="H93" s="97"/>
      <c r="I93" s="97"/>
      <c r="J93" s="97"/>
      <c r="K93" s="97">
        <f>O89*N89+O92*N92+O95*N95</f>
        <v>0.2151919943218574</v>
      </c>
      <c r="L93" s="97"/>
      <c r="M93" s="117"/>
      <c r="N93" s="97"/>
      <c r="O93" s="128"/>
      <c r="P93" s="126"/>
      <c r="Q93" s="97"/>
      <c r="R93" s="97"/>
      <c r="S93" s="97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</row>
    <row r="94" spans="1:42" x14ac:dyDescent="0.35">
      <c r="A94" s="97"/>
      <c r="B94" s="97"/>
      <c r="C94" s="97"/>
      <c r="D94" s="97"/>
      <c r="E94" s="121"/>
      <c r="F94" s="97"/>
      <c r="G94" s="97"/>
      <c r="H94" s="97"/>
      <c r="I94" s="97"/>
      <c r="J94" s="97"/>
      <c r="K94" s="97"/>
      <c r="L94" s="97"/>
      <c r="M94" s="123"/>
      <c r="N94" s="97"/>
      <c r="O94" s="128"/>
      <c r="P94" s="126"/>
      <c r="Q94" s="97"/>
      <c r="R94" s="97"/>
      <c r="S94" s="97"/>
      <c r="T94" s="13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</row>
    <row r="95" spans="1:42" x14ac:dyDescent="0.35">
      <c r="A95" s="97"/>
      <c r="B95" s="97"/>
      <c r="C95" s="97"/>
      <c r="D95" s="97"/>
      <c r="E95" s="121"/>
      <c r="F95" s="97"/>
      <c r="G95" s="97"/>
      <c r="H95" s="97"/>
      <c r="I95" s="97"/>
      <c r="J95" s="97"/>
      <c r="K95" s="97"/>
      <c r="L95" s="97"/>
      <c r="M95" s="122" t="s">
        <v>29</v>
      </c>
      <c r="N95" s="122">
        <v>0.25</v>
      </c>
      <c r="O95" s="128">
        <f>1-EXP(-P95*$E$2)</f>
        <v>8.2687653900250346E-2</v>
      </c>
      <c r="P95" s="126">
        <f>CE33</f>
        <v>2.5892174215113628</v>
      </c>
      <c r="Q95" s="97"/>
      <c r="R95" s="97"/>
      <c r="S95" s="97"/>
      <c r="T95" s="2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</row>
    <row r="96" spans="1:42" x14ac:dyDescent="0.35">
      <c r="A96" s="97"/>
      <c r="B96" s="97"/>
      <c r="C96" s="97"/>
      <c r="D96" s="97"/>
      <c r="E96" s="121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126"/>
      <c r="Q96" s="97"/>
      <c r="R96" s="97"/>
      <c r="S96" s="97"/>
      <c r="U96" s="13"/>
      <c r="AA96" s="77"/>
      <c r="AB96" s="77"/>
      <c r="AC96" s="77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</row>
    <row r="97" spans="1:42" x14ac:dyDescent="0.35">
      <c r="A97" s="97"/>
      <c r="B97" s="97"/>
      <c r="C97" s="97"/>
      <c r="D97" s="97"/>
      <c r="E97" s="121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13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68"/>
      <c r="AO97" s="68"/>
      <c r="AP97" s="68"/>
    </row>
    <row r="98" spans="1:42" x14ac:dyDescent="0.35">
      <c r="A98" s="97"/>
      <c r="B98" s="97"/>
      <c r="C98" s="97"/>
      <c r="D98" s="97"/>
      <c r="E98" s="121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13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</row>
    <row r="99" spans="1:42" x14ac:dyDescent="0.35">
      <c r="A99" s="97"/>
      <c r="B99" s="97"/>
      <c r="C99" s="97"/>
      <c r="D99" s="97"/>
      <c r="E99" s="121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Z99" s="34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68"/>
      <c r="AO99" s="68"/>
      <c r="AP99" s="68"/>
    </row>
    <row r="100" spans="1:42" x14ac:dyDescent="0.35">
      <c r="A100" s="97"/>
      <c r="B100" s="97"/>
      <c r="C100" s="97"/>
      <c r="D100" s="97"/>
      <c r="E100" s="121"/>
      <c r="F100" s="97"/>
      <c r="G100" s="97"/>
      <c r="H100" s="97"/>
      <c r="I100" s="97"/>
      <c r="J100" s="97"/>
      <c r="K100" s="97"/>
      <c r="L100" s="97"/>
      <c r="M100" s="127" t="s">
        <v>84</v>
      </c>
      <c r="N100" s="127" t="s">
        <v>88</v>
      </c>
      <c r="O100" s="97"/>
      <c r="P100" s="97"/>
      <c r="Q100" s="97"/>
      <c r="R100" s="97"/>
      <c r="S100" s="97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</row>
    <row r="101" spans="1:42" x14ac:dyDescent="0.35">
      <c r="A101" s="97"/>
      <c r="B101" s="97"/>
      <c r="C101" s="97"/>
      <c r="D101" s="97"/>
      <c r="E101" s="121"/>
      <c r="F101" s="97"/>
      <c r="G101" s="97"/>
      <c r="H101" s="97"/>
      <c r="I101" s="97"/>
      <c r="J101" s="97"/>
      <c r="K101" s="155" t="s">
        <v>33</v>
      </c>
      <c r="L101" s="155"/>
      <c r="M101" s="97"/>
      <c r="N101" s="97"/>
      <c r="O101" s="97"/>
      <c r="P101" s="97"/>
      <c r="Q101" s="97"/>
      <c r="R101" s="97"/>
      <c r="S101" s="97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</row>
    <row r="102" spans="1:42" ht="19.149999999999999" x14ac:dyDescent="0.65">
      <c r="A102" s="97"/>
      <c r="B102" s="97"/>
      <c r="C102" s="97"/>
      <c r="D102" s="97"/>
      <c r="E102" s="121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38" t="s">
        <v>0</v>
      </c>
      <c r="AM102" s="75"/>
      <c r="AN102" s="68"/>
      <c r="AO102" s="68"/>
      <c r="AP102" s="68"/>
    </row>
    <row r="103" spans="1:42" ht="13.15" thickBot="1" x14ac:dyDescent="0.4">
      <c r="A103" s="97"/>
      <c r="B103" s="97"/>
      <c r="C103" s="97"/>
      <c r="D103" s="97"/>
      <c r="E103" s="121"/>
      <c r="F103" s="97"/>
      <c r="G103" s="97"/>
      <c r="H103" s="97"/>
      <c r="I103" s="97"/>
      <c r="J103" s="97"/>
      <c r="K103" s="120" t="s">
        <v>31</v>
      </c>
      <c r="L103" s="122">
        <v>0.25</v>
      </c>
      <c r="M103" s="128">
        <f>1-EXP(-N103*$E$2)</f>
        <v>0.79725552266672373</v>
      </c>
      <c r="N103" s="126">
        <f>AR124</f>
        <v>47.874264754731449</v>
      </c>
      <c r="O103" s="97"/>
      <c r="P103" s="97"/>
      <c r="Q103" s="97"/>
      <c r="R103" s="97"/>
      <c r="S103" s="97"/>
      <c r="AM103" s="75"/>
      <c r="AN103" s="68"/>
      <c r="AO103" s="68"/>
      <c r="AP103" s="68"/>
    </row>
    <row r="104" spans="1:42" ht="15.4" x14ac:dyDescent="0.45">
      <c r="A104" s="97"/>
      <c r="B104" s="97"/>
      <c r="C104" s="97"/>
      <c r="D104" s="97"/>
      <c r="E104" s="121"/>
      <c r="F104" s="97"/>
      <c r="G104" s="97"/>
      <c r="H104" s="97"/>
      <c r="I104" s="155" t="s">
        <v>42</v>
      </c>
      <c r="J104" s="164"/>
      <c r="K104" s="117"/>
      <c r="L104" s="97"/>
      <c r="M104" s="128"/>
      <c r="N104" s="126"/>
      <c r="O104" s="97"/>
      <c r="P104" s="97"/>
      <c r="Q104" s="97"/>
      <c r="R104" s="97"/>
      <c r="S104" s="97"/>
      <c r="T104" s="53" t="s">
        <v>1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75"/>
      <c r="AN104" s="68"/>
      <c r="AO104" s="68"/>
      <c r="AP104" s="68"/>
    </row>
    <row r="105" spans="1:42" x14ac:dyDescent="0.35">
      <c r="A105" s="97"/>
      <c r="B105" s="97"/>
      <c r="C105" s="97"/>
      <c r="D105" s="97"/>
      <c r="E105" s="121"/>
      <c r="F105" s="97"/>
      <c r="G105" s="97"/>
      <c r="H105" s="97"/>
      <c r="I105" s="97"/>
      <c r="J105" s="97"/>
      <c r="K105" s="117"/>
      <c r="L105" s="97"/>
      <c r="M105" s="128"/>
      <c r="N105" s="126"/>
      <c r="O105" s="97"/>
      <c r="P105" s="97"/>
      <c r="Q105" s="97"/>
      <c r="R105" s="97"/>
      <c r="S105" s="97"/>
      <c r="T105" s="2"/>
      <c r="AM105" s="68"/>
      <c r="AN105" s="68"/>
      <c r="AO105" s="68"/>
      <c r="AP105" s="68"/>
    </row>
    <row r="106" spans="1:42" x14ac:dyDescent="0.35">
      <c r="A106" s="97"/>
      <c r="B106" s="97"/>
      <c r="C106" s="97"/>
      <c r="D106" s="97"/>
      <c r="E106" s="121"/>
      <c r="F106" s="97"/>
      <c r="G106" s="97"/>
      <c r="H106" s="97"/>
      <c r="I106" s="120" t="s">
        <v>31</v>
      </c>
      <c r="J106" s="122">
        <v>0.25</v>
      </c>
      <c r="K106" s="120" t="s">
        <v>30</v>
      </c>
      <c r="L106" s="122">
        <v>0.5</v>
      </c>
      <c r="M106" s="128">
        <f>1-EXP(-N106*$E$2)</f>
        <v>0.42347647902972552</v>
      </c>
      <c r="N106" s="126">
        <f>AQ124</f>
        <v>16.522174215113626</v>
      </c>
      <c r="O106" s="97"/>
      <c r="P106" s="97"/>
      <c r="Q106" s="97"/>
      <c r="R106" s="97"/>
      <c r="S106" s="97"/>
      <c r="T106" s="3"/>
      <c r="X106" s="4" t="s">
        <v>2</v>
      </c>
      <c r="Y106" s="5"/>
      <c r="Z106" s="5"/>
      <c r="AA106" s="5"/>
      <c r="AB106" s="5"/>
      <c r="AC106" s="5"/>
      <c r="AD106" s="6">
        <v>2</v>
      </c>
      <c r="AE106" s="7" t="s">
        <v>3</v>
      </c>
      <c r="AM106" s="75"/>
      <c r="AN106" s="68"/>
      <c r="AO106" s="68"/>
      <c r="AP106" s="68"/>
    </row>
    <row r="107" spans="1:42" x14ac:dyDescent="0.35">
      <c r="A107" s="97"/>
      <c r="B107" s="97"/>
      <c r="C107" s="97"/>
      <c r="D107" s="97"/>
      <c r="E107" s="121"/>
      <c r="F107" s="97"/>
      <c r="G107" s="97"/>
      <c r="H107" s="97"/>
      <c r="I107" s="117">
        <f>M103*L103+M106*L106+M109*L109</f>
        <v>0.4135741590732015</v>
      </c>
      <c r="J107" s="97"/>
      <c r="K107" s="117"/>
      <c r="L107" s="97"/>
      <c r="M107" s="128"/>
      <c r="N107" s="126"/>
      <c r="O107" s="97"/>
      <c r="P107" s="97"/>
      <c r="Q107" s="97"/>
      <c r="R107" s="97"/>
      <c r="S107" s="97"/>
      <c r="X107" s="8" t="s">
        <v>4</v>
      </c>
      <c r="Y107" s="9"/>
      <c r="Z107" s="9"/>
      <c r="AA107" s="9"/>
      <c r="AB107" s="9"/>
      <c r="AC107" s="9"/>
      <c r="AD107" s="10" t="str">
        <f>INDEX(Y110:Y113,AD106)</f>
        <v>No Partnership / Expansion</v>
      </c>
      <c r="AE107" s="7" t="s">
        <v>5</v>
      </c>
      <c r="AM107" s="68"/>
      <c r="AN107" s="68"/>
      <c r="AO107" s="68"/>
      <c r="AP107" s="68"/>
    </row>
    <row r="108" spans="1:42" x14ac:dyDescent="0.35">
      <c r="A108" s="97"/>
      <c r="B108" s="97"/>
      <c r="C108" s="97"/>
      <c r="D108" s="97"/>
      <c r="E108" s="121"/>
      <c r="F108" s="97"/>
      <c r="G108" s="97"/>
      <c r="H108" s="97"/>
      <c r="I108" s="117"/>
      <c r="J108" s="97"/>
      <c r="K108" s="123"/>
      <c r="L108" s="97"/>
      <c r="M108" s="128"/>
      <c r="N108" s="126"/>
      <c r="O108" s="97"/>
      <c r="P108" s="97"/>
      <c r="Q108" s="97"/>
      <c r="R108" s="97"/>
      <c r="S108" s="97"/>
      <c r="AM108" s="68"/>
      <c r="AN108" s="68"/>
      <c r="AO108" s="68"/>
      <c r="AP108" s="68"/>
    </row>
    <row r="109" spans="1:42" x14ac:dyDescent="0.35">
      <c r="A109" s="97"/>
      <c r="B109" s="97"/>
      <c r="C109" s="97"/>
      <c r="D109" s="97"/>
      <c r="E109" s="121"/>
      <c r="F109" s="97"/>
      <c r="G109" s="97"/>
      <c r="H109" s="97"/>
      <c r="I109" s="117"/>
      <c r="J109" s="97"/>
      <c r="K109" s="122" t="s">
        <v>29</v>
      </c>
      <c r="L109" s="122">
        <v>0.25</v>
      </c>
      <c r="M109" s="128">
        <f>1-EXP(-N109*$E$2)</f>
        <v>1.0088155566631229E-2</v>
      </c>
      <c r="N109" s="126">
        <f>AP124</f>
        <v>0.30418157535703472</v>
      </c>
      <c r="O109" s="97"/>
      <c r="P109" s="97"/>
      <c r="Q109" s="97"/>
      <c r="R109" s="97"/>
      <c r="S109" s="97"/>
      <c r="X109" t="s">
        <v>6</v>
      </c>
      <c r="AM109" s="75"/>
      <c r="AN109" s="68"/>
      <c r="AO109" s="68"/>
      <c r="AP109" s="68"/>
    </row>
    <row r="110" spans="1:42" x14ac:dyDescent="0.35">
      <c r="A110" s="97"/>
      <c r="B110" s="97"/>
      <c r="C110" s="97"/>
      <c r="D110" s="97"/>
      <c r="E110" s="121"/>
      <c r="F110" s="97"/>
      <c r="G110" s="97"/>
      <c r="H110" s="97"/>
      <c r="I110" s="117"/>
      <c r="J110" s="97"/>
      <c r="K110" s="97"/>
      <c r="L110" s="97"/>
      <c r="M110" s="128"/>
      <c r="N110" s="126"/>
      <c r="O110" s="97"/>
      <c r="P110" s="97"/>
      <c r="Q110" s="97"/>
      <c r="R110" s="97"/>
      <c r="S110" s="97"/>
      <c r="X110">
        <v>1</v>
      </c>
      <c r="Y110" s="37" t="s">
        <v>7</v>
      </c>
      <c r="AM110" s="75"/>
      <c r="AN110" s="68"/>
      <c r="AO110" s="68"/>
      <c r="AP110" s="68"/>
    </row>
    <row r="111" spans="1:42" x14ac:dyDescent="0.35">
      <c r="A111" s="97"/>
      <c r="B111" s="97"/>
      <c r="C111" s="97"/>
      <c r="D111" s="97"/>
      <c r="E111" s="121"/>
      <c r="F111" s="97"/>
      <c r="G111" s="97"/>
      <c r="H111" s="97"/>
      <c r="I111" s="117"/>
      <c r="J111" s="97"/>
      <c r="K111" s="155" t="s">
        <v>33</v>
      </c>
      <c r="L111" s="155"/>
      <c r="M111" s="128"/>
      <c r="N111" s="126"/>
      <c r="O111" s="97"/>
      <c r="P111" s="97"/>
      <c r="Q111" s="97"/>
      <c r="R111" s="97"/>
      <c r="S111" s="97"/>
      <c r="X111">
        <v>2</v>
      </c>
      <c r="Y111" s="37" t="s">
        <v>8</v>
      </c>
      <c r="AF111" s="11"/>
      <c r="AM111" s="75"/>
      <c r="AN111" s="68"/>
      <c r="AO111" s="68"/>
      <c r="AP111" s="68"/>
    </row>
    <row r="112" spans="1:42" x14ac:dyDescent="0.35">
      <c r="A112" s="97"/>
      <c r="B112" s="97"/>
      <c r="C112" s="97"/>
      <c r="D112" s="97"/>
      <c r="E112" s="121"/>
      <c r="F112" s="97"/>
      <c r="G112" s="97"/>
      <c r="H112" s="97"/>
      <c r="I112" s="117"/>
      <c r="J112" s="97"/>
      <c r="K112" s="97"/>
      <c r="L112" s="97"/>
      <c r="M112" s="128"/>
      <c r="N112" s="126"/>
      <c r="O112" s="97"/>
      <c r="P112" s="97"/>
      <c r="Q112" s="97"/>
      <c r="R112" s="97"/>
      <c r="S112" s="97"/>
      <c r="X112">
        <v>3</v>
      </c>
      <c r="Y112" s="37" t="s">
        <v>9</v>
      </c>
      <c r="AF112" s="11"/>
      <c r="AM112" s="75"/>
      <c r="AN112" s="68"/>
      <c r="AO112" s="68"/>
      <c r="AP112" s="68"/>
    </row>
    <row r="113" spans="1:49" x14ac:dyDescent="0.35">
      <c r="A113" s="97"/>
      <c r="B113" s="97"/>
      <c r="C113" s="97"/>
      <c r="D113" s="97"/>
      <c r="E113" s="121"/>
      <c r="F113" s="97"/>
      <c r="G113" s="97"/>
      <c r="H113" s="97"/>
      <c r="I113" s="117"/>
      <c r="J113" s="97"/>
      <c r="K113" s="120" t="s">
        <v>31</v>
      </c>
      <c r="L113" s="122">
        <v>0.25</v>
      </c>
      <c r="M113" s="128">
        <f>1-EXP(-N113*$E$2)</f>
        <v>0.58499599448075823</v>
      </c>
      <c r="N113" s="126">
        <f>AR123</f>
        <v>26.384013208332689</v>
      </c>
      <c r="O113" s="97"/>
      <c r="P113" s="97"/>
      <c r="Q113" s="97"/>
      <c r="R113" s="97"/>
      <c r="S113" s="97"/>
      <c r="X113">
        <v>4</v>
      </c>
      <c r="Y113" s="37" t="s">
        <v>10</v>
      </c>
      <c r="AM113" s="68"/>
      <c r="AN113" s="68"/>
      <c r="AO113" s="68"/>
      <c r="AP113" s="68"/>
    </row>
    <row r="114" spans="1:49" ht="13.15" thickBot="1" x14ac:dyDescent="0.4">
      <c r="A114" s="97"/>
      <c r="B114" s="97"/>
      <c r="C114" s="97"/>
      <c r="D114" s="97"/>
      <c r="E114" s="121"/>
      <c r="F114" s="97"/>
      <c r="G114" s="97"/>
      <c r="H114" s="97"/>
      <c r="I114" s="117"/>
      <c r="J114" s="97"/>
      <c r="K114" s="117"/>
      <c r="L114" s="97"/>
      <c r="M114" s="128"/>
      <c r="N114" s="126"/>
      <c r="O114" s="97"/>
      <c r="P114" s="97"/>
      <c r="Q114" s="97"/>
      <c r="R114" s="97"/>
      <c r="S114" s="97"/>
      <c r="AM114" s="75"/>
      <c r="AN114" s="68"/>
      <c r="AO114" s="68"/>
      <c r="AP114" s="68"/>
    </row>
    <row r="115" spans="1:49" ht="15.4" x14ac:dyDescent="0.45">
      <c r="A115" s="97"/>
      <c r="B115" s="97"/>
      <c r="C115" s="97"/>
      <c r="D115" s="97"/>
      <c r="E115" s="121"/>
      <c r="F115" s="165" t="s">
        <v>8</v>
      </c>
      <c r="G115" s="156"/>
      <c r="H115" s="157"/>
      <c r="I115" s="117"/>
      <c r="J115" s="97"/>
      <c r="K115" s="117"/>
      <c r="L115" s="97"/>
      <c r="M115" s="128"/>
      <c r="N115" s="126"/>
      <c r="O115" s="97"/>
      <c r="P115" s="97"/>
      <c r="Q115" s="97"/>
      <c r="R115" s="97"/>
      <c r="S115" s="97"/>
      <c r="T115" s="53" t="s">
        <v>11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75"/>
      <c r="AN115" s="68"/>
      <c r="AO115" s="68"/>
      <c r="AP115" s="68"/>
    </row>
    <row r="116" spans="1:49" x14ac:dyDescent="0.35">
      <c r="A116" s="97"/>
      <c r="B116" s="97"/>
      <c r="C116" s="97"/>
      <c r="D116" s="97"/>
      <c r="E116" s="121"/>
      <c r="F116" s="120" t="s">
        <v>84</v>
      </c>
      <c r="G116" s="122">
        <f>J106*I107+J116*I117+J126*I127</f>
        <v>0.12229839701253716</v>
      </c>
      <c r="H116" s="122"/>
      <c r="I116" s="120" t="s">
        <v>30</v>
      </c>
      <c r="J116" s="122">
        <v>0.5</v>
      </c>
      <c r="K116" s="120" t="s">
        <v>30</v>
      </c>
      <c r="L116" s="122">
        <v>0.5</v>
      </c>
      <c r="M116" s="128">
        <f>1-EXP(-N116*$E$2)</f>
        <v>0.19522179551256436</v>
      </c>
      <c r="N116" s="126">
        <f>AQ123</f>
        <v>6.5156568570807956</v>
      </c>
      <c r="O116" s="97"/>
      <c r="P116" s="97"/>
      <c r="Q116" s="97"/>
      <c r="R116" s="97"/>
      <c r="S116" s="97"/>
      <c r="AM116" s="68"/>
      <c r="AN116" s="68"/>
      <c r="AO116" s="68"/>
      <c r="AP116" s="68"/>
    </row>
    <row r="117" spans="1:49" ht="15.4" x14ac:dyDescent="0.45">
      <c r="A117" s="97"/>
      <c r="B117" s="97"/>
      <c r="C117" s="97"/>
      <c r="D117" s="97"/>
      <c r="E117" s="121"/>
      <c r="F117" s="97" t="s">
        <v>87</v>
      </c>
      <c r="G117" s="126">
        <f>-LN(-G116+1)/$E$2</f>
        <v>3.9134580910696699</v>
      </c>
      <c r="H117" s="97"/>
      <c r="I117" s="117">
        <f>M113*L113+M116*L116+M119*L119</f>
        <v>0.20721262464693466</v>
      </c>
      <c r="J117" s="97"/>
      <c r="K117" s="117"/>
      <c r="L117" s="97"/>
      <c r="M117" s="128"/>
      <c r="N117" s="126"/>
      <c r="O117" s="97"/>
      <c r="P117" s="97"/>
      <c r="Q117" s="97"/>
      <c r="R117" s="97"/>
      <c r="S117" s="97"/>
      <c r="T117" s="49"/>
      <c r="U117" s="49" t="s">
        <v>12</v>
      </c>
      <c r="V117" s="49"/>
      <c r="W117" s="49"/>
      <c r="X117" s="49"/>
      <c r="Y117" s="49"/>
      <c r="Z117" s="49"/>
      <c r="AA117" s="55" t="s">
        <v>13</v>
      </c>
      <c r="AB117" s="55" t="s">
        <v>14</v>
      </c>
      <c r="AC117" s="56" t="s">
        <v>15</v>
      </c>
      <c r="AD117" s="55"/>
      <c r="AE117" s="55"/>
      <c r="AF117" s="55"/>
      <c r="AG117" s="55"/>
      <c r="AH117" s="55"/>
      <c r="AI117" s="55"/>
      <c r="AJ117" s="55"/>
      <c r="AK117" s="55"/>
      <c r="AL117" s="55"/>
      <c r="AM117" s="75"/>
      <c r="AN117" s="68"/>
      <c r="AO117" s="68"/>
      <c r="AP117" s="68"/>
      <c r="AW117" s="142"/>
    </row>
    <row r="118" spans="1:49" x14ac:dyDescent="0.35">
      <c r="A118" s="97"/>
      <c r="B118" s="97"/>
      <c r="C118" s="97"/>
      <c r="D118" s="97"/>
      <c r="E118" s="121"/>
      <c r="F118" s="97"/>
      <c r="G118" s="97"/>
      <c r="H118" s="97"/>
      <c r="I118" s="117"/>
      <c r="J118" s="97"/>
      <c r="K118" s="123"/>
      <c r="L118" s="97"/>
      <c r="M118" s="128"/>
      <c r="N118" s="126"/>
      <c r="O118" s="97"/>
      <c r="P118" s="97"/>
      <c r="Q118" s="97"/>
      <c r="R118" s="97"/>
      <c r="S118" s="97"/>
      <c r="T118" s="2"/>
      <c r="U118" s="4"/>
      <c r="V118" s="5"/>
      <c r="W118" s="5"/>
      <c r="X118" s="5"/>
      <c r="Y118" s="5"/>
      <c r="Z118" s="5"/>
      <c r="AA118" s="5"/>
      <c r="AB118" s="5"/>
      <c r="AC118" s="15"/>
      <c r="AD118" s="23"/>
      <c r="AE118" s="3"/>
      <c r="AF118" s="3"/>
      <c r="AG118" s="3"/>
      <c r="AH118" s="3"/>
      <c r="AI118" s="3"/>
      <c r="AJ118" s="3"/>
      <c r="AK118" s="3"/>
      <c r="AL118" s="3"/>
      <c r="AM118" s="68"/>
      <c r="AN118" s="68"/>
      <c r="AO118" s="68"/>
      <c r="AP118" s="68"/>
      <c r="AV118" s="143"/>
    </row>
    <row r="119" spans="1:49" x14ac:dyDescent="0.35">
      <c r="A119" s="97"/>
      <c r="B119" s="97"/>
      <c r="C119" s="97"/>
      <c r="D119" s="97"/>
      <c r="E119" s="121"/>
      <c r="F119" s="97"/>
      <c r="G119" s="97"/>
      <c r="H119" s="97"/>
      <c r="I119" s="117"/>
      <c r="J119" s="97"/>
      <c r="K119" s="122" t="s">
        <v>29</v>
      </c>
      <c r="L119" s="122">
        <v>0.25</v>
      </c>
      <c r="M119" s="128">
        <f>1-EXP(-N119*$E$2)</f>
        <v>-0.14658908691814831</v>
      </c>
      <c r="N119" s="126">
        <f>AP123</f>
        <v>-4.1037457101284058</v>
      </c>
      <c r="O119" s="97"/>
      <c r="P119" s="97"/>
      <c r="Q119" s="97"/>
      <c r="R119" s="97"/>
      <c r="S119" s="97"/>
      <c r="T119" s="24" t="s">
        <v>16</v>
      </c>
      <c r="U119" s="16" t="s">
        <v>17</v>
      </c>
      <c r="V119" s="3"/>
      <c r="W119" s="3"/>
      <c r="X119" s="3"/>
      <c r="Y119" s="3"/>
      <c r="Z119" s="3"/>
      <c r="AA119" s="17" t="s">
        <v>18</v>
      </c>
      <c r="AB119" s="27">
        <f>$H$1</f>
        <v>0.08</v>
      </c>
      <c r="AC119" s="25" t="s">
        <v>19</v>
      </c>
      <c r="AF119" s="26"/>
      <c r="AG119" s="26"/>
      <c r="AH119" s="26"/>
      <c r="AI119" s="26"/>
      <c r="AJ119" s="26"/>
      <c r="AK119" s="26"/>
      <c r="AL119" s="3"/>
      <c r="AM119" s="68"/>
      <c r="AN119" s="68"/>
      <c r="AO119" s="68"/>
      <c r="AP119" s="140" t="s">
        <v>33</v>
      </c>
      <c r="AV119" s="143"/>
    </row>
    <row r="120" spans="1:49" ht="15.4" x14ac:dyDescent="0.45">
      <c r="A120" s="97"/>
      <c r="B120" s="97"/>
      <c r="C120" s="97"/>
      <c r="D120" s="97"/>
      <c r="E120" s="121"/>
      <c r="F120" s="97"/>
      <c r="G120" s="97"/>
      <c r="H120" s="97"/>
      <c r="I120" s="117"/>
      <c r="J120" s="97"/>
      <c r="K120" s="97"/>
      <c r="L120" s="97"/>
      <c r="M120" s="128"/>
      <c r="N120" s="126"/>
      <c r="O120" s="97"/>
      <c r="P120" s="97"/>
      <c r="Q120" s="97"/>
      <c r="R120" s="97"/>
      <c r="S120" s="97"/>
      <c r="T120" s="24" t="s">
        <v>16</v>
      </c>
      <c r="U120" s="16" t="s">
        <v>20</v>
      </c>
      <c r="V120" s="3"/>
      <c r="W120" s="3"/>
      <c r="X120" s="3"/>
      <c r="Y120" s="3"/>
      <c r="Z120" s="3"/>
      <c r="AA120" s="17" t="s">
        <v>18</v>
      </c>
      <c r="AB120" s="91">
        <f>$H$2</f>
        <v>0.38</v>
      </c>
      <c r="AC120" s="25" t="s">
        <v>21</v>
      </c>
      <c r="AF120" s="26"/>
      <c r="AG120" s="26"/>
      <c r="AH120" s="26"/>
      <c r="AI120" s="26"/>
      <c r="AJ120" s="26"/>
      <c r="AK120" s="26"/>
      <c r="AL120" s="3"/>
      <c r="AM120" s="68"/>
      <c r="AN120" s="68"/>
      <c r="AO120" s="68"/>
      <c r="AP120" s="55" t="s">
        <v>29</v>
      </c>
      <c r="AQ120" s="55" t="s">
        <v>30</v>
      </c>
      <c r="AR120" s="55" t="s">
        <v>31</v>
      </c>
      <c r="AV120" s="143"/>
    </row>
    <row r="121" spans="1:49" x14ac:dyDescent="0.35">
      <c r="A121" s="97"/>
      <c r="B121" s="97"/>
      <c r="C121" s="97"/>
      <c r="D121" s="97"/>
      <c r="E121" s="121"/>
      <c r="F121" s="97"/>
      <c r="G121" s="97"/>
      <c r="H121" s="97"/>
      <c r="I121" s="117"/>
      <c r="J121" s="97"/>
      <c r="K121" s="155" t="s">
        <v>33</v>
      </c>
      <c r="L121" s="155"/>
      <c r="M121" s="128"/>
      <c r="N121" s="126"/>
      <c r="O121" s="97"/>
      <c r="P121" s="97"/>
      <c r="Q121" s="97"/>
      <c r="R121" s="97"/>
      <c r="S121" s="97"/>
      <c r="T121" s="24"/>
      <c r="U121" s="16" t="s">
        <v>22</v>
      </c>
      <c r="V121" s="3"/>
      <c r="W121" s="3"/>
      <c r="X121" s="3"/>
      <c r="Y121" s="3"/>
      <c r="Z121" s="3"/>
      <c r="AA121" s="17" t="s">
        <v>18</v>
      </c>
      <c r="AB121" s="91">
        <v>0.6</v>
      </c>
      <c r="AC121" s="25" t="s">
        <v>23</v>
      </c>
      <c r="AF121" s="26"/>
      <c r="AG121" s="26"/>
      <c r="AH121" s="26"/>
      <c r="AI121" s="26"/>
      <c r="AJ121" s="26"/>
      <c r="AK121" s="26"/>
      <c r="AL121" s="3"/>
      <c r="AM121" s="78"/>
      <c r="AN121" s="68"/>
      <c r="AO121" s="141">
        <f>AA174</f>
        <v>6.5156568570807956</v>
      </c>
      <c r="AP121" s="62">
        <v>1</v>
      </c>
      <c r="AQ121" s="63">
        <v>2.5</v>
      </c>
      <c r="AR121" s="64">
        <v>5.5</v>
      </c>
      <c r="AV121" s="143"/>
    </row>
    <row r="122" spans="1:49" ht="15.4" x14ac:dyDescent="0.45">
      <c r="A122" s="97"/>
      <c r="B122" s="97"/>
      <c r="C122" s="97"/>
      <c r="D122" s="97"/>
      <c r="E122" s="121"/>
      <c r="F122" s="97"/>
      <c r="G122" s="97"/>
      <c r="H122" s="97"/>
      <c r="I122" s="117"/>
      <c r="J122" s="97"/>
      <c r="K122" s="97"/>
      <c r="L122" s="97"/>
      <c r="M122" s="128"/>
      <c r="N122" s="126"/>
      <c r="O122" s="97"/>
      <c r="P122" s="97"/>
      <c r="Q122" s="97"/>
      <c r="R122" s="97"/>
      <c r="S122" s="97"/>
      <c r="T122" s="24"/>
      <c r="U122" s="16" t="s">
        <v>24</v>
      </c>
      <c r="V122" s="3"/>
      <c r="W122" s="3"/>
      <c r="X122" s="3"/>
      <c r="Y122" s="3"/>
      <c r="Z122" s="3"/>
      <c r="AA122" s="17" t="s">
        <v>18</v>
      </c>
      <c r="AB122" s="28">
        <f>$H$3</f>
        <v>0.98</v>
      </c>
      <c r="AC122" s="25" t="s">
        <v>25</v>
      </c>
      <c r="AF122" s="40"/>
      <c r="AG122" s="40"/>
      <c r="AH122" s="40"/>
      <c r="AI122" s="40"/>
      <c r="AJ122" s="40"/>
      <c r="AK122" s="40"/>
      <c r="AL122" s="3"/>
      <c r="AM122" s="139" t="s">
        <v>42</v>
      </c>
      <c r="AN122" s="55" t="s">
        <v>29</v>
      </c>
      <c r="AO122" s="85">
        <v>9.75</v>
      </c>
      <c r="AP122" s="68">
        <f t="dataTable" ref="AP122:AR124" dt2D="1" dtr="1" r1="AD132" r2="AD136"/>
        <v>-12.411921434265031</v>
      </c>
      <c r="AQ122">
        <v>-9.2798035856625738</v>
      </c>
      <c r="AR122">
        <v>-3.3397574620306809</v>
      </c>
      <c r="AV122" s="143"/>
    </row>
    <row r="123" spans="1:49" ht="15.4" x14ac:dyDescent="0.45">
      <c r="A123" s="97"/>
      <c r="B123" s="97"/>
      <c r="C123" s="97"/>
      <c r="D123" s="97"/>
      <c r="E123" s="121"/>
      <c r="F123" s="97"/>
      <c r="G123" s="97"/>
      <c r="H123" s="97"/>
      <c r="I123" s="117"/>
      <c r="J123" s="97"/>
      <c r="K123" s="120" t="s">
        <v>31</v>
      </c>
      <c r="L123" s="122">
        <v>0.25</v>
      </c>
      <c r="M123" s="128">
        <f>1-EXP(-N123*$E$2)</f>
        <v>-0.11775839724287862</v>
      </c>
      <c r="N123" s="126">
        <f>AR122</f>
        <v>-3.3397574620306809</v>
      </c>
      <c r="O123" s="97"/>
      <c r="P123" s="97"/>
      <c r="Q123" s="97"/>
      <c r="R123" s="97"/>
      <c r="S123" s="97"/>
      <c r="T123" s="24"/>
      <c r="U123" s="16"/>
      <c r="V123" s="3"/>
      <c r="W123" s="3"/>
      <c r="X123" s="3"/>
      <c r="Y123" s="3"/>
      <c r="Z123" s="3"/>
      <c r="AA123" s="17"/>
      <c r="AB123" s="40"/>
      <c r="AC123" s="25"/>
      <c r="AF123" s="40"/>
      <c r="AG123" s="40"/>
      <c r="AH123" s="40"/>
      <c r="AI123" s="40"/>
      <c r="AJ123" s="40"/>
      <c r="AK123" s="40"/>
      <c r="AL123" s="3"/>
      <c r="AM123" s="75"/>
      <c r="AN123" s="55" t="s">
        <v>30</v>
      </c>
      <c r="AO123" s="86">
        <v>10.75</v>
      </c>
      <c r="AP123" s="68">
        <v>-4.1037457101284058</v>
      </c>
      <c r="AQ123">
        <v>6.5156568570807956</v>
      </c>
      <c r="AR123">
        <v>26.384013208332689</v>
      </c>
      <c r="AV123" s="143"/>
    </row>
    <row r="124" spans="1:49" ht="15.4" x14ac:dyDescent="0.45">
      <c r="A124" s="97"/>
      <c r="B124" s="97"/>
      <c r="C124" s="97"/>
      <c r="D124" s="97"/>
      <c r="E124" s="121"/>
      <c r="F124" s="97"/>
      <c r="G124" s="97"/>
      <c r="H124" s="97"/>
      <c r="I124" s="117"/>
      <c r="J124" s="97"/>
      <c r="K124" s="117"/>
      <c r="L124" s="97"/>
      <c r="M124" s="128"/>
      <c r="N124" s="126"/>
      <c r="O124" s="97"/>
      <c r="P124" s="97"/>
      <c r="Q124" s="97"/>
      <c r="R124" s="97"/>
      <c r="S124" s="97"/>
      <c r="T124" s="24"/>
      <c r="U124" s="16"/>
      <c r="V124" s="3"/>
      <c r="W124" s="3"/>
      <c r="X124" s="3"/>
      <c r="Y124" s="3"/>
      <c r="Z124" s="3"/>
      <c r="AA124" s="17"/>
      <c r="AB124" s="39"/>
      <c r="AC124" s="25"/>
      <c r="AF124" s="39"/>
      <c r="AG124" s="39"/>
      <c r="AH124" s="39"/>
      <c r="AI124" s="39"/>
      <c r="AJ124" s="39"/>
      <c r="AK124" s="39"/>
      <c r="AL124" s="3"/>
      <c r="AM124" s="75"/>
      <c r="AN124" s="55" t="s">
        <v>31</v>
      </c>
      <c r="AO124" s="87">
        <v>11.5</v>
      </c>
      <c r="AP124" s="68">
        <v>0.30418157535703472</v>
      </c>
      <c r="AQ124">
        <v>16.522174215113626</v>
      </c>
      <c r="AR124">
        <v>47.874264754731449</v>
      </c>
      <c r="AV124" s="143"/>
    </row>
    <row r="125" spans="1:49" x14ac:dyDescent="0.35">
      <c r="A125" s="97"/>
      <c r="B125" s="97"/>
      <c r="C125" s="97"/>
      <c r="D125" s="97"/>
      <c r="E125" s="121"/>
      <c r="F125" s="97"/>
      <c r="G125" s="97"/>
      <c r="H125" s="97"/>
      <c r="I125" s="123"/>
      <c r="J125" s="97"/>
      <c r="K125" s="117"/>
      <c r="L125" s="97"/>
      <c r="M125" s="128"/>
      <c r="N125" s="126"/>
      <c r="O125" s="97"/>
      <c r="P125" s="97"/>
      <c r="Q125" s="97"/>
      <c r="R125" s="97"/>
      <c r="S125" s="97"/>
      <c r="T125" s="24"/>
      <c r="U125" s="16"/>
      <c r="V125" s="3"/>
      <c r="W125" s="3"/>
      <c r="X125" s="3"/>
      <c r="Y125" s="3"/>
      <c r="Z125" s="3"/>
      <c r="AA125" s="17"/>
      <c r="AB125" s="39"/>
      <c r="AC125" s="25"/>
      <c r="AF125" s="39"/>
      <c r="AG125" s="39"/>
      <c r="AH125" s="39"/>
      <c r="AI125" s="39"/>
      <c r="AJ125" s="39"/>
      <c r="AK125" s="39"/>
      <c r="AL125" s="3"/>
      <c r="AM125" s="75"/>
      <c r="AN125" s="68"/>
      <c r="AO125" s="68"/>
      <c r="AP125" s="68"/>
      <c r="AV125" s="143"/>
    </row>
    <row r="126" spans="1:49" x14ac:dyDescent="0.35">
      <c r="A126" s="97"/>
      <c r="B126" s="97"/>
      <c r="C126" s="97"/>
      <c r="D126" s="97"/>
      <c r="E126" s="121"/>
      <c r="F126" s="97"/>
      <c r="G126" s="97"/>
      <c r="H126" s="97"/>
      <c r="I126" s="122" t="s">
        <v>29</v>
      </c>
      <c r="J126" s="122">
        <v>0.25</v>
      </c>
      <c r="K126" s="120" t="s">
        <v>30</v>
      </c>
      <c r="L126" s="122">
        <v>0.5</v>
      </c>
      <c r="M126" s="128">
        <f>1-EXP(-N126*$E$2)</f>
        <v>-0.36250754640902905</v>
      </c>
      <c r="N126" s="126">
        <f>AQ122</f>
        <v>-9.2798035856625738</v>
      </c>
      <c r="O126" s="97"/>
      <c r="P126" s="97"/>
      <c r="Q126" s="97"/>
      <c r="R126" s="97"/>
      <c r="S126" s="97"/>
      <c r="T126" s="24" t="s">
        <v>16</v>
      </c>
      <c r="U126" s="18"/>
      <c r="V126" s="19"/>
      <c r="W126" s="19"/>
      <c r="X126" s="19"/>
      <c r="Y126" s="19"/>
      <c r="Z126" s="19"/>
      <c r="AA126" s="19"/>
      <c r="AB126" s="19"/>
      <c r="AC126" s="59"/>
      <c r="AD126" s="23"/>
      <c r="AE126" s="3"/>
      <c r="AF126" s="3"/>
      <c r="AG126" s="3"/>
      <c r="AH126" s="3"/>
      <c r="AI126" s="3"/>
      <c r="AJ126" s="3"/>
      <c r="AK126" s="3"/>
      <c r="AL126" s="3"/>
      <c r="AM126" s="75"/>
      <c r="AN126" s="68"/>
      <c r="AO126" s="68"/>
      <c r="AP126" s="68"/>
      <c r="AV126" s="143"/>
    </row>
    <row r="127" spans="1:49" ht="13.15" thickBot="1" x14ac:dyDescent="0.4">
      <c r="A127" s="97"/>
      <c r="B127" s="97"/>
      <c r="C127" s="97"/>
      <c r="D127" s="97"/>
      <c r="E127" s="121"/>
      <c r="F127" s="97"/>
      <c r="G127" s="97"/>
      <c r="H127" s="97"/>
      <c r="I127" s="97">
        <f>M123*L123+M126*L126+M129*L129</f>
        <v>-0.33880582031692213</v>
      </c>
      <c r="J127" s="97"/>
      <c r="K127" s="117"/>
      <c r="L127" s="97"/>
      <c r="M127" s="128"/>
      <c r="N127" s="126"/>
      <c r="O127" s="97"/>
      <c r="P127" s="97"/>
      <c r="Q127" s="97"/>
      <c r="R127" s="97"/>
      <c r="S127" s="97"/>
      <c r="T127" s="24"/>
      <c r="U127" s="3"/>
      <c r="V127" s="3"/>
      <c r="W127" s="3"/>
      <c r="X127" s="3"/>
      <c r="Y127" s="3"/>
      <c r="Z127" s="3"/>
      <c r="AA127" s="3"/>
      <c r="AB127" s="3"/>
      <c r="AD127" s="23"/>
      <c r="AE127" s="3"/>
      <c r="AF127" s="3"/>
      <c r="AG127" s="3"/>
      <c r="AH127" s="3"/>
      <c r="AI127" s="3"/>
      <c r="AJ127" s="3"/>
      <c r="AK127" s="3"/>
      <c r="AL127" s="3"/>
      <c r="AM127" s="75"/>
      <c r="AN127" s="68"/>
      <c r="AO127" s="68"/>
      <c r="AP127" s="68"/>
      <c r="AV127" s="143"/>
    </row>
    <row r="128" spans="1:49" ht="15.4" x14ac:dyDescent="0.45">
      <c r="A128" s="97"/>
      <c r="B128" s="97"/>
      <c r="C128" s="97"/>
      <c r="D128" s="97"/>
      <c r="E128" s="121"/>
      <c r="F128" s="97"/>
      <c r="G128" s="97"/>
      <c r="H128" s="97"/>
      <c r="I128" s="97"/>
      <c r="J128" s="97"/>
      <c r="K128" s="123"/>
      <c r="L128" s="97"/>
      <c r="M128" s="128"/>
      <c r="N128" s="126"/>
      <c r="O128" s="97"/>
      <c r="P128" s="97"/>
      <c r="Q128" s="97"/>
      <c r="R128" s="97"/>
      <c r="S128" s="97"/>
      <c r="T128" s="53" t="s">
        <v>26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75"/>
      <c r="AN128" s="68"/>
      <c r="AO128" s="68"/>
      <c r="AP128" s="68"/>
      <c r="AV128" s="143"/>
    </row>
    <row r="129" spans="1:48" ht="15.4" x14ac:dyDescent="0.45">
      <c r="A129" s="97"/>
      <c r="B129" s="97"/>
      <c r="C129" s="97"/>
      <c r="D129" s="97"/>
      <c r="E129" s="121"/>
      <c r="F129" s="97"/>
      <c r="G129" s="97"/>
      <c r="H129" s="97"/>
      <c r="I129" s="97"/>
      <c r="J129" s="97"/>
      <c r="K129" s="122" t="s">
        <v>29</v>
      </c>
      <c r="L129" s="122">
        <v>0.25</v>
      </c>
      <c r="M129" s="128">
        <f>1-EXP(-N129*$E$2)</f>
        <v>-0.51244979120675183</v>
      </c>
      <c r="N129" s="126">
        <f>AP122</f>
        <v>-12.411921434265031</v>
      </c>
      <c r="O129" s="97"/>
      <c r="P129" s="97"/>
      <c r="Q129" s="97"/>
      <c r="R129" s="97"/>
      <c r="S129" s="97"/>
      <c r="T129" s="54"/>
      <c r="AM129" s="75"/>
      <c r="AN129" s="68"/>
      <c r="AO129" s="68"/>
      <c r="AP129" s="68"/>
      <c r="AV129" s="143"/>
    </row>
    <row r="130" spans="1:48" ht="15.4" x14ac:dyDescent="0.45">
      <c r="A130" s="97"/>
      <c r="B130" s="97"/>
      <c r="C130" s="97"/>
      <c r="D130" s="97"/>
      <c r="E130" s="121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49"/>
      <c r="U130" s="49" t="s">
        <v>12</v>
      </c>
      <c r="V130" s="49"/>
      <c r="W130" s="49"/>
      <c r="X130" s="49"/>
      <c r="Y130" s="49"/>
      <c r="Z130" s="49"/>
      <c r="AA130" s="55" t="s">
        <v>13</v>
      </c>
      <c r="AB130" s="55" t="s">
        <v>27</v>
      </c>
      <c r="AC130" s="56"/>
      <c r="AD130" s="55" t="s">
        <v>28</v>
      </c>
      <c r="AE130" s="55" t="s">
        <v>15</v>
      </c>
      <c r="AF130" s="55" t="s">
        <v>29</v>
      </c>
      <c r="AG130" s="55" t="s">
        <v>30</v>
      </c>
      <c r="AH130" s="55" t="s">
        <v>31</v>
      </c>
      <c r="AI130" s="9"/>
      <c r="AK130" s="55"/>
      <c r="AM130" s="75"/>
      <c r="AN130" s="68"/>
      <c r="AO130" s="68"/>
      <c r="AP130" s="68"/>
      <c r="AV130" s="143"/>
    </row>
    <row r="131" spans="1:48" x14ac:dyDescent="0.35">
      <c r="A131" s="97"/>
      <c r="B131" s="97"/>
      <c r="C131" s="97"/>
      <c r="D131" s="97"/>
      <c r="E131" s="121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24" t="s">
        <v>16</v>
      </c>
      <c r="U131" s="60" t="s">
        <v>32</v>
      </c>
      <c r="V131" s="5"/>
      <c r="W131" s="5"/>
      <c r="X131" s="5"/>
      <c r="Y131" s="5"/>
      <c r="Z131" s="5"/>
      <c r="AA131" s="5"/>
      <c r="AB131" s="5"/>
      <c r="AC131" s="14"/>
      <c r="AD131" s="21"/>
      <c r="AE131" s="5"/>
      <c r="AF131" s="5"/>
      <c r="AG131" s="5"/>
      <c r="AH131" s="5"/>
      <c r="AI131" s="58"/>
      <c r="AK131" s="3"/>
      <c r="AM131" s="75"/>
      <c r="AN131" s="68"/>
      <c r="AO131" s="68"/>
      <c r="AP131" s="68"/>
      <c r="AV131" s="143"/>
    </row>
    <row r="132" spans="1:48" x14ac:dyDescent="0.35">
      <c r="A132" s="97"/>
      <c r="B132" s="97"/>
      <c r="C132" s="97"/>
      <c r="D132" s="97"/>
      <c r="E132" s="121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46" t="s">
        <v>16</v>
      </c>
      <c r="U132" s="140" t="s">
        <v>33</v>
      </c>
      <c r="V132" s="95"/>
      <c r="W132" s="95"/>
      <c r="X132" s="3"/>
      <c r="Y132" s="3"/>
      <c r="Z132" s="3"/>
      <c r="AA132" s="17" t="s">
        <v>34</v>
      </c>
      <c r="AB132" s="44">
        <v>2</v>
      </c>
      <c r="AC132" s="7"/>
      <c r="AD132" s="41">
        <f>INDEX(AF132:AH132,AB132)</f>
        <v>2.5</v>
      </c>
      <c r="AE132" s="7" t="s">
        <v>35</v>
      </c>
      <c r="AF132" s="62">
        <v>1</v>
      </c>
      <c r="AG132" s="63">
        <v>2.5</v>
      </c>
      <c r="AH132" s="64">
        <v>5.5</v>
      </c>
      <c r="AI132" s="58"/>
      <c r="AK132" s="42"/>
      <c r="AM132" s="75"/>
      <c r="AN132" s="68"/>
      <c r="AO132" s="68"/>
      <c r="AP132" s="68"/>
      <c r="AV132" s="143"/>
    </row>
    <row r="133" spans="1:48" x14ac:dyDescent="0.35">
      <c r="A133" s="97"/>
      <c r="B133" s="97"/>
      <c r="C133" s="97"/>
      <c r="D133" s="97"/>
      <c r="E133" s="121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46" t="s">
        <v>16</v>
      </c>
      <c r="U133" s="43" t="s">
        <v>36</v>
      </c>
      <c r="V133" s="95"/>
      <c r="W133" s="95"/>
      <c r="X133" s="3"/>
      <c r="Y133" s="3"/>
      <c r="Z133" s="3"/>
      <c r="AA133" s="17" t="s">
        <v>34</v>
      </c>
      <c r="AB133" s="44">
        <v>2</v>
      </c>
      <c r="AC133" s="7"/>
      <c r="AD133" s="41">
        <f>INDEX(AF133:AH133,AB133)</f>
        <v>1.6</v>
      </c>
      <c r="AE133" s="7" t="s">
        <v>37</v>
      </c>
      <c r="AF133" s="62">
        <v>1.3</v>
      </c>
      <c r="AG133" s="63">
        <v>1.6</v>
      </c>
      <c r="AH133" s="64">
        <v>1.8</v>
      </c>
      <c r="AI133" s="58"/>
      <c r="AK133" s="3"/>
      <c r="AM133" s="68"/>
      <c r="AN133" s="68"/>
      <c r="AO133" s="68"/>
      <c r="AP133" s="68"/>
      <c r="AV133" s="143"/>
    </row>
    <row r="134" spans="1:48" x14ac:dyDescent="0.35">
      <c r="A134" s="97"/>
      <c r="B134" s="97"/>
      <c r="C134" s="97"/>
      <c r="D134" s="97"/>
      <c r="E134" s="121"/>
      <c r="F134" s="97"/>
      <c r="G134" s="97"/>
      <c r="H134" s="97"/>
      <c r="I134" s="97"/>
      <c r="J134" s="97"/>
      <c r="K134" s="97"/>
      <c r="L134" s="97"/>
      <c r="M134" s="97"/>
      <c r="N134" s="97"/>
      <c r="O134" s="127" t="s">
        <v>84</v>
      </c>
      <c r="P134" s="127" t="s">
        <v>88</v>
      </c>
      <c r="Q134" s="97"/>
      <c r="R134" s="97"/>
      <c r="S134" s="97"/>
      <c r="T134" s="24" t="s">
        <v>16</v>
      </c>
      <c r="U134" s="43" t="s">
        <v>38</v>
      </c>
      <c r="V134" s="3"/>
      <c r="X134" s="3"/>
      <c r="Y134" s="3"/>
      <c r="Z134" s="3"/>
      <c r="AA134" s="17" t="s">
        <v>39</v>
      </c>
      <c r="AB134" s="44">
        <v>2</v>
      </c>
      <c r="AC134" s="7"/>
      <c r="AD134" s="84">
        <f>INDEX(AF134:AH134,AB134)</f>
        <v>3.5999999999999997E-2</v>
      </c>
      <c r="AE134" s="7" t="s">
        <v>40</v>
      </c>
      <c r="AF134" s="152">
        <v>-3.2000000000000001E-2</v>
      </c>
      <c r="AG134" s="152">
        <v>3.5999999999999997E-2</v>
      </c>
      <c r="AH134" s="152">
        <v>0.108</v>
      </c>
      <c r="AI134" s="58"/>
      <c r="AK134" s="47"/>
      <c r="AM134" s="68"/>
      <c r="AN134" s="68"/>
      <c r="AO134" s="68"/>
      <c r="AP134" s="68"/>
      <c r="AV134" s="143"/>
    </row>
    <row r="135" spans="1:48" x14ac:dyDescent="0.35">
      <c r="A135" s="97"/>
      <c r="B135" s="97"/>
      <c r="C135" s="97"/>
      <c r="D135" s="97"/>
      <c r="E135" s="121"/>
      <c r="F135" s="97"/>
      <c r="G135" s="97"/>
      <c r="H135" s="97"/>
      <c r="I135" s="97"/>
      <c r="J135" s="97"/>
      <c r="K135" s="97"/>
      <c r="L135" s="97"/>
      <c r="M135" s="155" t="s">
        <v>42</v>
      </c>
      <c r="N135" s="155"/>
      <c r="O135" s="97"/>
      <c r="P135" s="97"/>
      <c r="Q135" s="97"/>
      <c r="R135" s="97"/>
      <c r="S135" s="97"/>
      <c r="T135" s="24" t="s">
        <v>16</v>
      </c>
      <c r="U135" s="13" t="s">
        <v>41</v>
      </c>
      <c r="W135" s="3"/>
      <c r="X135" s="3"/>
      <c r="Y135" s="3"/>
      <c r="Z135" s="3"/>
      <c r="AA135" s="3"/>
      <c r="AB135" s="132"/>
      <c r="AD135" s="40"/>
      <c r="AE135" s="3"/>
      <c r="AF135" s="26"/>
      <c r="AG135" s="26"/>
      <c r="AH135" s="26"/>
      <c r="AI135" s="58"/>
      <c r="AK135" s="3"/>
      <c r="AM135" s="68"/>
      <c r="AN135" s="68"/>
      <c r="AO135" s="68"/>
      <c r="AP135" s="68"/>
      <c r="AV135" s="143"/>
    </row>
    <row r="136" spans="1:48" x14ac:dyDescent="0.35">
      <c r="A136" s="97"/>
      <c r="B136" s="97"/>
      <c r="C136" s="97"/>
      <c r="D136" s="97"/>
      <c r="E136" s="121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24" t="s">
        <v>16</v>
      </c>
      <c r="U136" s="139" t="s">
        <v>42</v>
      </c>
      <c r="V136" s="3"/>
      <c r="W136" s="3"/>
      <c r="X136" s="3"/>
      <c r="Y136" s="3"/>
      <c r="Z136" s="3"/>
      <c r="AA136" s="17" t="s">
        <v>43</v>
      </c>
      <c r="AB136" s="44">
        <v>2</v>
      </c>
      <c r="AD136" s="84">
        <f>INDEX(AF136:AH136,AB136)</f>
        <v>10.75</v>
      </c>
      <c r="AE136" s="7" t="s">
        <v>44</v>
      </c>
      <c r="AF136" s="85">
        <v>9.75</v>
      </c>
      <c r="AG136" s="86">
        <v>10.75</v>
      </c>
      <c r="AH136" s="87">
        <v>11.5</v>
      </c>
      <c r="AI136" s="58"/>
      <c r="AM136" s="68"/>
      <c r="AN136" s="68"/>
      <c r="AO136" s="68"/>
      <c r="AP136" s="68"/>
      <c r="AV136" s="143"/>
    </row>
    <row r="137" spans="1:48" x14ac:dyDescent="0.35">
      <c r="A137" s="97"/>
      <c r="B137" s="97"/>
      <c r="C137" s="97"/>
      <c r="D137" s="97"/>
      <c r="E137" s="121"/>
      <c r="F137" s="97"/>
      <c r="G137" s="97"/>
      <c r="H137" s="97"/>
      <c r="I137" s="97"/>
      <c r="J137" s="97"/>
      <c r="K137" s="97"/>
      <c r="L137" s="97"/>
      <c r="M137" s="120" t="s">
        <v>31</v>
      </c>
      <c r="N137" s="122">
        <v>0.25</v>
      </c>
      <c r="O137" s="128">
        <f>1-EXP(-P137*$E$2)</f>
        <v>0.63883823351259683</v>
      </c>
      <c r="P137" s="126">
        <f>AK197</f>
        <v>30.552879432172091</v>
      </c>
      <c r="Q137" s="97"/>
      <c r="R137" s="97"/>
      <c r="S137" s="97"/>
      <c r="T137" s="24" t="s">
        <v>16</v>
      </c>
      <c r="U137" s="16" t="s">
        <v>45</v>
      </c>
      <c r="W137" s="3"/>
      <c r="X137" s="3"/>
      <c r="Y137" s="3"/>
      <c r="Z137" s="3"/>
      <c r="AA137" s="17" t="s">
        <v>43</v>
      </c>
      <c r="AB137" s="44">
        <v>2</v>
      </c>
      <c r="AC137" s="7"/>
      <c r="AD137" s="41">
        <f>INDEX(AF137:AH137,AB137)</f>
        <v>9.5</v>
      </c>
      <c r="AE137" s="7" t="s">
        <v>46</v>
      </c>
      <c r="AF137" s="85">
        <v>9.25</v>
      </c>
      <c r="AG137" s="86">
        <v>9.5</v>
      </c>
      <c r="AH137" s="87">
        <v>9.75</v>
      </c>
      <c r="AI137" s="58"/>
      <c r="AM137" s="78"/>
      <c r="AN137" s="68"/>
      <c r="AO137" s="68"/>
      <c r="AP137" s="68"/>
      <c r="AV137" s="143"/>
    </row>
    <row r="138" spans="1:48" x14ac:dyDescent="0.35">
      <c r="A138" s="97"/>
      <c r="B138" s="97"/>
      <c r="C138" s="97"/>
      <c r="D138" s="97"/>
      <c r="E138" s="121"/>
      <c r="F138" s="97"/>
      <c r="G138" s="97"/>
      <c r="H138" s="97"/>
      <c r="I138" s="97"/>
      <c r="J138" s="97"/>
      <c r="K138" s="155" t="s">
        <v>33</v>
      </c>
      <c r="L138" s="164"/>
      <c r="M138" s="117"/>
      <c r="N138" s="97"/>
      <c r="O138" s="128"/>
      <c r="P138" s="126"/>
      <c r="Q138" s="97"/>
      <c r="R138" s="97"/>
      <c r="S138" s="97"/>
      <c r="T138" s="24"/>
      <c r="U138" s="16" t="s">
        <v>47</v>
      </c>
      <c r="W138" s="3"/>
      <c r="X138" s="3"/>
      <c r="Y138" s="3"/>
      <c r="Z138" s="3"/>
      <c r="AA138" s="17" t="s">
        <v>48</v>
      </c>
      <c r="AB138" s="44">
        <v>2</v>
      </c>
      <c r="AC138" s="7"/>
      <c r="AD138" s="84">
        <f>INDEX(AF138:AH138,AB138)</f>
        <v>14.5</v>
      </c>
      <c r="AE138" s="7" t="s">
        <v>49</v>
      </c>
      <c r="AF138" s="88">
        <v>13</v>
      </c>
      <c r="AG138" s="89">
        <v>14.5</v>
      </c>
      <c r="AH138" s="90">
        <v>17</v>
      </c>
      <c r="AI138" s="58"/>
      <c r="AM138" s="68"/>
      <c r="AN138" s="68"/>
      <c r="AO138" s="68"/>
      <c r="AP138" s="68"/>
      <c r="AV138" s="143"/>
    </row>
    <row r="139" spans="1:48" x14ac:dyDescent="0.35">
      <c r="A139" s="97"/>
      <c r="B139" s="97"/>
      <c r="C139" s="97"/>
      <c r="D139" s="97"/>
      <c r="E139" s="121"/>
      <c r="F139" s="97"/>
      <c r="G139" s="97"/>
      <c r="H139" s="97"/>
      <c r="I139" s="97"/>
      <c r="J139" s="97"/>
      <c r="K139" s="97"/>
      <c r="L139" s="97"/>
      <c r="M139" s="117"/>
      <c r="N139" s="97"/>
      <c r="O139" s="128"/>
      <c r="P139" s="126"/>
      <c r="Q139" s="97"/>
      <c r="R139" s="97"/>
      <c r="S139" s="97"/>
      <c r="U139" s="16"/>
      <c r="AB139" s="66"/>
      <c r="AI139" s="58"/>
      <c r="AM139" s="75"/>
      <c r="AN139" s="68"/>
      <c r="AO139" s="68"/>
      <c r="AP139" s="68"/>
    </row>
    <row r="140" spans="1:48" x14ac:dyDescent="0.35">
      <c r="A140" s="97"/>
      <c r="B140" s="97"/>
      <c r="C140" s="97"/>
      <c r="D140" s="97"/>
      <c r="E140" s="121"/>
      <c r="F140" s="97"/>
      <c r="G140" s="97"/>
      <c r="H140" s="97"/>
      <c r="I140" s="97"/>
      <c r="J140" s="97"/>
      <c r="K140" s="120" t="s">
        <v>31</v>
      </c>
      <c r="L140" s="122">
        <v>0.25</v>
      </c>
      <c r="M140" s="120" t="s">
        <v>30</v>
      </c>
      <c r="N140" s="122">
        <v>0.5</v>
      </c>
      <c r="O140" s="128">
        <f>1-EXP(-P140*$E$2)</f>
        <v>0.47086851360869486</v>
      </c>
      <c r="P140" s="126">
        <f>AK196</f>
        <v>19.09554964510756</v>
      </c>
      <c r="Q140" s="97"/>
      <c r="R140" s="97"/>
      <c r="S140" s="97"/>
      <c r="T140" s="24" t="s">
        <v>16</v>
      </c>
      <c r="U140" s="22"/>
      <c r="V140" s="3"/>
      <c r="W140" s="3"/>
      <c r="X140" s="3"/>
      <c r="Y140" s="3"/>
      <c r="Z140" s="3"/>
      <c r="AB140" s="66"/>
      <c r="AI140" s="58"/>
      <c r="AM140" s="68"/>
      <c r="AN140" s="68"/>
      <c r="AO140" s="68"/>
      <c r="AP140" s="68"/>
    </row>
    <row r="141" spans="1:48" x14ac:dyDescent="0.35">
      <c r="A141" s="97"/>
      <c r="B141" s="97"/>
      <c r="C141" s="97"/>
      <c r="D141" s="97"/>
      <c r="E141" s="121"/>
      <c r="F141" s="97"/>
      <c r="G141" s="97"/>
      <c r="H141" s="97"/>
      <c r="I141" s="97"/>
      <c r="J141" s="97"/>
      <c r="K141" s="117">
        <f>O137*N137+O140*N140+O143*N143</f>
        <v>0.42502724872615916</v>
      </c>
      <c r="L141" s="97"/>
      <c r="M141" s="117"/>
      <c r="N141" s="97"/>
      <c r="O141" s="128"/>
      <c r="P141" s="126"/>
      <c r="Q141" s="97"/>
      <c r="R141" s="97"/>
      <c r="S141" s="97"/>
      <c r="T141" s="46" t="s">
        <v>16</v>
      </c>
      <c r="U141" s="43"/>
      <c r="V141" s="95"/>
      <c r="W141" s="3"/>
      <c r="X141" s="3"/>
      <c r="Y141" s="3"/>
      <c r="Z141" s="3"/>
      <c r="AA141" s="17"/>
      <c r="AB141" s="65"/>
      <c r="AC141" s="7"/>
      <c r="AD141" s="42"/>
      <c r="AE141" s="7"/>
      <c r="AF141" s="42"/>
      <c r="AG141" s="42"/>
      <c r="AH141" s="42"/>
      <c r="AI141" s="58"/>
      <c r="AM141" s="68"/>
      <c r="AN141" s="68"/>
      <c r="AO141" s="68"/>
      <c r="AP141" s="68"/>
    </row>
    <row r="142" spans="1:48" x14ac:dyDescent="0.35">
      <c r="A142" s="97"/>
      <c r="B142" s="97"/>
      <c r="C142" s="97"/>
      <c r="D142" s="97"/>
      <c r="E142" s="121"/>
      <c r="F142" s="97"/>
      <c r="G142" s="97"/>
      <c r="H142" s="97"/>
      <c r="I142" s="97"/>
      <c r="J142" s="97"/>
      <c r="K142" s="117"/>
      <c r="L142" s="97"/>
      <c r="M142" s="123"/>
      <c r="N142" s="97"/>
      <c r="O142" s="128"/>
      <c r="P142" s="126"/>
      <c r="Q142" s="97"/>
      <c r="R142" s="97"/>
      <c r="S142" s="97"/>
      <c r="T142" s="2"/>
      <c r="U142" s="29"/>
      <c r="V142" s="19"/>
      <c r="W142" s="19"/>
      <c r="X142" s="19"/>
      <c r="Y142" s="19"/>
      <c r="Z142" s="19"/>
      <c r="AA142" s="20"/>
      <c r="AB142" s="20"/>
      <c r="AC142" s="9"/>
      <c r="AD142" s="30"/>
      <c r="AE142" s="61"/>
      <c r="AF142" s="30"/>
      <c r="AG142" s="30"/>
      <c r="AH142" s="30"/>
      <c r="AI142" s="59"/>
      <c r="AK142" s="42"/>
      <c r="AM142" s="75"/>
      <c r="AN142" s="68"/>
      <c r="AO142" s="68"/>
      <c r="AP142" s="68"/>
    </row>
    <row r="143" spans="1:48" ht="13.15" thickBot="1" x14ac:dyDescent="0.4">
      <c r="A143" s="97"/>
      <c r="B143" s="97"/>
      <c r="C143" s="97"/>
      <c r="D143" s="97"/>
      <c r="E143" s="121"/>
      <c r="F143" s="97"/>
      <c r="G143" s="97"/>
      <c r="H143" s="97"/>
      <c r="I143" s="97"/>
      <c r="J143" s="97"/>
      <c r="K143" s="117"/>
      <c r="L143" s="97"/>
      <c r="M143" s="122" t="s">
        <v>29</v>
      </c>
      <c r="N143" s="122">
        <v>0.25</v>
      </c>
      <c r="O143" s="128">
        <f>1-EXP(-P143*$E$2)</f>
        <v>0.11953373417465019</v>
      </c>
      <c r="P143" s="126">
        <f>AK195</f>
        <v>3.8191099290215114</v>
      </c>
      <c r="Q143" s="97"/>
      <c r="R143" s="97"/>
      <c r="S143" s="97"/>
      <c r="AM143" s="75"/>
      <c r="AN143" s="68"/>
      <c r="AO143" s="68"/>
      <c r="AP143" s="68"/>
    </row>
    <row r="144" spans="1:48" ht="15.4" x14ac:dyDescent="0.45">
      <c r="A144" s="97"/>
      <c r="B144" s="97"/>
      <c r="C144" s="97"/>
      <c r="D144" s="97"/>
      <c r="E144" s="121"/>
      <c r="F144" s="97"/>
      <c r="G144" s="97"/>
      <c r="H144" s="97"/>
      <c r="I144" s="97"/>
      <c r="J144" s="97"/>
      <c r="K144" s="117"/>
      <c r="L144" s="97"/>
      <c r="M144" s="97"/>
      <c r="N144" s="97"/>
      <c r="O144" s="128"/>
      <c r="P144" s="126"/>
      <c r="Q144" s="97"/>
      <c r="R144" s="97"/>
      <c r="S144" s="97"/>
      <c r="T144" s="53" t="s">
        <v>50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75"/>
      <c r="AN144" s="68"/>
      <c r="AO144" s="68"/>
      <c r="AP144" s="68"/>
    </row>
    <row r="145" spans="1:42" ht="15.4" x14ac:dyDescent="0.45">
      <c r="A145" s="97"/>
      <c r="B145" s="158" t="str">
        <f>_xlfn.XLOOKUP(C146,C7:C10,B7:B10)</f>
        <v>No Partnership / No Expansion</v>
      </c>
      <c r="C145" s="158"/>
      <c r="D145" s="158"/>
      <c r="E145" s="159"/>
      <c r="F145" s="97"/>
      <c r="G145" s="97"/>
      <c r="H145" s="97"/>
      <c r="I145" s="97"/>
      <c r="J145" s="97"/>
      <c r="K145" s="117"/>
      <c r="L145" s="97"/>
      <c r="M145" s="155" t="s">
        <v>42</v>
      </c>
      <c r="N145" s="155"/>
      <c r="O145" s="128"/>
      <c r="P145" s="126"/>
      <c r="Q145" s="97"/>
      <c r="R145" s="97"/>
      <c r="S145" s="97"/>
      <c r="T145" s="54"/>
      <c r="AM145" s="68"/>
      <c r="AN145" s="68"/>
      <c r="AO145" s="68"/>
      <c r="AP145" s="68"/>
    </row>
    <row r="146" spans="1:42" ht="15.4" x14ac:dyDescent="0.45">
      <c r="A146" s="97"/>
      <c r="B146" s="129" t="s">
        <v>89</v>
      </c>
      <c r="C146" s="130">
        <f>MAX(G52,G117,G182,G247)</f>
        <v>10.687912774171622</v>
      </c>
      <c r="D146" s="122"/>
      <c r="E146" s="125"/>
      <c r="F146" s="97"/>
      <c r="G146" s="97"/>
      <c r="H146" s="97"/>
      <c r="I146" s="97"/>
      <c r="J146" s="97"/>
      <c r="K146" s="117"/>
      <c r="L146" s="97"/>
      <c r="M146" s="97"/>
      <c r="N146" s="97"/>
      <c r="O146" s="128"/>
      <c r="P146" s="126"/>
      <c r="Q146" s="97"/>
      <c r="R146" s="97"/>
      <c r="S146" s="97"/>
      <c r="T146" s="54" t="str">
        <f>b</f>
        <v>No Partnership / Expansion</v>
      </c>
      <c r="AM146" s="75"/>
      <c r="AN146" s="68"/>
      <c r="AO146" s="68"/>
      <c r="AP146" s="68"/>
    </row>
    <row r="147" spans="1:42" x14ac:dyDescent="0.35">
      <c r="A147" s="97"/>
      <c r="B147" s="97"/>
      <c r="C147" s="97"/>
      <c r="D147" s="97"/>
      <c r="E147" s="121"/>
      <c r="F147" s="97"/>
      <c r="G147" s="97"/>
      <c r="H147" s="97"/>
      <c r="I147" s="97"/>
      <c r="J147" s="97"/>
      <c r="K147" s="117"/>
      <c r="L147" s="97"/>
      <c r="M147" s="120" t="s">
        <v>31</v>
      </c>
      <c r="N147" s="122">
        <v>0.25</v>
      </c>
      <c r="O147" s="128">
        <f>1-EXP(-P147*$E$2)</f>
        <v>0.51609838867753133</v>
      </c>
      <c r="P147" s="126">
        <f>AJ197</f>
        <v>21.776210259652949</v>
      </c>
      <c r="Q147" s="97"/>
      <c r="R147" s="97"/>
      <c r="S147" s="97"/>
      <c r="T147" s="13"/>
      <c r="AM147" s="68"/>
      <c r="AN147" s="68"/>
      <c r="AO147" s="68"/>
      <c r="AP147" s="68"/>
    </row>
    <row r="148" spans="1:42" ht="15" x14ac:dyDescent="0.4">
      <c r="A148" s="97"/>
      <c r="B148" s="97"/>
      <c r="C148" s="97"/>
      <c r="D148" s="97"/>
      <c r="E148" s="121"/>
      <c r="F148" s="97"/>
      <c r="G148" s="97"/>
      <c r="H148" s="97"/>
      <c r="I148" s="155" t="s">
        <v>38</v>
      </c>
      <c r="J148" s="164"/>
      <c r="K148" s="117"/>
      <c r="L148" s="97"/>
      <c r="M148" s="117"/>
      <c r="N148" s="97"/>
      <c r="O148" s="128"/>
      <c r="P148" s="126"/>
      <c r="Q148" s="97"/>
      <c r="R148" s="97"/>
      <c r="S148" s="97"/>
      <c r="T148" s="51" t="s">
        <v>51</v>
      </c>
      <c r="U148" s="48"/>
      <c r="V148" s="48"/>
      <c r="Z148" s="7"/>
      <c r="AA148" s="52">
        <v>2026</v>
      </c>
      <c r="AB148" s="52">
        <f t="shared" ref="AB148:AJ148" si="45">AA148+1</f>
        <v>2027</v>
      </c>
      <c r="AC148" s="52">
        <f t="shared" si="45"/>
        <v>2028</v>
      </c>
      <c r="AD148" s="52">
        <f t="shared" si="45"/>
        <v>2029</v>
      </c>
      <c r="AE148" s="52">
        <f t="shared" si="45"/>
        <v>2030</v>
      </c>
      <c r="AF148" s="52">
        <f t="shared" si="45"/>
        <v>2031</v>
      </c>
      <c r="AG148" s="52">
        <f t="shared" si="45"/>
        <v>2032</v>
      </c>
      <c r="AH148" s="52">
        <f t="shared" si="45"/>
        <v>2033</v>
      </c>
      <c r="AI148" s="52">
        <f t="shared" si="45"/>
        <v>2034</v>
      </c>
      <c r="AJ148" s="52">
        <f t="shared" si="45"/>
        <v>2035</v>
      </c>
      <c r="AM148" s="68"/>
      <c r="AN148" s="68"/>
      <c r="AO148" s="68"/>
      <c r="AP148" s="68"/>
    </row>
    <row r="149" spans="1:42" ht="15" x14ac:dyDescent="0.4">
      <c r="A149" s="97"/>
      <c r="B149" s="97"/>
      <c r="C149" s="97"/>
      <c r="D149" s="97"/>
      <c r="E149" s="121"/>
      <c r="F149" s="97"/>
      <c r="G149" s="97"/>
      <c r="H149" s="97"/>
      <c r="I149" s="97"/>
      <c r="J149" s="97"/>
      <c r="K149" s="117"/>
      <c r="L149" s="97"/>
      <c r="M149" s="117"/>
      <c r="N149" s="97"/>
      <c r="O149" s="128"/>
      <c r="P149" s="126"/>
      <c r="Q149" s="97"/>
      <c r="R149" s="97"/>
      <c r="S149" s="97"/>
      <c r="T149" s="51" t="s">
        <v>52</v>
      </c>
      <c r="U149" s="48"/>
      <c r="V149" s="48"/>
      <c r="Z149" s="7"/>
      <c r="AA149" s="52">
        <f t="shared" ref="AA149:AJ149" si="46">AA148-$AA$148</f>
        <v>0</v>
      </c>
      <c r="AB149" s="52">
        <f t="shared" si="46"/>
        <v>1</v>
      </c>
      <c r="AC149" s="52">
        <f t="shared" si="46"/>
        <v>2</v>
      </c>
      <c r="AD149" s="52">
        <f t="shared" si="46"/>
        <v>3</v>
      </c>
      <c r="AE149" s="52">
        <f t="shared" si="46"/>
        <v>4</v>
      </c>
      <c r="AF149" s="52">
        <f t="shared" si="46"/>
        <v>5</v>
      </c>
      <c r="AG149" s="52">
        <f t="shared" si="46"/>
        <v>6</v>
      </c>
      <c r="AH149" s="52">
        <f t="shared" si="46"/>
        <v>7</v>
      </c>
      <c r="AI149" s="52">
        <f t="shared" si="46"/>
        <v>8</v>
      </c>
      <c r="AJ149" s="52">
        <f t="shared" si="46"/>
        <v>9</v>
      </c>
      <c r="AM149" s="75"/>
      <c r="AN149" s="68"/>
      <c r="AO149" s="68"/>
      <c r="AP149" s="68"/>
    </row>
    <row r="150" spans="1:42" ht="15.4" x14ac:dyDescent="0.45">
      <c r="A150" s="97"/>
      <c r="B150" s="97"/>
      <c r="C150" s="97"/>
      <c r="D150" s="97"/>
      <c r="E150" s="121"/>
      <c r="F150" s="97"/>
      <c r="G150" s="97"/>
      <c r="H150" s="97"/>
      <c r="I150" s="120" t="s">
        <v>31</v>
      </c>
      <c r="J150" s="122">
        <v>0.25</v>
      </c>
      <c r="K150" s="120" t="s">
        <v>30</v>
      </c>
      <c r="L150" s="122">
        <v>0.5</v>
      </c>
      <c r="M150" s="120" t="s">
        <v>30</v>
      </c>
      <c r="N150" s="122">
        <v>0.5</v>
      </c>
      <c r="O150" s="128">
        <f>1-EXP(-P150*$E$2)</f>
        <v>0.3647083200671265</v>
      </c>
      <c r="P150" s="126">
        <f>AJ196</f>
        <v>13.610131412283092</v>
      </c>
      <c r="Q150" s="97"/>
      <c r="R150" s="97"/>
      <c r="S150" s="97"/>
      <c r="T150" s="49"/>
      <c r="U150" s="48"/>
      <c r="V150" s="48"/>
      <c r="Z150" s="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8"/>
      <c r="AL150" s="68"/>
      <c r="AM150" s="75"/>
      <c r="AN150" s="68"/>
      <c r="AO150" s="68"/>
      <c r="AP150" s="68"/>
    </row>
    <row r="151" spans="1:42" ht="15.4" x14ac:dyDescent="0.45">
      <c r="A151" s="97"/>
      <c r="B151" s="97"/>
      <c r="C151" s="97"/>
      <c r="D151" s="97"/>
      <c r="E151" s="121"/>
      <c r="F151" s="97"/>
      <c r="G151" s="97"/>
      <c r="H151" s="97"/>
      <c r="I151" s="117">
        <f>L140*K141+L150*K151+L160*K161</f>
        <v>0.31237779090501355</v>
      </c>
      <c r="J151" s="97"/>
      <c r="K151" s="117">
        <f>O147*N147+O150*N150+O153*N153</f>
        <v>0.33306365353711642</v>
      </c>
      <c r="L151" s="97"/>
      <c r="M151" s="117"/>
      <c r="N151" s="97"/>
      <c r="O151" s="128"/>
      <c r="P151" s="126"/>
      <c r="Q151" s="97"/>
      <c r="R151" s="97"/>
      <c r="S151" s="97"/>
      <c r="T151" s="49" t="s">
        <v>53</v>
      </c>
      <c r="U151" s="50"/>
      <c r="V151" s="50"/>
      <c r="W151" s="3"/>
      <c r="X151" s="3"/>
      <c r="Y151" s="3"/>
      <c r="Z151" s="3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8"/>
      <c r="AL151" s="68"/>
      <c r="AM151" s="75"/>
      <c r="AN151" s="68"/>
      <c r="AO151" s="68"/>
      <c r="AP151" s="68"/>
    </row>
    <row r="152" spans="1:42" ht="15" x14ac:dyDescent="0.4">
      <c r="A152" s="97"/>
      <c r="B152" s="97"/>
      <c r="C152" s="97"/>
      <c r="D152" s="97"/>
      <c r="E152" s="121"/>
      <c r="F152" s="97"/>
      <c r="G152" s="97"/>
      <c r="H152" s="97"/>
      <c r="I152" s="117"/>
      <c r="J152" s="97"/>
      <c r="K152" s="117"/>
      <c r="L152" s="97"/>
      <c r="M152" s="123"/>
      <c r="N152" s="97"/>
      <c r="O152" s="128"/>
      <c r="P152" s="126"/>
      <c r="Q152" s="97"/>
      <c r="R152" s="97"/>
      <c r="S152" s="97"/>
      <c r="T152" s="48"/>
      <c r="U152" s="48" t="s">
        <v>54</v>
      </c>
      <c r="V152" s="48"/>
      <c r="Z152" s="11" t="s">
        <v>55</v>
      </c>
      <c r="AA152" s="70">
        <f>IF(h&lt;3,g,0)</f>
        <v>2.5</v>
      </c>
      <c r="AB152" s="70">
        <f t="shared" ref="AB152:AJ153" si="47">AA152*(1+$AD$134)</f>
        <v>2.59</v>
      </c>
      <c r="AC152" s="70">
        <f t="shared" si="47"/>
        <v>2.6832400000000001</v>
      </c>
      <c r="AD152" s="70">
        <f t="shared" si="47"/>
        <v>2.7798366400000001</v>
      </c>
      <c r="AE152" s="70">
        <f t="shared" si="47"/>
        <v>2.8799107590400004</v>
      </c>
      <c r="AF152" s="70">
        <f t="shared" si="47"/>
        <v>2.9835875463654404</v>
      </c>
      <c r="AG152" s="70">
        <f t="shared" si="47"/>
        <v>3.0909966980345964</v>
      </c>
      <c r="AH152" s="70">
        <f t="shared" si="47"/>
        <v>3.202272579163842</v>
      </c>
      <c r="AI152" s="70">
        <f t="shared" si="47"/>
        <v>3.3175543920137405</v>
      </c>
      <c r="AJ152" s="70">
        <f t="shared" si="47"/>
        <v>3.4369863501262352</v>
      </c>
      <c r="AK152" s="68"/>
      <c r="AL152" s="68"/>
      <c r="AM152" s="75"/>
      <c r="AN152" s="68"/>
      <c r="AO152" s="68"/>
      <c r="AP152" s="68"/>
    </row>
    <row r="153" spans="1:42" ht="15" x14ac:dyDescent="0.4">
      <c r="A153" s="97"/>
      <c r="B153" s="97"/>
      <c r="C153" s="97"/>
      <c r="D153" s="97"/>
      <c r="E153" s="121"/>
      <c r="F153" s="97"/>
      <c r="G153" s="97"/>
      <c r="H153" s="97"/>
      <c r="I153" s="117"/>
      <c r="J153" s="97"/>
      <c r="K153" s="117"/>
      <c r="L153" s="97"/>
      <c r="M153" s="122" t="s">
        <v>29</v>
      </c>
      <c r="N153" s="122">
        <v>0.25</v>
      </c>
      <c r="O153" s="128">
        <f>1-EXP(-P153*$E$2)</f>
        <v>8.6739585336681468E-2</v>
      </c>
      <c r="P153" s="126">
        <f>AJ195</f>
        <v>2.7220262824566168</v>
      </c>
      <c r="Q153" s="97"/>
      <c r="R153" s="97"/>
      <c r="S153" s="97"/>
      <c r="T153" s="48"/>
      <c r="U153" s="48" t="s">
        <v>56</v>
      </c>
      <c r="V153" s="48"/>
      <c r="Z153" s="11" t="s">
        <v>55</v>
      </c>
      <c r="AA153" s="70">
        <f>IF(h&gt;2,g*AD133,0)</f>
        <v>0</v>
      </c>
      <c r="AB153" s="70">
        <f t="shared" si="47"/>
        <v>0</v>
      </c>
      <c r="AC153" s="70">
        <f t="shared" si="47"/>
        <v>0</v>
      </c>
      <c r="AD153" s="70">
        <f t="shared" si="47"/>
        <v>0</v>
      </c>
      <c r="AE153" s="70">
        <f t="shared" si="47"/>
        <v>0</v>
      </c>
      <c r="AF153" s="70">
        <f t="shared" si="47"/>
        <v>0</v>
      </c>
      <c r="AG153" s="70">
        <f t="shared" si="47"/>
        <v>0</v>
      </c>
      <c r="AH153" s="70">
        <f t="shared" si="47"/>
        <v>0</v>
      </c>
      <c r="AI153" s="70">
        <f t="shared" si="47"/>
        <v>0</v>
      </c>
      <c r="AJ153" s="70">
        <f t="shared" si="47"/>
        <v>0</v>
      </c>
      <c r="AK153" s="68"/>
      <c r="AL153" s="68"/>
      <c r="AM153" s="68"/>
      <c r="AN153" s="68"/>
      <c r="AO153" s="68"/>
      <c r="AP153" s="68"/>
    </row>
    <row r="154" spans="1:42" ht="15" x14ac:dyDescent="0.4">
      <c r="A154" s="97"/>
      <c r="B154" s="97"/>
      <c r="C154" s="97"/>
      <c r="D154" s="97"/>
      <c r="E154" s="121"/>
      <c r="F154" s="97"/>
      <c r="G154" s="97"/>
      <c r="H154" s="97"/>
      <c r="I154" s="117"/>
      <c r="J154" s="97"/>
      <c r="K154" s="117"/>
      <c r="L154" s="97"/>
      <c r="M154" s="97"/>
      <c r="N154" s="97"/>
      <c r="O154" s="128"/>
      <c r="P154" s="126"/>
      <c r="Q154" s="97"/>
      <c r="R154" s="97"/>
      <c r="S154" s="97"/>
      <c r="T154" s="48"/>
      <c r="U154" s="48" t="s">
        <v>57</v>
      </c>
      <c r="V154" s="48"/>
      <c r="Z154" s="11" t="s">
        <v>55</v>
      </c>
      <c r="AA154" s="71">
        <f>IF(h=1,2.5,IF(OR(h=2,h=3),8.5,IF(h=4,0,"error")))</f>
        <v>8.5</v>
      </c>
      <c r="AB154" s="71">
        <f t="shared" ref="AB154:AJ154" si="48">$AA$154</f>
        <v>8.5</v>
      </c>
      <c r="AC154" s="71">
        <f t="shared" si="48"/>
        <v>8.5</v>
      </c>
      <c r="AD154" s="71">
        <f t="shared" si="48"/>
        <v>8.5</v>
      </c>
      <c r="AE154" s="71">
        <f t="shared" si="48"/>
        <v>8.5</v>
      </c>
      <c r="AF154" s="71">
        <f t="shared" si="48"/>
        <v>8.5</v>
      </c>
      <c r="AG154" s="71">
        <f t="shared" si="48"/>
        <v>8.5</v>
      </c>
      <c r="AH154" s="71">
        <f t="shared" si="48"/>
        <v>8.5</v>
      </c>
      <c r="AI154" s="71">
        <f t="shared" si="48"/>
        <v>8.5</v>
      </c>
      <c r="AJ154" s="71">
        <f t="shared" si="48"/>
        <v>8.5</v>
      </c>
      <c r="AK154" s="68"/>
      <c r="AL154" s="68"/>
      <c r="AM154" s="75"/>
      <c r="AN154" s="68"/>
      <c r="AO154" s="68"/>
      <c r="AP154" s="68"/>
    </row>
    <row r="155" spans="1:42" ht="15" x14ac:dyDescent="0.4">
      <c r="A155" s="97"/>
      <c r="B155" s="97"/>
      <c r="C155" s="97"/>
      <c r="D155" s="97"/>
      <c r="E155" s="121"/>
      <c r="F155" s="97"/>
      <c r="G155" s="97"/>
      <c r="H155" s="97"/>
      <c r="I155" s="117"/>
      <c r="J155" s="97"/>
      <c r="K155" s="117"/>
      <c r="L155" s="97"/>
      <c r="M155" s="155" t="s">
        <v>42</v>
      </c>
      <c r="N155" s="155"/>
      <c r="O155" s="128"/>
      <c r="P155" s="126"/>
      <c r="Q155" s="97"/>
      <c r="R155" s="97"/>
      <c r="S155" s="97"/>
      <c r="T155" s="48"/>
      <c r="U155" s="48" t="s">
        <v>53</v>
      </c>
      <c r="V155" s="48"/>
      <c r="Z155" s="11" t="s">
        <v>55</v>
      </c>
      <c r="AA155" s="70">
        <f t="shared" ref="AA155:AJ155" si="49">MIN(IF(h&lt;=2,AA152,AA153),IF(h=4,AA153,AA154))</f>
        <v>2.5</v>
      </c>
      <c r="AB155" s="70">
        <f t="shared" si="49"/>
        <v>2.59</v>
      </c>
      <c r="AC155" s="70">
        <f t="shared" si="49"/>
        <v>2.6832400000000001</v>
      </c>
      <c r="AD155" s="70">
        <f t="shared" si="49"/>
        <v>2.7798366400000001</v>
      </c>
      <c r="AE155" s="70">
        <f t="shared" si="49"/>
        <v>2.8799107590400004</v>
      </c>
      <c r="AF155" s="70">
        <f t="shared" si="49"/>
        <v>2.9835875463654404</v>
      </c>
      <c r="AG155" s="70">
        <f t="shared" si="49"/>
        <v>3.0909966980345964</v>
      </c>
      <c r="AH155" s="70">
        <f t="shared" si="49"/>
        <v>3.202272579163842</v>
      </c>
      <c r="AI155" s="70">
        <f t="shared" si="49"/>
        <v>3.3175543920137405</v>
      </c>
      <c r="AJ155" s="70">
        <f t="shared" si="49"/>
        <v>3.4369863501262352</v>
      </c>
      <c r="AK155" s="68"/>
      <c r="AL155" s="68"/>
      <c r="AM155" s="75"/>
      <c r="AN155" s="68"/>
      <c r="AO155" s="68"/>
      <c r="AP155" s="68"/>
    </row>
    <row r="156" spans="1:42" ht="15" x14ac:dyDescent="0.4">
      <c r="A156" s="97"/>
      <c r="B156" s="97"/>
      <c r="C156" s="97"/>
      <c r="D156" s="97"/>
      <c r="E156" s="121"/>
      <c r="F156" s="97"/>
      <c r="G156" s="97"/>
      <c r="H156" s="97"/>
      <c r="I156" s="117"/>
      <c r="J156" s="97"/>
      <c r="K156" s="117"/>
      <c r="L156" s="97"/>
      <c r="M156" s="97"/>
      <c r="N156" s="97"/>
      <c r="O156" s="128"/>
      <c r="P156" s="126"/>
      <c r="Q156" s="97"/>
      <c r="R156" s="97"/>
      <c r="S156" s="97"/>
      <c r="T156" s="48"/>
      <c r="U156" s="48"/>
      <c r="V156" s="48"/>
      <c r="Z156" s="11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136"/>
      <c r="AK156" s="68"/>
      <c r="AL156" s="68"/>
      <c r="AM156" s="68"/>
      <c r="AN156" s="68"/>
      <c r="AO156" s="68"/>
      <c r="AP156" s="68"/>
    </row>
    <row r="157" spans="1:42" ht="15.4" x14ac:dyDescent="0.45">
      <c r="A157" s="97"/>
      <c r="B157" s="97"/>
      <c r="C157" s="97"/>
      <c r="D157" s="97"/>
      <c r="E157" s="121"/>
      <c r="F157" s="97"/>
      <c r="G157" s="97"/>
      <c r="H157" s="97"/>
      <c r="I157" s="117"/>
      <c r="J157" s="97"/>
      <c r="K157" s="117"/>
      <c r="L157" s="97"/>
      <c r="M157" s="120" t="s">
        <v>31</v>
      </c>
      <c r="N157" s="122">
        <v>0.25</v>
      </c>
      <c r="O157" s="128">
        <f>1-EXP(-P157*$E$2)</f>
        <v>0.2574233073661697</v>
      </c>
      <c r="P157" s="126">
        <f>AI197</f>
        <v>8.928873716903043</v>
      </c>
      <c r="Q157" s="97"/>
      <c r="R157" s="97"/>
      <c r="S157" s="97"/>
      <c r="T157" s="49" t="s">
        <v>58</v>
      </c>
      <c r="U157" s="48"/>
      <c r="V157" s="48"/>
      <c r="Z157" s="80" t="s">
        <v>59</v>
      </c>
      <c r="AA157" s="72">
        <f t="shared" ref="AA157:AJ157" si="50">AA155*$AD$136</f>
        <v>26.875</v>
      </c>
      <c r="AB157" s="72">
        <f t="shared" si="50"/>
        <v>27.842499999999998</v>
      </c>
      <c r="AC157" s="72">
        <f t="shared" si="50"/>
        <v>28.844830000000002</v>
      </c>
      <c r="AD157" s="72">
        <f t="shared" si="50"/>
        <v>29.883243880000002</v>
      </c>
      <c r="AE157" s="72">
        <f t="shared" si="50"/>
        <v>30.959040659680003</v>
      </c>
      <c r="AF157" s="72">
        <f t="shared" si="50"/>
        <v>32.073566123428485</v>
      </c>
      <c r="AG157" s="72">
        <f t="shared" si="50"/>
        <v>33.228214503871911</v>
      </c>
      <c r="AH157" s="72">
        <f t="shared" si="50"/>
        <v>34.424430226011303</v>
      </c>
      <c r="AI157" s="72">
        <f t="shared" si="50"/>
        <v>35.663709714147707</v>
      </c>
      <c r="AJ157" s="72">
        <f t="shared" si="50"/>
        <v>36.947603263857026</v>
      </c>
      <c r="AK157" s="68"/>
      <c r="AL157" s="68"/>
      <c r="AM157" s="75"/>
      <c r="AN157" s="68"/>
      <c r="AO157" s="68"/>
      <c r="AP157" s="68"/>
    </row>
    <row r="158" spans="1:42" ht="15.4" x14ac:dyDescent="0.45">
      <c r="A158" s="97"/>
      <c r="B158" s="97"/>
      <c r="C158" s="97"/>
      <c r="D158" s="97"/>
      <c r="E158" s="121"/>
      <c r="F158" s="97"/>
      <c r="G158" s="97"/>
      <c r="H158" s="97"/>
      <c r="I158" s="117"/>
      <c r="J158" s="97"/>
      <c r="K158" s="117"/>
      <c r="L158" s="97"/>
      <c r="M158" s="117"/>
      <c r="N158" s="97"/>
      <c r="O158" s="128"/>
      <c r="P158" s="126"/>
      <c r="Q158" s="97"/>
      <c r="R158" s="97"/>
      <c r="S158" s="97"/>
      <c r="T158" s="50"/>
      <c r="U158" s="48"/>
      <c r="V158" s="48"/>
      <c r="Z158" s="80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68"/>
      <c r="AL158" s="68"/>
      <c r="AM158" s="68"/>
      <c r="AN158" s="68"/>
      <c r="AO158" s="68"/>
      <c r="AP158" s="68"/>
    </row>
    <row r="159" spans="1:42" ht="15.4" x14ac:dyDescent="0.45">
      <c r="A159" s="97"/>
      <c r="B159" s="97"/>
      <c r="C159" s="97"/>
      <c r="D159" s="97"/>
      <c r="E159" s="121"/>
      <c r="F159" s="97"/>
      <c r="G159" s="97"/>
      <c r="H159" s="97"/>
      <c r="I159" s="117"/>
      <c r="J159" s="97"/>
      <c r="K159" s="123"/>
      <c r="L159" s="97"/>
      <c r="M159" s="117"/>
      <c r="N159" s="97"/>
      <c r="O159" s="128"/>
      <c r="P159" s="126"/>
      <c r="Q159" s="97"/>
      <c r="R159" s="97"/>
      <c r="S159" s="97"/>
      <c r="T159" s="49" t="s">
        <v>60</v>
      </c>
      <c r="U159" s="48"/>
      <c r="V159" s="48"/>
      <c r="Z159" s="80" t="s">
        <v>59</v>
      </c>
      <c r="AA159" s="72">
        <f t="shared" ref="AA159:AJ159" si="51">IF(h=4,0,AA155*$AD$137)</f>
        <v>23.75</v>
      </c>
      <c r="AB159" s="72">
        <f t="shared" si="51"/>
        <v>24.604999999999997</v>
      </c>
      <c r="AC159" s="72">
        <f t="shared" si="51"/>
        <v>25.490780000000001</v>
      </c>
      <c r="AD159" s="72">
        <f t="shared" si="51"/>
        <v>26.408448079999999</v>
      </c>
      <c r="AE159" s="72">
        <f t="shared" si="51"/>
        <v>27.359152210880005</v>
      </c>
      <c r="AF159" s="72">
        <f t="shared" si="51"/>
        <v>28.344081690471683</v>
      </c>
      <c r="AG159" s="72">
        <f t="shared" si="51"/>
        <v>29.364468631328666</v>
      </c>
      <c r="AH159" s="72">
        <f t="shared" si="51"/>
        <v>30.421589502056499</v>
      </c>
      <c r="AI159" s="72">
        <f t="shared" si="51"/>
        <v>31.516766724130534</v>
      </c>
      <c r="AJ159" s="72">
        <f t="shared" si="51"/>
        <v>32.651370326199235</v>
      </c>
      <c r="AK159" s="68"/>
      <c r="AL159" s="68"/>
    </row>
    <row r="160" spans="1:42" ht="15.4" x14ac:dyDescent="0.45">
      <c r="A160" s="97"/>
      <c r="B160" s="97"/>
      <c r="C160" s="97"/>
      <c r="D160" s="97"/>
      <c r="E160" s="121"/>
      <c r="F160" s="97"/>
      <c r="G160" s="97"/>
      <c r="H160" s="97"/>
      <c r="I160" s="117"/>
      <c r="J160" s="97"/>
      <c r="K160" s="122" t="s">
        <v>29</v>
      </c>
      <c r="L160" s="122">
        <v>0.25</v>
      </c>
      <c r="M160" s="120" t="s">
        <v>30</v>
      </c>
      <c r="N160" s="122">
        <v>0.5</v>
      </c>
      <c r="O160" s="128">
        <f>1-EXP(-P160*$E$2)</f>
        <v>0.16974151788206493</v>
      </c>
      <c r="P160" s="126">
        <f>AI196</f>
        <v>5.5805460730644025</v>
      </c>
      <c r="Q160" s="97"/>
      <c r="R160" s="97"/>
      <c r="S160" s="97"/>
      <c r="T160" s="50"/>
      <c r="U160" s="48"/>
      <c r="V160" s="48"/>
      <c r="Z160" s="80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68"/>
      <c r="AL160" s="68"/>
    </row>
    <row r="161" spans="1:49" ht="15" x14ac:dyDescent="0.4">
      <c r="A161" s="97"/>
      <c r="B161" s="97"/>
      <c r="C161" s="97"/>
      <c r="D161" s="97"/>
      <c r="E161" s="121"/>
      <c r="F161" s="97"/>
      <c r="G161" s="97"/>
      <c r="H161" s="97"/>
      <c r="I161" s="117"/>
      <c r="J161" s="97"/>
      <c r="K161" s="97">
        <f>O157*N157+O160*N160+O163*N163</f>
        <v>0.15835660781966224</v>
      </c>
      <c r="L161" s="97"/>
      <c r="M161" s="117"/>
      <c r="N161" s="97"/>
      <c r="O161" s="128"/>
      <c r="P161" s="126"/>
      <c r="Q161" s="97"/>
      <c r="R161" s="97"/>
      <c r="S161" s="97"/>
      <c r="T161" s="51" t="s">
        <v>61</v>
      </c>
      <c r="U161" s="48"/>
      <c r="V161" s="48"/>
      <c r="Z161" s="80" t="s">
        <v>59</v>
      </c>
      <c r="AA161" s="72">
        <f>IF(h=2,$AD$138,0)</f>
        <v>14.5</v>
      </c>
      <c r="AB161" s="72">
        <v>0</v>
      </c>
      <c r="AC161" s="72">
        <v>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68"/>
      <c r="AL161" s="68"/>
      <c r="AM161" s="32"/>
    </row>
    <row r="162" spans="1:49" ht="15" x14ac:dyDescent="0.4">
      <c r="A162" s="97"/>
      <c r="B162" s="97"/>
      <c r="C162" s="97"/>
      <c r="D162" s="97"/>
      <c r="E162" s="121"/>
      <c r="F162" s="97"/>
      <c r="G162" s="97"/>
      <c r="H162" s="97"/>
      <c r="I162" s="117"/>
      <c r="J162" s="97"/>
      <c r="K162" s="97"/>
      <c r="L162" s="97"/>
      <c r="M162" s="123"/>
      <c r="N162" s="97"/>
      <c r="O162" s="128"/>
      <c r="P162" s="126"/>
      <c r="Q162" s="97"/>
      <c r="R162" s="97"/>
      <c r="S162" s="97"/>
      <c r="T162" s="48"/>
      <c r="U162" s="48"/>
      <c r="V162" s="48"/>
      <c r="Z162" s="80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68"/>
      <c r="AL162" s="68"/>
      <c r="AM162" s="31"/>
    </row>
    <row r="163" spans="1:49" ht="15" x14ac:dyDescent="0.4">
      <c r="A163" s="97"/>
      <c r="B163" s="97"/>
      <c r="C163" s="97"/>
      <c r="D163" s="97"/>
      <c r="E163" s="121"/>
      <c r="F163" s="97"/>
      <c r="G163" s="97"/>
      <c r="H163" s="97"/>
      <c r="I163" s="117"/>
      <c r="J163" s="97"/>
      <c r="K163" s="97"/>
      <c r="L163" s="97"/>
      <c r="M163" s="122" t="s">
        <v>29</v>
      </c>
      <c r="N163" s="122">
        <v>0.25</v>
      </c>
      <c r="O163" s="128">
        <f>1-EXP(-P163*$E$2)</f>
        <v>3.6520088148349394E-2</v>
      </c>
      <c r="P163" s="126">
        <f>AI195</f>
        <v>1.1161092146128808</v>
      </c>
      <c r="Q163" s="97"/>
      <c r="R163" s="97"/>
      <c r="S163" s="97"/>
      <c r="T163" s="51" t="s">
        <v>62</v>
      </c>
      <c r="U163" s="48"/>
      <c r="V163" s="48"/>
      <c r="Z163" s="80" t="s">
        <v>59</v>
      </c>
      <c r="AA163" s="72">
        <f t="shared" ref="AA163:AJ163" si="52">IF(h=3,$AB$121*(AA157-AA159),0)</f>
        <v>0</v>
      </c>
      <c r="AB163" s="72">
        <f t="shared" si="52"/>
        <v>0</v>
      </c>
      <c r="AC163" s="72">
        <f t="shared" si="52"/>
        <v>0</v>
      </c>
      <c r="AD163" s="72">
        <f t="shared" si="52"/>
        <v>0</v>
      </c>
      <c r="AE163" s="72">
        <f t="shared" si="52"/>
        <v>0</v>
      </c>
      <c r="AF163" s="72">
        <f t="shared" si="52"/>
        <v>0</v>
      </c>
      <c r="AG163" s="72">
        <f t="shared" si="52"/>
        <v>0</v>
      </c>
      <c r="AH163" s="72">
        <f t="shared" si="52"/>
        <v>0</v>
      </c>
      <c r="AI163" s="72">
        <f t="shared" si="52"/>
        <v>0</v>
      </c>
      <c r="AJ163" s="72">
        <f t="shared" si="52"/>
        <v>0</v>
      </c>
      <c r="AK163" s="68"/>
      <c r="AL163" s="68"/>
      <c r="AM163" s="31"/>
    </row>
    <row r="164" spans="1:49" ht="15" x14ac:dyDescent="0.4">
      <c r="A164" s="97"/>
      <c r="B164" s="97"/>
      <c r="C164" s="97"/>
      <c r="D164" s="97"/>
      <c r="E164" s="121"/>
      <c r="F164" s="97"/>
      <c r="G164" s="97"/>
      <c r="H164" s="97"/>
      <c r="I164" s="117"/>
      <c r="J164" s="97"/>
      <c r="K164" s="155"/>
      <c r="L164" s="155"/>
      <c r="M164" s="97"/>
      <c r="N164" s="97"/>
      <c r="O164" s="128"/>
      <c r="P164" s="126"/>
      <c r="Q164" s="97"/>
      <c r="R164" s="97"/>
      <c r="S164" s="97"/>
      <c r="T164" s="51" t="s">
        <v>63</v>
      </c>
      <c r="U164" s="48"/>
      <c r="V164" s="48"/>
      <c r="Z164" s="80" t="s">
        <v>59</v>
      </c>
      <c r="AA164" s="72">
        <f t="shared" ref="AA164:AJ164" si="53">$AB$122*(AA157)</f>
        <v>26.337499999999999</v>
      </c>
      <c r="AB164" s="72">
        <f t="shared" si="53"/>
        <v>27.285649999999997</v>
      </c>
      <c r="AC164" s="72">
        <f t="shared" si="53"/>
        <v>28.2679334</v>
      </c>
      <c r="AD164" s="72">
        <f t="shared" si="53"/>
        <v>29.285579002400002</v>
      </c>
      <c r="AE164" s="72">
        <f t="shared" si="53"/>
        <v>30.339859846486402</v>
      </c>
      <c r="AF164" s="72">
        <f t="shared" si="53"/>
        <v>31.432094800959913</v>
      </c>
      <c r="AG164" s="72">
        <f t="shared" si="53"/>
        <v>32.563650213794475</v>
      </c>
      <c r="AH164" s="72">
        <f t="shared" si="53"/>
        <v>33.735941621491079</v>
      </c>
      <c r="AI164" s="72">
        <f t="shared" si="53"/>
        <v>34.950435519864754</v>
      </c>
      <c r="AJ164" s="72">
        <f t="shared" si="53"/>
        <v>36.208651198579886</v>
      </c>
      <c r="AK164" s="68"/>
      <c r="AL164" s="68"/>
      <c r="AM164" s="31"/>
    </row>
    <row r="165" spans="1:49" ht="15" x14ac:dyDescent="0.4">
      <c r="A165" s="97"/>
      <c r="B165" s="97"/>
      <c r="C165" s="97"/>
      <c r="D165" s="97"/>
      <c r="E165" s="121"/>
      <c r="F165" s="97"/>
      <c r="G165" s="97"/>
      <c r="H165" s="97"/>
      <c r="I165" s="117"/>
      <c r="J165" s="97"/>
      <c r="K165" s="124"/>
      <c r="L165" s="124"/>
      <c r="M165" s="97"/>
      <c r="N165" s="97"/>
      <c r="O165" s="128"/>
      <c r="P165" s="126"/>
      <c r="Q165" s="97"/>
      <c r="R165" s="97"/>
      <c r="S165" s="97"/>
      <c r="T165" s="48"/>
      <c r="U165" s="48"/>
      <c r="V165" s="48"/>
      <c r="Z165" s="80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68"/>
      <c r="AL165" s="68"/>
      <c r="AM165" s="31"/>
    </row>
    <row r="166" spans="1:49" ht="15" x14ac:dyDescent="0.4">
      <c r="A166" s="97"/>
      <c r="B166" s="97"/>
      <c r="C166" s="97"/>
      <c r="D166" s="97"/>
      <c r="E166" s="121"/>
      <c r="F166" s="97"/>
      <c r="G166" s="97"/>
      <c r="H166" s="97"/>
      <c r="I166" s="117"/>
      <c r="J166" s="97"/>
      <c r="K166" s="97"/>
      <c r="L166" s="97"/>
      <c r="M166" s="155" t="s">
        <v>42</v>
      </c>
      <c r="N166" s="155"/>
      <c r="O166" s="128"/>
      <c r="P166" s="126"/>
      <c r="Q166" s="97"/>
      <c r="R166" s="97"/>
      <c r="S166" s="97"/>
      <c r="T166" s="51" t="s">
        <v>64</v>
      </c>
      <c r="U166" s="48"/>
      <c r="V166" s="48"/>
      <c r="Z166" s="80" t="s">
        <v>59</v>
      </c>
      <c r="AA166" s="72">
        <f t="shared" ref="AA166:AJ166" si="54">IF(h=1,AA157-AA159,IF(h=2,AA157-AA159-AA161,IF(h=3,AA157-AA159-AA163,IF(h=4,AA157-AA159-AA164,"error"))))</f>
        <v>-11.375</v>
      </c>
      <c r="AB166" s="72">
        <f t="shared" si="54"/>
        <v>3.2375000000000007</v>
      </c>
      <c r="AC166" s="72">
        <f t="shared" si="54"/>
        <v>3.3540500000000009</v>
      </c>
      <c r="AD166" s="72">
        <f t="shared" si="54"/>
        <v>3.4747958000000025</v>
      </c>
      <c r="AE166" s="72">
        <f t="shared" si="54"/>
        <v>3.599888448799998</v>
      </c>
      <c r="AF166" s="72">
        <f t="shared" si="54"/>
        <v>3.7294844329568022</v>
      </c>
      <c r="AG166" s="72">
        <f t="shared" si="54"/>
        <v>3.8637458725432445</v>
      </c>
      <c r="AH166" s="72">
        <f t="shared" si="54"/>
        <v>4.0028407239548045</v>
      </c>
      <c r="AI166" s="72">
        <f t="shared" si="54"/>
        <v>4.1469429900171733</v>
      </c>
      <c r="AJ166" s="72">
        <f t="shared" si="54"/>
        <v>4.2962329376577912</v>
      </c>
      <c r="AK166" s="68"/>
      <c r="AL166" s="68"/>
      <c r="AM166" s="31"/>
    </row>
    <row r="167" spans="1:49" ht="15" x14ac:dyDescent="0.4">
      <c r="A167" s="97"/>
      <c r="B167" s="97"/>
      <c r="C167" s="97"/>
      <c r="D167" s="97"/>
      <c r="E167" s="121"/>
      <c r="F167" s="97"/>
      <c r="G167" s="97"/>
      <c r="H167" s="97"/>
      <c r="I167" s="117"/>
      <c r="J167" s="97"/>
      <c r="K167" s="97"/>
      <c r="L167" s="97"/>
      <c r="M167" s="97"/>
      <c r="N167" s="97"/>
      <c r="O167" s="128"/>
      <c r="P167" s="126"/>
      <c r="Q167" s="97"/>
      <c r="R167" s="97"/>
      <c r="S167" s="97"/>
      <c r="T167" s="48"/>
      <c r="U167" s="48"/>
      <c r="V167" s="48"/>
      <c r="Z167" s="80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68"/>
      <c r="AL167" s="68"/>
      <c r="AM167" s="31"/>
    </row>
    <row r="168" spans="1:49" ht="15" x14ac:dyDescent="0.4">
      <c r="A168" s="97"/>
      <c r="B168" s="97"/>
      <c r="C168" s="97"/>
      <c r="D168" s="97"/>
      <c r="E168" s="121"/>
      <c r="F168" s="97"/>
      <c r="G168" s="97"/>
      <c r="H168" s="97"/>
      <c r="I168" s="117"/>
      <c r="J168" s="97"/>
      <c r="K168" s="97"/>
      <c r="L168" s="97"/>
      <c r="M168" s="120" t="s">
        <v>31</v>
      </c>
      <c r="N168" s="122">
        <v>0.25</v>
      </c>
      <c r="O168" s="128">
        <f>1-EXP(-P168*$E$2)</f>
        <v>0.63883823351259683</v>
      </c>
      <c r="P168" s="126">
        <f>BF199</f>
        <v>30.552879432172091</v>
      </c>
      <c r="Q168" s="97"/>
      <c r="R168" s="97"/>
      <c r="S168" s="97"/>
      <c r="T168" s="51" t="s">
        <v>65</v>
      </c>
      <c r="U168" s="48"/>
      <c r="V168" s="48"/>
      <c r="Z168" s="80" t="s">
        <v>59</v>
      </c>
      <c r="AA168" s="72">
        <f t="shared" ref="AA168:AJ168" si="55">k*AA166</f>
        <v>-4.3224999999999998</v>
      </c>
      <c r="AB168" s="72">
        <f t="shared" si="55"/>
        <v>1.2302500000000003</v>
      </c>
      <c r="AC168" s="72">
        <f t="shared" si="55"/>
        <v>1.2745390000000003</v>
      </c>
      <c r="AD168" s="72">
        <f t="shared" si="55"/>
        <v>1.320422404000001</v>
      </c>
      <c r="AE168" s="72">
        <f t="shared" si="55"/>
        <v>1.3679576105439992</v>
      </c>
      <c r="AF168" s="72">
        <f t="shared" si="55"/>
        <v>1.4172040845235849</v>
      </c>
      <c r="AG168" s="72">
        <f t="shared" si="55"/>
        <v>1.4682234315664329</v>
      </c>
      <c r="AH168" s="72">
        <f t="shared" si="55"/>
        <v>1.5210794751028258</v>
      </c>
      <c r="AI168" s="72">
        <f t="shared" si="55"/>
        <v>1.5758383362065258</v>
      </c>
      <c r="AJ168" s="72">
        <f t="shared" si="55"/>
        <v>1.6325685163099606</v>
      </c>
      <c r="AK168" s="68"/>
      <c r="AL168" s="68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</row>
    <row r="169" spans="1:49" ht="15" x14ac:dyDescent="0.4">
      <c r="A169" s="97"/>
      <c r="B169" s="97"/>
      <c r="C169" s="97"/>
      <c r="D169" s="97"/>
      <c r="E169" s="121"/>
      <c r="F169" s="97"/>
      <c r="G169" s="97"/>
      <c r="H169" s="97"/>
      <c r="I169" s="117"/>
      <c r="J169" s="97"/>
      <c r="K169" s="155" t="s">
        <v>33</v>
      </c>
      <c r="L169" s="164"/>
      <c r="M169" s="117"/>
      <c r="N169" s="97"/>
      <c r="O169" s="128"/>
      <c r="P169" s="126"/>
      <c r="Q169" s="97"/>
      <c r="R169" s="97"/>
      <c r="S169" s="97"/>
      <c r="T169" s="51" t="s">
        <v>66</v>
      </c>
      <c r="U169" s="48"/>
      <c r="V169" s="48"/>
      <c r="Z169" s="80" t="s">
        <v>59</v>
      </c>
      <c r="AA169" s="72">
        <f>IF(AA168&lt;0,ABS(AA168),0)</f>
        <v>4.3224999999999998</v>
      </c>
      <c r="AB169" s="72">
        <f t="shared" ref="AB169:AJ169" si="56">IF((AB168-AA169)&lt;0,ABS(AA169-AB168),0)</f>
        <v>3.0922499999999995</v>
      </c>
      <c r="AC169" s="72">
        <f t="shared" si="56"/>
        <v>1.8177109999999992</v>
      </c>
      <c r="AD169" s="72">
        <f t="shared" si="56"/>
        <v>0.4972885959999982</v>
      </c>
      <c r="AE169" s="72">
        <f t="shared" si="56"/>
        <v>0</v>
      </c>
      <c r="AF169" s="72">
        <f t="shared" si="56"/>
        <v>0</v>
      </c>
      <c r="AG169" s="72">
        <f t="shared" si="56"/>
        <v>0</v>
      </c>
      <c r="AH169" s="72">
        <f t="shared" si="56"/>
        <v>0</v>
      </c>
      <c r="AI169" s="72">
        <f t="shared" si="56"/>
        <v>0</v>
      </c>
      <c r="AJ169" s="72">
        <f t="shared" si="56"/>
        <v>0</v>
      </c>
      <c r="AK169" s="68"/>
      <c r="AL169" s="68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</row>
    <row r="170" spans="1:49" ht="15" x14ac:dyDescent="0.4">
      <c r="A170" s="97"/>
      <c r="B170" s="97"/>
      <c r="C170" s="97"/>
      <c r="D170" s="97"/>
      <c r="E170" s="121"/>
      <c r="F170" s="97"/>
      <c r="G170" s="97"/>
      <c r="H170" s="97"/>
      <c r="I170" s="117"/>
      <c r="J170" s="97"/>
      <c r="K170" s="97"/>
      <c r="L170" s="97"/>
      <c r="M170" s="117"/>
      <c r="N170" s="97"/>
      <c r="O170" s="128"/>
      <c r="P170" s="126"/>
      <c r="Q170" s="97"/>
      <c r="R170" s="97"/>
      <c r="S170" s="97"/>
      <c r="T170" s="51" t="s">
        <v>67</v>
      </c>
      <c r="U170" s="48"/>
      <c r="V170" s="48"/>
      <c r="Z170" s="80" t="s">
        <v>59</v>
      </c>
      <c r="AA170" s="72">
        <f>IF(AA168&lt;0,0,AA168)</f>
        <v>0</v>
      </c>
      <c r="AB170" s="72">
        <f t="shared" ref="AB170:AJ170" si="57">IF(AB168&lt;0,0,IF((AB168-AA169)&lt;0,0,(AB168-AA169)))</f>
        <v>0</v>
      </c>
      <c r="AC170" s="72">
        <f t="shared" si="57"/>
        <v>0</v>
      </c>
      <c r="AD170" s="72">
        <f t="shared" si="57"/>
        <v>0</v>
      </c>
      <c r="AE170" s="72">
        <f t="shared" si="57"/>
        <v>0.87066901454400103</v>
      </c>
      <c r="AF170" s="72">
        <f t="shared" si="57"/>
        <v>1.4172040845235849</v>
      </c>
      <c r="AG170" s="72">
        <f t="shared" si="57"/>
        <v>1.4682234315664329</v>
      </c>
      <c r="AH170" s="72">
        <f t="shared" si="57"/>
        <v>1.5210794751028258</v>
      </c>
      <c r="AI170" s="72">
        <f t="shared" si="57"/>
        <v>1.5758383362065258</v>
      </c>
      <c r="AJ170" s="72">
        <f t="shared" si="57"/>
        <v>1.6325685163099606</v>
      </c>
      <c r="AK170" s="68"/>
      <c r="AL170" s="68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</row>
    <row r="171" spans="1:49" ht="15" x14ac:dyDescent="0.4">
      <c r="A171" s="97"/>
      <c r="B171" s="97"/>
      <c r="C171" s="97"/>
      <c r="D171" s="97"/>
      <c r="E171" s="121"/>
      <c r="F171" s="97"/>
      <c r="G171" s="97"/>
      <c r="H171" s="97"/>
      <c r="I171" s="117"/>
      <c r="J171" s="97"/>
      <c r="K171" s="120" t="s">
        <v>31</v>
      </c>
      <c r="L171" s="122">
        <v>0.25</v>
      </c>
      <c r="M171" s="120" t="s">
        <v>30</v>
      </c>
      <c r="N171" s="122">
        <v>0.5</v>
      </c>
      <c r="O171" s="128">
        <f>1-EXP(-P171*$E$2)</f>
        <v>0.47086851360869486</v>
      </c>
      <c r="P171" s="126">
        <f>BF198</f>
        <v>19.09554964510756</v>
      </c>
      <c r="Q171" s="97"/>
      <c r="R171" s="97"/>
      <c r="S171" s="97"/>
      <c r="T171" s="48"/>
      <c r="U171" s="48"/>
      <c r="V171" s="48"/>
      <c r="Z171" s="80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3"/>
      <c r="AL171" s="73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</row>
    <row r="172" spans="1:49" ht="15" x14ac:dyDescent="0.4">
      <c r="A172" s="97"/>
      <c r="B172" s="97"/>
      <c r="C172" s="97"/>
      <c r="D172" s="97"/>
      <c r="E172" s="121"/>
      <c r="F172" s="97"/>
      <c r="G172" s="97"/>
      <c r="H172" s="97"/>
      <c r="I172" s="117"/>
      <c r="J172" s="97"/>
      <c r="K172" s="117">
        <f>O168*N168+O171*N171+O174*N174</f>
        <v>0.42502724872615916</v>
      </c>
      <c r="L172" s="97"/>
      <c r="M172" s="117"/>
      <c r="N172" s="97"/>
      <c r="O172" s="128"/>
      <c r="P172" s="126"/>
      <c r="Q172" s="97"/>
      <c r="R172" s="97"/>
      <c r="S172" s="97"/>
      <c r="T172" s="51" t="s">
        <v>68</v>
      </c>
      <c r="Z172" s="80" t="s">
        <v>69</v>
      </c>
      <c r="AA172" s="74">
        <f t="shared" ref="AA172:AJ172" si="58">AA166-AA170</f>
        <v>-11.375</v>
      </c>
      <c r="AB172" s="74">
        <f t="shared" si="58"/>
        <v>3.2375000000000007</v>
      </c>
      <c r="AC172" s="74">
        <f t="shared" si="58"/>
        <v>3.3540500000000009</v>
      </c>
      <c r="AD172" s="74">
        <f t="shared" si="58"/>
        <v>3.4747958000000025</v>
      </c>
      <c r="AE172" s="74">
        <f t="shared" si="58"/>
        <v>2.729219434255997</v>
      </c>
      <c r="AF172" s="74">
        <f t="shared" si="58"/>
        <v>2.3122803484332173</v>
      </c>
      <c r="AG172" s="74">
        <f t="shared" si="58"/>
        <v>2.3955224409768117</v>
      </c>
      <c r="AH172" s="74">
        <f t="shared" si="58"/>
        <v>2.4817612488519787</v>
      </c>
      <c r="AI172" s="74">
        <f t="shared" si="58"/>
        <v>2.5711046538106475</v>
      </c>
      <c r="AJ172" s="74">
        <f t="shared" si="58"/>
        <v>2.6636644213478307</v>
      </c>
      <c r="AK172" s="75"/>
      <c r="AL172" s="75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</row>
    <row r="173" spans="1:49" x14ac:dyDescent="0.35">
      <c r="A173" s="97"/>
      <c r="B173" s="97"/>
      <c r="C173" s="97"/>
      <c r="D173" s="97"/>
      <c r="E173" s="121"/>
      <c r="F173" s="97"/>
      <c r="G173" s="97"/>
      <c r="H173" s="97"/>
      <c r="I173" s="117"/>
      <c r="J173" s="97"/>
      <c r="K173" s="117"/>
      <c r="L173" s="97"/>
      <c r="M173" s="123"/>
      <c r="N173" s="97"/>
      <c r="O173" s="128"/>
      <c r="P173" s="126"/>
      <c r="Q173" s="97"/>
      <c r="R173" s="97"/>
      <c r="S173" s="97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</row>
    <row r="174" spans="1:49" ht="15" x14ac:dyDescent="0.4">
      <c r="A174" s="97"/>
      <c r="B174" s="97"/>
      <c r="C174" s="97"/>
      <c r="D174" s="97"/>
      <c r="E174" s="121"/>
      <c r="F174" s="97"/>
      <c r="G174" s="97"/>
      <c r="H174" s="97"/>
      <c r="I174" s="117"/>
      <c r="J174" s="97"/>
      <c r="K174" s="117"/>
      <c r="L174" s="97"/>
      <c r="M174" s="122" t="s">
        <v>29</v>
      </c>
      <c r="N174" s="122">
        <v>0.25</v>
      </c>
      <c r="O174" s="128">
        <f>1-EXP(-P174*$E$2)</f>
        <v>0.11953373417465019</v>
      </c>
      <c r="P174" s="126">
        <f>BF197</f>
        <v>3.8191099290215114</v>
      </c>
      <c r="Q174" s="97"/>
      <c r="R174" s="97"/>
      <c r="S174" s="97"/>
      <c r="T174" s="51" t="s">
        <v>70</v>
      </c>
      <c r="U174" s="48"/>
      <c r="V174" s="48"/>
      <c r="Z174" s="80" t="s">
        <v>71</v>
      </c>
      <c r="AA174" s="93">
        <f>AA172+NPV(l,AB172,AC172,AD172,AE172,AF172,AG172,AH172,AI172,AJ172)</f>
        <v>6.5156568570807956</v>
      </c>
      <c r="AB174" s="92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</row>
    <row r="175" spans="1:49" x14ac:dyDescent="0.35">
      <c r="A175" s="97"/>
      <c r="B175" s="97"/>
      <c r="C175" s="97"/>
      <c r="D175" s="97"/>
      <c r="E175" s="121"/>
      <c r="F175" s="97"/>
      <c r="G175" s="97"/>
      <c r="H175" s="97"/>
      <c r="I175" s="117"/>
      <c r="J175" s="97"/>
      <c r="K175" s="117"/>
      <c r="L175" s="97"/>
      <c r="M175" s="97"/>
      <c r="N175" s="97"/>
      <c r="O175" s="128"/>
      <c r="P175" s="126"/>
      <c r="Q175" s="97"/>
      <c r="R175" s="97"/>
      <c r="S175" s="97"/>
      <c r="T175" s="2"/>
    </row>
    <row r="176" spans="1:49" x14ac:dyDescent="0.35">
      <c r="A176" s="97"/>
      <c r="B176" s="97"/>
      <c r="C176" s="97"/>
      <c r="D176" s="97"/>
      <c r="E176" s="121"/>
      <c r="F176" s="97"/>
      <c r="G176" s="97"/>
      <c r="H176" s="97"/>
      <c r="I176" s="117"/>
      <c r="J176" s="97"/>
      <c r="K176" s="117"/>
      <c r="L176" s="97"/>
      <c r="M176" s="155" t="s">
        <v>42</v>
      </c>
      <c r="N176" s="155"/>
      <c r="O176" s="128"/>
      <c r="P176" s="126"/>
      <c r="Q176" s="97"/>
      <c r="R176" s="97"/>
      <c r="S176" s="97"/>
      <c r="U176" s="13"/>
      <c r="AA176" s="33"/>
      <c r="AB176" s="33"/>
      <c r="AC176" s="33"/>
    </row>
    <row r="177" spans="1:79" x14ac:dyDescent="0.35">
      <c r="A177" s="97"/>
      <c r="B177" s="97"/>
      <c r="C177" s="97"/>
      <c r="D177" s="97"/>
      <c r="E177" s="121"/>
      <c r="F177" s="97"/>
      <c r="G177" s="97"/>
      <c r="H177" s="97"/>
      <c r="I177" s="117"/>
      <c r="J177" s="97"/>
      <c r="K177" s="117"/>
      <c r="L177" s="97"/>
      <c r="M177" s="97"/>
      <c r="N177" s="97"/>
      <c r="O177" s="128"/>
      <c r="P177" s="126"/>
      <c r="Q177" s="97"/>
      <c r="R177" s="97"/>
      <c r="S177" s="97"/>
      <c r="T177" s="13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</row>
    <row r="178" spans="1:79" ht="19.149999999999999" x14ac:dyDescent="0.65">
      <c r="A178" s="97"/>
      <c r="B178" s="97"/>
      <c r="C178" s="97"/>
      <c r="D178" s="97"/>
      <c r="E178" s="121"/>
      <c r="F178" s="97"/>
      <c r="G178" s="97"/>
      <c r="H178" s="97"/>
      <c r="I178" s="117"/>
      <c r="J178" s="97"/>
      <c r="K178" s="117"/>
      <c r="L178" s="97"/>
      <c r="M178" s="120" t="s">
        <v>31</v>
      </c>
      <c r="N178" s="122">
        <v>0.25</v>
      </c>
      <c r="O178" s="128">
        <f>1-EXP(-P178*$E$2)</f>
        <v>0.42441385987063251</v>
      </c>
      <c r="P178" s="126">
        <f>BE199</f>
        <v>16.570991497672722</v>
      </c>
      <c r="Q178" s="97"/>
      <c r="R178" s="97"/>
      <c r="S178" s="38" t="s">
        <v>0</v>
      </c>
      <c r="AO178" s="38" t="s">
        <v>0</v>
      </c>
      <c r="BK178" s="38" t="s">
        <v>0</v>
      </c>
    </row>
    <row r="179" spans="1:79" ht="13.15" thickBot="1" x14ac:dyDescent="0.4">
      <c r="A179" s="97"/>
      <c r="B179" s="97"/>
      <c r="C179" s="97"/>
      <c r="D179" s="97"/>
      <c r="E179" s="121"/>
      <c r="F179" s="97"/>
      <c r="G179" s="97"/>
      <c r="H179" s="97"/>
      <c r="I179" s="117"/>
      <c r="J179" s="97"/>
      <c r="K179" s="117"/>
      <c r="L179" s="97"/>
      <c r="M179" s="117"/>
      <c r="N179" s="97"/>
      <c r="O179" s="128"/>
      <c r="P179" s="126"/>
      <c r="Q179" s="97"/>
      <c r="R179" s="97"/>
    </row>
    <row r="180" spans="1:79" ht="15.4" x14ac:dyDescent="0.45">
      <c r="A180" s="97"/>
      <c r="B180" s="97"/>
      <c r="C180" s="97"/>
      <c r="D180" s="97"/>
      <c r="E180" s="121"/>
      <c r="F180" s="165" t="s">
        <v>9</v>
      </c>
      <c r="G180" s="156"/>
      <c r="H180" s="157"/>
      <c r="I180" s="117"/>
      <c r="J180" s="97"/>
      <c r="K180" s="117"/>
      <c r="L180" s="97"/>
      <c r="M180" s="117"/>
      <c r="N180" s="97"/>
      <c r="O180" s="128"/>
      <c r="P180" s="126"/>
      <c r="Q180" s="97"/>
      <c r="R180" s="97"/>
      <c r="S180" s="53" t="s">
        <v>1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53" t="s">
        <v>1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K180" s="53" t="s">
        <v>1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1:79" x14ac:dyDescent="0.35">
      <c r="A181" s="97"/>
      <c r="B181" s="97"/>
      <c r="C181" s="97"/>
      <c r="D181" s="97"/>
      <c r="E181" s="121"/>
      <c r="F181" s="120" t="s">
        <v>84</v>
      </c>
      <c r="G181" s="122">
        <f>J150*I151+J181*I182+J212*I213</f>
        <v>0.27132987732412495</v>
      </c>
      <c r="H181" s="122"/>
      <c r="I181" s="120" t="s">
        <v>30</v>
      </c>
      <c r="J181" s="122">
        <v>0.5</v>
      </c>
      <c r="K181" s="120" t="s">
        <v>30</v>
      </c>
      <c r="L181" s="122">
        <v>0.5</v>
      </c>
      <c r="M181" s="120" t="s">
        <v>30</v>
      </c>
      <c r="N181" s="122">
        <v>0.5</v>
      </c>
      <c r="O181" s="128">
        <f>1-EXP(-P181*$E$2)</f>
        <v>0.29194180301473338</v>
      </c>
      <c r="P181" s="126">
        <f>BE198</f>
        <v>10.356869686045449</v>
      </c>
      <c r="Q181" s="97"/>
      <c r="R181" s="97"/>
      <c r="S181" s="2"/>
      <c r="AO181" s="2"/>
      <c r="BK181" s="2"/>
    </row>
    <row r="182" spans="1:79" x14ac:dyDescent="0.35">
      <c r="A182" s="97"/>
      <c r="B182" s="97"/>
      <c r="C182" s="97"/>
      <c r="D182" s="97"/>
      <c r="E182" s="121"/>
      <c r="F182" s="97" t="s">
        <v>87</v>
      </c>
      <c r="G182" s="126">
        <f>-LN(-G181+1)/$E$2</f>
        <v>9.4960246800884889</v>
      </c>
      <c r="H182" s="97"/>
      <c r="I182" s="117">
        <f>L171*K172+L181*K182+L191*K192</f>
        <v>0.27084869565037711</v>
      </c>
      <c r="J182" s="97"/>
      <c r="K182" s="117">
        <f>O178*N178+O181*N181+O184*N184</f>
        <v>0.26875338231289414</v>
      </c>
      <c r="L182" s="97"/>
      <c r="M182" s="117"/>
      <c r="N182" s="97"/>
      <c r="O182" s="128"/>
      <c r="P182" s="126"/>
      <c r="Q182" s="97"/>
      <c r="R182" s="97"/>
      <c r="S182" s="3"/>
      <c r="W182" s="4" t="s">
        <v>2</v>
      </c>
      <c r="X182" s="5"/>
      <c r="Y182" s="5"/>
      <c r="Z182" s="5"/>
      <c r="AA182" s="5"/>
      <c r="AB182" s="5"/>
      <c r="AC182" s="6">
        <v>3</v>
      </c>
      <c r="AD182" s="7" t="s">
        <v>3</v>
      </c>
      <c r="AO182" s="3"/>
      <c r="AS182" s="4" t="s">
        <v>2</v>
      </c>
      <c r="AT182" s="5"/>
      <c r="AU182" s="5"/>
      <c r="AV182" s="5"/>
      <c r="AW182" s="5"/>
      <c r="AX182" s="5"/>
      <c r="AY182" s="6">
        <v>3</v>
      </c>
      <c r="AZ182" s="7" t="s">
        <v>3</v>
      </c>
      <c r="BK182" s="3"/>
      <c r="BO182" s="4" t="s">
        <v>2</v>
      </c>
      <c r="BP182" s="5"/>
      <c r="BQ182" s="5"/>
      <c r="BR182" s="5"/>
      <c r="BS182" s="5"/>
      <c r="BT182" s="5"/>
      <c r="BU182" s="6">
        <v>3</v>
      </c>
      <c r="BV182" s="7" t="s">
        <v>3</v>
      </c>
    </row>
    <row r="183" spans="1:79" x14ac:dyDescent="0.35">
      <c r="A183" s="97"/>
      <c r="B183" s="97"/>
      <c r="C183" s="97"/>
      <c r="D183" s="97"/>
      <c r="E183" s="121"/>
      <c r="F183" s="97"/>
      <c r="G183" s="97"/>
      <c r="H183" s="97"/>
      <c r="I183" s="117"/>
      <c r="J183" s="97"/>
      <c r="K183" s="117"/>
      <c r="L183" s="97"/>
      <c r="M183" s="123"/>
      <c r="N183" s="97"/>
      <c r="O183" s="128"/>
      <c r="P183" s="126"/>
      <c r="Q183" s="97"/>
      <c r="R183" s="97"/>
      <c r="W183" s="8" t="s">
        <v>4</v>
      </c>
      <c r="X183" s="9"/>
      <c r="Y183" s="9"/>
      <c r="Z183" s="9"/>
      <c r="AA183" s="9"/>
      <c r="AB183" s="9"/>
      <c r="AC183" s="10" t="str">
        <f>INDEX(X186:X189,AC182)</f>
        <v>Joint Venture</v>
      </c>
      <c r="AD183" s="7" t="s">
        <v>5</v>
      </c>
      <c r="AS183" s="8" t="s">
        <v>4</v>
      </c>
      <c r="AT183" s="9"/>
      <c r="AU183" s="9"/>
      <c r="AV183" s="9"/>
      <c r="AW183" s="9"/>
      <c r="AX183" s="9"/>
      <c r="AY183" s="10" t="str">
        <f>INDEX(AT186:AT189,AY182)</f>
        <v>Joint Venture</v>
      </c>
      <c r="AZ183" s="7" t="s">
        <v>5</v>
      </c>
      <c r="BO183" s="8" t="s">
        <v>4</v>
      </c>
      <c r="BP183" s="9"/>
      <c r="BQ183" s="9"/>
      <c r="BR183" s="9"/>
      <c r="BS183" s="9"/>
      <c r="BT183" s="9"/>
      <c r="BU183" s="10" t="str">
        <f>INDEX(BP186:BP189,BU182)</f>
        <v>Joint Venture</v>
      </c>
      <c r="BV183" s="7" t="s">
        <v>5</v>
      </c>
    </row>
    <row r="184" spans="1:79" x14ac:dyDescent="0.35">
      <c r="A184" s="97"/>
      <c r="B184" s="97"/>
      <c r="C184" s="97"/>
      <c r="D184" s="97"/>
      <c r="E184" s="121"/>
      <c r="F184" s="97"/>
      <c r="G184" s="97"/>
      <c r="H184" s="97"/>
      <c r="I184" s="117"/>
      <c r="J184" s="97"/>
      <c r="K184" s="117"/>
      <c r="L184" s="97"/>
      <c r="M184" s="122" t="s">
        <v>29</v>
      </c>
      <c r="N184" s="122">
        <v>0.25</v>
      </c>
      <c r="O184" s="128">
        <f>1-EXP(-P184*$E$2)</f>
        <v>6.6716063351477284E-2</v>
      </c>
      <c r="P184" s="126">
        <f>BE197</f>
        <v>2.0713739372090902</v>
      </c>
      <c r="Q184" s="97"/>
      <c r="R184" s="97"/>
    </row>
    <row r="185" spans="1:79" x14ac:dyDescent="0.35">
      <c r="A185" s="97"/>
      <c r="B185" s="97"/>
      <c r="C185" s="97"/>
      <c r="D185" s="97"/>
      <c r="E185" s="121"/>
      <c r="F185" s="97"/>
      <c r="G185" s="97"/>
      <c r="H185" s="97"/>
      <c r="I185" s="117"/>
      <c r="J185" s="97"/>
      <c r="K185" s="117"/>
      <c r="L185" s="97"/>
      <c r="M185" s="97"/>
      <c r="N185" s="97"/>
      <c r="O185" s="128"/>
      <c r="P185" s="126"/>
      <c r="Q185" s="97"/>
      <c r="R185" s="97"/>
      <c r="W185" t="s">
        <v>6</v>
      </c>
      <c r="AS185" t="s">
        <v>6</v>
      </c>
      <c r="BO185" t="s">
        <v>6</v>
      </c>
    </row>
    <row r="186" spans="1:79" x14ac:dyDescent="0.35">
      <c r="A186" s="97"/>
      <c r="B186" s="97"/>
      <c r="C186" s="97"/>
      <c r="D186" s="97"/>
      <c r="E186" s="121"/>
      <c r="F186" s="97"/>
      <c r="G186" s="97"/>
      <c r="H186" s="97"/>
      <c r="I186" s="117"/>
      <c r="J186" s="97"/>
      <c r="K186" s="117"/>
      <c r="L186" s="97"/>
      <c r="M186" s="155" t="s">
        <v>42</v>
      </c>
      <c r="N186" s="155"/>
      <c r="O186" s="128"/>
      <c r="P186" s="126"/>
      <c r="Q186" s="97"/>
      <c r="R186" s="97"/>
      <c r="W186">
        <v>1</v>
      </c>
      <c r="X186" s="37" t="s">
        <v>7</v>
      </c>
      <c r="AS186">
        <v>1</v>
      </c>
      <c r="AT186" s="37" t="s">
        <v>7</v>
      </c>
      <c r="BO186">
        <v>1</v>
      </c>
      <c r="BP186" s="37" t="s">
        <v>7</v>
      </c>
    </row>
    <row r="187" spans="1:79" x14ac:dyDescent="0.35">
      <c r="A187" s="97"/>
      <c r="B187" s="97"/>
      <c r="C187" s="97"/>
      <c r="D187" s="97"/>
      <c r="E187" s="121"/>
      <c r="F187" s="97"/>
      <c r="G187" s="97"/>
      <c r="H187" s="97"/>
      <c r="I187" s="117"/>
      <c r="J187" s="97"/>
      <c r="K187" s="117"/>
      <c r="L187" s="97"/>
      <c r="M187" s="97"/>
      <c r="N187" s="97"/>
      <c r="O187" s="128"/>
      <c r="P187" s="126"/>
      <c r="Q187" s="97"/>
      <c r="R187" s="97"/>
      <c r="W187">
        <v>2</v>
      </c>
      <c r="X187" s="37" t="s">
        <v>8</v>
      </c>
      <c r="AE187" s="11"/>
      <c r="AS187">
        <v>2</v>
      </c>
      <c r="AT187" s="37" t="s">
        <v>8</v>
      </c>
      <c r="BA187" s="11"/>
      <c r="BO187">
        <v>2</v>
      </c>
      <c r="BP187" s="37" t="s">
        <v>8</v>
      </c>
      <c r="BW187" s="11"/>
    </row>
    <row r="188" spans="1:79" x14ac:dyDescent="0.35">
      <c r="A188" s="97"/>
      <c r="B188" s="97"/>
      <c r="C188" s="97"/>
      <c r="D188" s="97"/>
      <c r="E188" s="121"/>
      <c r="F188" s="97"/>
      <c r="G188" s="97"/>
      <c r="H188" s="97"/>
      <c r="I188" s="117"/>
      <c r="J188" s="97"/>
      <c r="K188" s="117"/>
      <c r="L188" s="97"/>
      <c r="M188" s="120" t="s">
        <v>31</v>
      </c>
      <c r="N188" s="122">
        <v>0.25</v>
      </c>
      <c r="O188" s="128">
        <f>1-EXP(-P188*$E$2)</f>
        <v>0.19824046945566254</v>
      </c>
      <c r="P188" s="126">
        <f>BD199</f>
        <v>6.6283965990690898</v>
      </c>
      <c r="Q188" s="97"/>
      <c r="R188" s="97"/>
      <c r="W188">
        <v>3</v>
      </c>
      <c r="X188" s="37" t="s">
        <v>9</v>
      </c>
      <c r="AE188" s="11"/>
      <c r="AS188">
        <v>3</v>
      </c>
      <c r="AT188" s="37" t="s">
        <v>9</v>
      </c>
      <c r="BA188" s="11"/>
      <c r="BO188">
        <v>3</v>
      </c>
      <c r="BP188" s="37" t="s">
        <v>9</v>
      </c>
      <c r="BW188" s="11"/>
    </row>
    <row r="189" spans="1:79" x14ac:dyDescent="0.35">
      <c r="A189" s="97"/>
      <c r="B189" s="97"/>
      <c r="C189" s="97"/>
      <c r="D189" s="97"/>
      <c r="E189" s="121"/>
      <c r="F189" s="97"/>
      <c r="G189" s="97"/>
      <c r="H189" s="97"/>
      <c r="I189" s="117"/>
      <c r="J189" s="97"/>
      <c r="K189" s="117"/>
      <c r="L189" s="97"/>
      <c r="M189" s="117"/>
      <c r="N189" s="97"/>
      <c r="O189" s="128"/>
      <c r="P189" s="126"/>
      <c r="Q189" s="97"/>
      <c r="R189" s="97"/>
      <c r="W189">
        <v>4</v>
      </c>
      <c r="X189" s="37" t="s">
        <v>10</v>
      </c>
      <c r="AS189">
        <v>4</v>
      </c>
      <c r="AT189" s="37" t="s">
        <v>10</v>
      </c>
      <c r="BO189">
        <v>4</v>
      </c>
      <c r="BP189" s="37" t="s">
        <v>10</v>
      </c>
    </row>
    <row r="190" spans="1:79" ht="13.15" thickBot="1" x14ac:dyDescent="0.4">
      <c r="A190" s="97"/>
      <c r="B190" s="97"/>
      <c r="C190" s="97"/>
      <c r="D190" s="97"/>
      <c r="E190" s="121"/>
      <c r="F190" s="97"/>
      <c r="G190" s="97"/>
      <c r="H190" s="97"/>
      <c r="I190" s="117"/>
      <c r="J190" s="97"/>
      <c r="K190" s="123"/>
      <c r="L190" s="97"/>
      <c r="M190" s="117"/>
      <c r="N190" s="97"/>
      <c r="O190" s="128"/>
      <c r="P190" s="126"/>
      <c r="Q190" s="97"/>
      <c r="R190" s="97"/>
    </row>
    <row r="191" spans="1:79" ht="15.4" x14ac:dyDescent="0.45">
      <c r="A191" s="97"/>
      <c r="B191" s="97"/>
      <c r="C191" s="97"/>
      <c r="D191" s="97"/>
      <c r="E191" s="121"/>
      <c r="F191" s="97"/>
      <c r="G191" s="97"/>
      <c r="H191" s="97"/>
      <c r="I191" s="117"/>
      <c r="J191" s="97"/>
      <c r="K191" s="122" t="s">
        <v>29</v>
      </c>
      <c r="L191" s="122">
        <v>0.25</v>
      </c>
      <c r="M191" s="120" t="s">
        <v>30</v>
      </c>
      <c r="N191" s="122">
        <v>0.5</v>
      </c>
      <c r="O191" s="128">
        <f>1-EXP(-P191*$E$2)</f>
        <v>0.12898109359383625</v>
      </c>
      <c r="P191" s="126">
        <f>BD198</f>
        <v>4.1427478744181814</v>
      </c>
      <c r="Q191" s="97"/>
      <c r="R191" s="97"/>
      <c r="S191" s="53" t="s">
        <v>11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53" t="s">
        <v>11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K191" s="53" t="s">
        <v>11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1:79" x14ac:dyDescent="0.35">
      <c r="A192" s="97"/>
      <c r="B192" s="97"/>
      <c r="C192" s="97"/>
      <c r="D192" s="97"/>
      <c r="E192" s="121"/>
      <c r="F192" s="97"/>
      <c r="G192" s="97"/>
      <c r="H192" s="97"/>
      <c r="I192" s="117"/>
      <c r="J192" s="97"/>
      <c r="K192" s="97">
        <f>O188*N188+O191*N191+O194*N194</f>
        <v>0.12086076924956105</v>
      </c>
      <c r="L192" s="97"/>
      <c r="M192" s="117"/>
      <c r="N192" s="97"/>
      <c r="O192" s="128"/>
      <c r="P192" s="126"/>
      <c r="Q192" s="97"/>
      <c r="R192" s="97"/>
      <c r="AF192" s="68"/>
      <c r="AG192" s="68"/>
      <c r="AH192" s="68"/>
      <c r="AI192" s="140" t="s">
        <v>33</v>
      </c>
    </row>
    <row r="193" spans="1:80" ht="15.4" x14ac:dyDescent="0.45">
      <c r="A193" s="97"/>
      <c r="B193" s="97"/>
      <c r="C193" s="97"/>
      <c r="D193" s="97"/>
      <c r="E193" s="121"/>
      <c r="F193" s="97"/>
      <c r="G193" s="97"/>
      <c r="H193" s="97"/>
      <c r="I193" s="117"/>
      <c r="J193" s="97"/>
      <c r="K193" s="97"/>
      <c r="L193" s="97"/>
      <c r="M193" s="123"/>
      <c r="N193" s="97"/>
      <c r="O193" s="128"/>
      <c r="P193" s="126"/>
      <c r="Q193" s="97"/>
      <c r="R193" s="97"/>
      <c r="S193" s="49"/>
      <c r="T193" s="49" t="s">
        <v>12</v>
      </c>
      <c r="U193" s="49"/>
      <c r="V193" s="49"/>
      <c r="W193" s="49"/>
      <c r="X193" s="49"/>
      <c r="Y193" s="49"/>
      <c r="Z193" s="55" t="s">
        <v>13</v>
      </c>
      <c r="AA193" s="55" t="s">
        <v>14</v>
      </c>
      <c r="AB193" s="56" t="s">
        <v>15</v>
      </c>
      <c r="AC193" s="55"/>
      <c r="AD193" s="55"/>
      <c r="AE193" s="55"/>
      <c r="AF193" s="68"/>
      <c r="AG193" s="68"/>
      <c r="AH193" s="68"/>
      <c r="AI193" s="55" t="s">
        <v>29</v>
      </c>
      <c r="AJ193" s="55" t="s">
        <v>30</v>
      </c>
      <c r="AK193" s="55" t="s">
        <v>31</v>
      </c>
      <c r="AL193" s="55"/>
      <c r="AM193" s="51"/>
      <c r="AN193" s="51"/>
      <c r="AO193" s="49"/>
      <c r="AP193" s="49" t="s">
        <v>12</v>
      </c>
      <c r="AQ193" s="49"/>
      <c r="AR193" s="49"/>
      <c r="AS193" s="49"/>
      <c r="AT193" s="49"/>
      <c r="AU193" s="49"/>
      <c r="AV193" s="55" t="s">
        <v>13</v>
      </c>
      <c r="AW193" s="55" t="s">
        <v>14</v>
      </c>
      <c r="AX193" s="56" t="s">
        <v>15</v>
      </c>
      <c r="AY193" s="55"/>
      <c r="AZ193" s="55"/>
      <c r="BA193" s="55"/>
      <c r="BB193" s="55"/>
      <c r="BC193" s="55"/>
      <c r="BD193" s="55"/>
      <c r="BE193" s="55"/>
      <c r="BF193" s="55"/>
      <c r="BG193" s="55"/>
      <c r="BH193" s="51"/>
      <c r="BI193" s="51"/>
      <c r="BJ193" s="51"/>
      <c r="BK193" s="49"/>
      <c r="BL193" s="49" t="s">
        <v>12</v>
      </c>
      <c r="BM193" s="49"/>
      <c r="BN193" s="49"/>
      <c r="BO193" s="49"/>
      <c r="BP193" s="49"/>
      <c r="BQ193" s="49"/>
      <c r="BR193" s="55" t="s">
        <v>13</v>
      </c>
      <c r="BS193" s="55" t="s">
        <v>14</v>
      </c>
      <c r="BT193" s="56" t="s">
        <v>15</v>
      </c>
      <c r="BU193" s="55"/>
      <c r="BV193" s="55"/>
      <c r="BW193" s="55"/>
      <c r="BX193" s="55"/>
      <c r="BY193" s="55"/>
      <c r="BZ193" s="55"/>
      <c r="CA193" s="55"/>
      <c r="CB193" s="51"/>
    </row>
    <row r="194" spans="1:80" ht="15.4" x14ac:dyDescent="0.45">
      <c r="A194" s="97"/>
      <c r="B194" s="97"/>
      <c r="C194" s="97"/>
      <c r="D194" s="97"/>
      <c r="E194" s="121"/>
      <c r="F194" s="97"/>
      <c r="G194" s="97"/>
      <c r="H194" s="97"/>
      <c r="I194" s="117"/>
      <c r="J194" s="97"/>
      <c r="K194" s="97"/>
      <c r="L194" s="97"/>
      <c r="M194" s="122" t="s">
        <v>29</v>
      </c>
      <c r="N194" s="122">
        <v>0.25</v>
      </c>
      <c r="O194" s="128">
        <f>1-EXP(-P194*$E$2)</f>
        <v>2.7240420354909145E-2</v>
      </c>
      <c r="P194" s="126">
        <f>BD197</f>
        <v>0.8285495748836369</v>
      </c>
      <c r="Q194" s="97"/>
      <c r="R194" s="97"/>
      <c r="S194" s="2"/>
      <c r="T194" s="4"/>
      <c r="U194" s="5"/>
      <c r="V194" s="5"/>
      <c r="W194" s="5"/>
      <c r="X194" s="5"/>
      <c r="Y194" s="5"/>
      <c r="Z194" s="5"/>
      <c r="AA194" s="5"/>
      <c r="AB194" s="15"/>
      <c r="AC194" s="23"/>
      <c r="AD194" s="3"/>
      <c r="AE194" s="3"/>
      <c r="AF194" s="78"/>
      <c r="AG194" s="68"/>
      <c r="AH194" s="141">
        <f>Z250</f>
        <v>13.610131412283092</v>
      </c>
      <c r="AI194" s="62">
        <v>1</v>
      </c>
      <c r="AJ194" s="63">
        <v>2.5</v>
      </c>
      <c r="AK194" s="64">
        <v>5.5</v>
      </c>
      <c r="AL194" s="3"/>
      <c r="AO194" s="2"/>
      <c r="AP194" s="4"/>
      <c r="AQ194" s="5"/>
      <c r="AR194" s="5"/>
      <c r="AS194" s="5"/>
      <c r="AT194" s="5"/>
      <c r="AU194" s="5"/>
      <c r="AV194" s="5"/>
      <c r="AW194" s="5"/>
      <c r="AX194" s="15"/>
      <c r="AY194" s="23"/>
      <c r="AZ194" s="3"/>
      <c r="BA194" s="68"/>
      <c r="BB194" s="68"/>
      <c r="BC194" s="68"/>
      <c r="BD194" s="140" t="s">
        <v>33</v>
      </c>
      <c r="BG194" s="3"/>
      <c r="BK194" s="2"/>
      <c r="BL194" s="4"/>
      <c r="BM194" s="5"/>
      <c r="BN194" s="5"/>
      <c r="BO194" s="5"/>
      <c r="BP194" s="5"/>
      <c r="BQ194" s="5"/>
      <c r="BR194" s="5"/>
      <c r="BS194" s="5"/>
      <c r="BT194" s="15"/>
      <c r="BU194" s="23"/>
      <c r="BV194" s="55"/>
      <c r="BW194" s="55"/>
      <c r="BX194" s="55"/>
      <c r="BY194" s="55"/>
      <c r="BZ194" s="55"/>
      <c r="CA194" s="55"/>
    </row>
    <row r="195" spans="1:80" ht="15.4" x14ac:dyDescent="0.45">
      <c r="A195" s="97"/>
      <c r="B195" s="97"/>
      <c r="C195" s="97"/>
      <c r="D195" s="97"/>
      <c r="E195" s="121"/>
      <c r="F195" s="97"/>
      <c r="G195" s="97"/>
      <c r="H195" s="97"/>
      <c r="I195" s="117"/>
      <c r="J195" s="97"/>
      <c r="K195" s="97"/>
      <c r="L195" s="97"/>
      <c r="M195" s="97"/>
      <c r="N195" s="97"/>
      <c r="O195" s="128"/>
      <c r="P195" s="126"/>
      <c r="Q195" s="97"/>
      <c r="R195" s="97"/>
      <c r="S195" s="24" t="s">
        <v>16</v>
      </c>
      <c r="T195" s="16" t="s">
        <v>17</v>
      </c>
      <c r="U195" s="3"/>
      <c r="V195" s="3"/>
      <c r="W195" s="3"/>
      <c r="X195" s="3"/>
      <c r="Y195" s="3"/>
      <c r="Z195" s="17" t="s">
        <v>18</v>
      </c>
      <c r="AA195" s="27">
        <f>$H$1</f>
        <v>0.08</v>
      </c>
      <c r="AB195" s="25" t="s">
        <v>19</v>
      </c>
      <c r="AE195" s="26"/>
      <c r="AF195" s="139" t="s">
        <v>42</v>
      </c>
      <c r="AG195" s="55" t="s">
        <v>29</v>
      </c>
      <c r="AH195" s="85">
        <v>9.75</v>
      </c>
      <c r="AI195" s="68">
        <f t="dataTable" ref="AI195:AK197" dt2D="1" dtr="1" r1="AC208" r2="AC212"/>
        <v>1.1161092146128808</v>
      </c>
      <c r="AJ195">
        <v>2.7220262824566168</v>
      </c>
      <c r="AK195">
        <v>3.8191099290215114</v>
      </c>
      <c r="AL195" s="57"/>
      <c r="AO195" s="24" t="s">
        <v>16</v>
      </c>
      <c r="AP195" s="16" t="s">
        <v>17</v>
      </c>
      <c r="AQ195" s="3"/>
      <c r="AR195" s="3"/>
      <c r="AS195" s="3"/>
      <c r="AT195" s="3"/>
      <c r="AU195" s="3"/>
      <c r="AV195" s="17" t="s">
        <v>18</v>
      </c>
      <c r="AW195" s="27">
        <f>$H$1</f>
        <v>0.08</v>
      </c>
      <c r="AX195" s="25" t="s">
        <v>19</v>
      </c>
      <c r="BA195" s="68"/>
      <c r="BB195" s="68"/>
      <c r="BC195" s="68"/>
      <c r="BD195" s="55" t="s">
        <v>29</v>
      </c>
      <c r="BE195" s="55" t="s">
        <v>30</v>
      </c>
      <c r="BF195" s="55" t="s">
        <v>31</v>
      </c>
      <c r="BG195" s="3"/>
      <c r="BK195" s="24" t="s">
        <v>16</v>
      </c>
      <c r="BL195" s="16" t="s">
        <v>17</v>
      </c>
      <c r="BM195" s="3"/>
      <c r="BN195" s="3"/>
      <c r="BO195" s="3"/>
      <c r="BP195" s="3"/>
      <c r="BQ195" s="3"/>
      <c r="BR195" s="17" t="s">
        <v>18</v>
      </c>
      <c r="BS195" s="27">
        <f>$H$1</f>
        <v>0.08</v>
      </c>
      <c r="BT195" s="25" t="s">
        <v>19</v>
      </c>
      <c r="BV195" s="68"/>
      <c r="BW195" s="68"/>
      <c r="BX195" s="68"/>
      <c r="BY195" s="140" t="s">
        <v>33</v>
      </c>
    </row>
    <row r="196" spans="1:80" ht="15.4" x14ac:dyDescent="0.45">
      <c r="A196" s="97"/>
      <c r="B196" s="97"/>
      <c r="C196" s="97"/>
      <c r="D196" s="97"/>
      <c r="E196" s="121"/>
      <c r="F196" s="97"/>
      <c r="G196" s="97"/>
      <c r="H196" s="97"/>
      <c r="I196" s="117"/>
      <c r="J196" s="97"/>
      <c r="K196" s="97"/>
      <c r="L196" s="97"/>
      <c r="M196" s="97"/>
      <c r="N196" s="97"/>
      <c r="O196" s="128"/>
      <c r="P196" s="126"/>
      <c r="Q196" s="97"/>
      <c r="R196" s="97"/>
      <c r="S196" s="24" t="s">
        <v>16</v>
      </c>
      <c r="T196" s="16" t="s">
        <v>20</v>
      </c>
      <c r="U196" s="3"/>
      <c r="V196" s="3"/>
      <c r="W196" s="3"/>
      <c r="X196" s="3"/>
      <c r="Y196" s="3"/>
      <c r="Z196" s="17" t="s">
        <v>18</v>
      </c>
      <c r="AA196" s="91">
        <f>$H$2</f>
        <v>0.38</v>
      </c>
      <c r="AB196" s="25" t="s">
        <v>21</v>
      </c>
      <c r="AE196" s="26"/>
      <c r="AF196" s="75"/>
      <c r="AG196" s="55" t="s">
        <v>30</v>
      </c>
      <c r="AH196" s="86">
        <v>10.75</v>
      </c>
      <c r="AI196" s="68">
        <v>5.5805460730644025</v>
      </c>
      <c r="AJ196">
        <v>13.610131412283092</v>
      </c>
      <c r="AK196">
        <v>19.09554964510756</v>
      </c>
      <c r="AL196" s="57"/>
      <c r="AO196" s="24" t="s">
        <v>16</v>
      </c>
      <c r="AP196" s="16" t="s">
        <v>20</v>
      </c>
      <c r="AQ196" s="3"/>
      <c r="AR196" s="3"/>
      <c r="AS196" s="3"/>
      <c r="AT196" s="3"/>
      <c r="AU196" s="3"/>
      <c r="AV196" s="17" t="s">
        <v>18</v>
      </c>
      <c r="AW196" s="91">
        <f>$H$2</f>
        <v>0.38</v>
      </c>
      <c r="AX196" s="25" t="s">
        <v>21</v>
      </c>
      <c r="BA196" s="78"/>
      <c r="BB196" s="68"/>
      <c r="BC196" s="141">
        <f>AV250</f>
        <v>10.356869686045449</v>
      </c>
      <c r="BD196" s="62">
        <v>1</v>
      </c>
      <c r="BE196" s="63">
        <v>2.5</v>
      </c>
      <c r="BF196" s="64">
        <v>5.5</v>
      </c>
      <c r="BG196" s="3"/>
      <c r="BK196" s="24" t="s">
        <v>16</v>
      </c>
      <c r="BL196" s="16" t="s">
        <v>20</v>
      </c>
      <c r="BM196" s="3"/>
      <c r="BN196" s="3"/>
      <c r="BO196" s="3"/>
      <c r="BP196" s="3"/>
      <c r="BQ196" s="3"/>
      <c r="BR196" s="17" t="s">
        <v>18</v>
      </c>
      <c r="BS196" s="91">
        <f>$H$2</f>
        <v>0.38</v>
      </c>
      <c r="BT196" s="25" t="s">
        <v>21</v>
      </c>
      <c r="BV196" s="68"/>
      <c r="BW196" s="68"/>
      <c r="BX196" s="68"/>
      <c r="BY196" s="55" t="s">
        <v>29</v>
      </c>
      <c r="BZ196" s="55" t="s">
        <v>30</v>
      </c>
      <c r="CA196" s="55" t="s">
        <v>31</v>
      </c>
    </row>
    <row r="197" spans="1:80" ht="15.4" x14ac:dyDescent="0.45">
      <c r="A197" s="97"/>
      <c r="B197" s="97"/>
      <c r="C197" s="97"/>
      <c r="D197" s="97"/>
      <c r="E197" s="121"/>
      <c r="F197" s="97"/>
      <c r="G197" s="97"/>
      <c r="H197" s="97"/>
      <c r="I197" s="117"/>
      <c r="J197" s="97"/>
      <c r="K197" s="97"/>
      <c r="L197" s="97"/>
      <c r="M197" s="155" t="s">
        <v>42</v>
      </c>
      <c r="N197" s="155"/>
      <c r="O197" s="128"/>
      <c r="P197" s="126"/>
      <c r="Q197" s="97"/>
      <c r="R197" s="97"/>
      <c r="S197" s="24"/>
      <c r="T197" s="16" t="s">
        <v>22</v>
      </c>
      <c r="U197" s="3"/>
      <c r="V197" s="3"/>
      <c r="W197" s="3"/>
      <c r="X197" s="3"/>
      <c r="Y197" s="3"/>
      <c r="Z197" s="17" t="s">
        <v>18</v>
      </c>
      <c r="AA197" s="91">
        <v>0.6</v>
      </c>
      <c r="AB197" s="25" t="s">
        <v>23</v>
      </c>
      <c r="AE197" s="26"/>
      <c r="AF197" s="75"/>
      <c r="AG197" s="55" t="s">
        <v>31</v>
      </c>
      <c r="AH197" s="87">
        <v>11.5</v>
      </c>
      <c r="AI197" s="68">
        <v>8.928873716903043</v>
      </c>
      <c r="AJ197">
        <v>21.776210259652949</v>
      </c>
      <c r="AK197">
        <v>30.552879432172091</v>
      </c>
      <c r="AL197" s="57"/>
      <c r="AO197" s="24"/>
      <c r="AP197" s="16" t="s">
        <v>22</v>
      </c>
      <c r="AQ197" s="3"/>
      <c r="AR197" s="3"/>
      <c r="AS197" s="3"/>
      <c r="AT197" s="3"/>
      <c r="AU197" s="3"/>
      <c r="AV197" s="17" t="s">
        <v>18</v>
      </c>
      <c r="AW197" s="91">
        <v>0.6</v>
      </c>
      <c r="AX197" s="25" t="s">
        <v>23</v>
      </c>
      <c r="BA197" s="139" t="s">
        <v>42</v>
      </c>
      <c r="BB197" s="55" t="s">
        <v>29</v>
      </c>
      <c r="BC197" s="85">
        <v>9.75</v>
      </c>
      <c r="BD197" s="68">
        <f t="dataTable" ref="BD197:BF199" dt2D="1" dtr="1" r1="AY208" r2="AY212"/>
        <v>0.8285495748836369</v>
      </c>
      <c r="BE197">
        <v>2.0713739372090902</v>
      </c>
      <c r="BF197">
        <v>3.8191099290215114</v>
      </c>
      <c r="BG197" s="3"/>
      <c r="BK197" s="24"/>
      <c r="BL197" s="16" t="s">
        <v>22</v>
      </c>
      <c r="BM197" s="3"/>
      <c r="BN197" s="3"/>
      <c r="BO197" s="3"/>
      <c r="BP197" s="3"/>
      <c r="BQ197" s="3"/>
      <c r="BR197" s="17" t="s">
        <v>18</v>
      </c>
      <c r="BS197" s="91">
        <v>0.6</v>
      </c>
      <c r="BT197" s="25" t="s">
        <v>23</v>
      </c>
      <c r="BV197" s="78"/>
      <c r="BW197" s="68"/>
      <c r="BX197" s="141">
        <f>BR250</f>
        <v>7.9563742276900413</v>
      </c>
      <c r="BY197" s="62">
        <v>1</v>
      </c>
      <c r="BZ197" s="63">
        <v>2.5</v>
      </c>
      <c r="CA197" s="64">
        <v>5.5</v>
      </c>
    </row>
    <row r="198" spans="1:80" ht="15.4" x14ac:dyDescent="0.45">
      <c r="A198" s="97"/>
      <c r="B198" s="97"/>
      <c r="C198" s="97"/>
      <c r="D198" s="97"/>
      <c r="E198" s="121"/>
      <c r="F198" s="97"/>
      <c r="G198" s="97"/>
      <c r="H198" s="97"/>
      <c r="I198" s="117"/>
      <c r="J198" s="97"/>
      <c r="K198" s="97"/>
      <c r="L198" s="97"/>
      <c r="M198" s="97"/>
      <c r="N198" s="97"/>
      <c r="O198" s="128"/>
      <c r="P198" s="126"/>
      <c r="Q198" s="97"/>
      <c r="R198" s="97"/>
      <c r="S198" s="24"/>
      <c r="T198" s="16" t="s">
        <v>24</v>
      </c>
      <c r="U198" s="3"/>
      <c r="V198" s="3"/>
      <c r="W198" s="3"/>
      <c r="X198" s="3"/>
      <c r="Y198" s="3"/>
      <c r="Z198" s="17" t="s">
        <v>18</v>
      </c>
      <c r="AA198" s="28">
        <f>$H$3</f>
        <v>0.98</v>
      </c>
      <c r="AB198" s="25" t="s">
        <v>25</v>
      </c>
      <c r="AE198" s="40"/>
      <c r="AF198" s="40"/>
      <c r="AG198" s="40"/>
      <c r="AH198" s="40"/>
      <c r="AI198" s="40"/>
      <c r="AJ198" s="40"/>
      <c r="AK198" s="3"/>
      <c r="AL198" s="57"/>
      <c r="AO198" s="24"/>
      <c r="AP198" s="16" t="s">
        <v>24</v>
      </c>
      <c r="AQ198" s="3"/>
      <c r="AR198" s="3"/>
      <c r="AS198" s="3"/>
      <c r="AT198" s="3"/>
      <c r="AU198" s="3"/>
      <c r="AV198" s="17" t="s">
        <v>18</v>
      </c>
      <c r="AW198" s="28">
        <f>$H$3</f>
        <v>0.98</v>
      </c>
      <c r="AX198" s="25" t="s">
        <v>25</v>
      </c>
      <c r="BA198" s="75"/>
      <c r="BB198" s="55" t="s">
        <v>30</v>
      </c>
      <c r="BC198" s="86">
        <v>10.75</v>
      </c>
      <c r="BD198" s="68">
        <v>4.1427478744181814</v>
      </c>
      <c r="BE198">
        <v>10.356869686045449</v>
      </c>
      <c r="BF198">
        <v>19.09554964510756</v>
      </c>
      <c r="BG198" s="3"/>
      <c r="BK198" s="24"/>
      <c r="BL198" s="16" t="s">
        <v>24</v>
      </c>
      <c r="BM198" s="3"/>
      <c r="BN198" s="3"/>
      <c r="BO198" s="3"/>
      <c r="BP198" s="3"/>
      <c r="BQ198" s="3"/>
      <c r="BR198" s="17" t="s">
        <v>18</v>
      </c>
      <c r="BS198" s="28">
        <f>$H$3</f>
        <v>0.98</v>
      </c>
      <c r="BT198" s="25" t="s">
        <v>25</v>
      </c>
      <c r="BV198" s="139" t="s">
        <v>42</v>
      </c>
      <c r="BW198" s="55" t="s">
        <v>29</v>
      </c>
      <c r="BX198" s="85">
        <v>9.75</v>
      </c>
      <c r="BY198" s="68">
        <f t="dataTable" ref="BY198:CA200" dt2D="1" dtr="1" r1="BU208" r2="BU212"/>
        <v>0.63650993821520341</v>
      </c>
      <c r="BZ198">
        <v>1.5912748455380081</v>
      </c>
      <c r="CA198">
        <v>3.4811483638873257</v>
      </c>
    </row>
    <row r="199" spans="1:80" ht="15.4" x14ac:dyDescent="0.45">
      <c r="A199" s="97"/>
      <c r="B199" s="97"/>
      <c r="C199" s="97"/>
      <c r="D199" s="97"/>
      <c r="E199" s="121"/>
      <c r="F199" s="97"/>
      <c r="G199" s="97"/>
      <c r="H199" s="97"/>
      <c r="I199" s="117"/>
      <c r="J199" s="97"/>
      <c r="K199" s="97"/>
      <c r="L199" s="97"/>
      <c r="M199" s="120" t="s">
        <v>31</v>
      </c>
      <c r="N199" s="122">
        <v>0.25</v>
      </c>
      <c r="O199" s="128">
        <f>1-EXP(-P199*$E$2)</f>
        <v>0.60477744025787616</v>
      </c>
      <c r="P199" s="126">
        <f>CA200</f>
        <v>27.849186911098577</v>
      </c>
      <c r="Q199" s="97"/>
      <c r="R199" s="97"/>
      <c r="S199" s="24"/>
      <c r="T199" s="16"/>
      <c r="U199" s="3"/>
      <c r="V199" s="3"/>
      <c r="W199" s="3"/>
      <c r="X199" s="3"/>
      <c r="Y199" s="3"/>
      <c r="Z199" s="17"/>
      <c r="AA199" s="40"/>
      <c r="AB199" s="25"/>
      <c r="AE199" s="40"/>
      <c r="AF199" s="40"/>
      <c r="AG199" s="40"/>
      <c r="AH199" s="40"/>
      <c r="AI199" s="40"/>
      <c r="AJ199" s="40"/>
      <c r="AK199" s="3"/>
      <c r="AL199" s="57"/>
      <c r="AO199" s="24"/>
      <c r="AP199" s="16"/>
      <c r="AQ199" s="3"/>
      <c r="AR199" s="3"/>
      <c r="AS199" s="3"/>
      <c r="AT199" s="3"/>
      <c r="AU199" s="3"/>
      <c r="AV199" s="17"/>
      <c r="AW199" s="40"/>
      <c r="AX199" s="25"/>
      <c r="BA199" s="75"/>
      <c r="BB199" s="55" t="s">
        <v>31</v>
      </c>
      <c r="BC199" s="87">
        <v>11.5</v>
      </c>
      <c r="BD199" s="68">
        <v>6.6283965990690898</v>
      </c>
      <c r="BE199">
        <v>16.570991497672722</v>
      </c>
      <c r="BF199">
        <v>30.552879432172091</v>
      </c>
      <c r="BG199" s="3"/>
      <c r="BK199" s="24"/>
      <c r="BL199" s="16"/>
      <c r="BM199" s="3"/>
      <c r="BN199" s="3"/>
      <c r="BO199" s="3"/>
      <c r="BP199" s="3"/>
      <c r="BQ199" s="3"/>
      <c r="BR199" s="17"/>
      <c r="BS199" s="40"/>
      <c r="BT199" s="25"/>
      <c r="BV199" s="75"/>
      <c r="BW199" s="55" t="s">
        <v>30</v>
      </c>
      <c r="BX199" s="86">
        <v>10.75</v>
      </c>
      <c r="BY199" s="68">
        <v>3.1825496910760158</v>
      </c>
      <c r="BZ199">
        <v>7.9563742276900413</v>
      </c>
      <c r="CA199">
        <v>17.40574181943661</v>
      </c>
    </row>
    <row r="200" spans="1:80" ht="15.4" x14ac:dyDescent="0.45">
      <c r="A200" s="97"/>
      <c r="B200" s="97"/>
      <c r="C200" s="97"/>
      <c r="D200" s="97"/>
      <c r="E200" s="121"/>
      <c r="F200" s="97"/>
      <c r="G200" s="97"/>
      <c r="H200" s="97"/>
      <c r="I200" s="117"/>
      <c r="J200" s="97"/>
      <c r="K200" s="155" t="s">
        <v>33</v>
      </c>
      <c r="L200" s="164"/>
      <c r="M200" s="117"/>
      <c r="N200" s="97"/>
      <c r="O200" s="128"/>
      <c r="P200" s="126"/>
      <c r="Q200" s="97"/>
      <c r="R200" s="97"/>
      <c r="S200" s="24"/>
      <c r="T200" s="16"/>
      <c r="U200" s="3"/>
      <c r="V200" s="3"/>
      <c r="W200" s="3"/>
      <c r="X200" s="3"/>
      <c r="Y200" s="3"/>
      <c r="Z200" s="17"/>
      <c r="AA200" s="39"/>
      <c r="AB200" s="25"/>
      <c r="AE200" s="39"/>
      <c r="AF200" s="39"/>
      <c r="AG200" s="39"/>
      <c r="AH200" s="39"/>
      <c r="AI200" s="39"/>
      <c r="AJ200" s="39"/>
      <c r="AK200" s="3"/>
      <c r="AL200" s="57"/>
      <c r="AO200" s="24"/>
      <c r="AP200" s="16"/>
      <c r="AQ200" s="3"/>
      <c r="AR200" s="3"/>
      <c r="AS200" s="3"/>
      <c r="AT200" s="3"/>
      <c r="AU200" s="3"/>
      <c r="AV200" s="17"/>
      <c r="AW200" s="39"/>
      <c r="AX200" s="25"/>
      <c r="BA200" s="39"/>
      <c r="BB200" s="39"/>
      <c r="BC200" s="39"/>
      <c r="BD200" s="39"/>
      <c r="BE200" s="39"/>
      <c r="BF200" s="39"/>
      <c r="BG200" s="3"/>
      <c r="BK200" s="24"/>
      <c r="BL200" s="16"/>
      <c r="BM200" s="3"/>
      <c r="BN200" s="3"/>
      <c r="BO200" s="3"/>
      <c r="BP200" s="3"/>
      <c r="BQ200" s="3"/>
      <c r="BR200" s="17"/>
      <c r="BS200" s="39"/>
      <c r="BT200" s="25"/>
      <c r="BV200" s="75"/>
      <c r="BW200" s="55" t="s">
        <v>31</v>
      </c>
      <c r="BX200" s="87">
        <v>11.5</v>
      </c>
      <c r="BY200" s="68">
        <v>5.0920795057216273</v>
      </c>
      <c r="BZ200">
        <v>12.730198764304069</v>
      </c>
      <c r="CA200">
        <v>27.849186911098577</v>
      </c>
    </row>
    <row r="201" spans="1:80" x14ac:dyDescent="0.35">
      <c r="A201" s="97"/>
      <c r="B201" s="97"/>
      <c r="C201" s="97"/>
      <c r="D201" s="97"/>
      <c r="E201" s="121"/>
      <c r="F201" s="97"/>
      <c r="G201" s="97"/>
      <c r="H201" s="97"/>
      <c r="I201" s="117"/>
      <c r="J201" s="97"/>
      <c r="K201" s="97"/>
      <c r="L201" s="97"/>
      <c r="M201" s="117"/>
      <c r="N201" s="97"/>
      <c r="O201" s="128"/>
      <c r="P201" s="126"/>
      <c r="Q201" s="97"/>
      <c r="R201" s="97"/>
      <c r="S201" s="24"/>
      <c r="T201" s="16"/>
      <c r="U201" s="3"/>
      <c r="V201" s="3"/>
      <c r="W201" s="3"/>
      <c r="X201" s="3"/>
      <c r="Y201" s="3"/>
      <c r="Z201" s="17"/>
      <c r="AA201" s="39"/>
      <c r="AB201" s="25"/>
      <c r="AE201" s="39"/>
      <c r="AF201" s="39"/>
      <c r="AG201" s="39"/>
      <c r="AH201" s="39"/>
      <c r="AI201" s="39"/>
      <c r="AJ201" s="39"/>
      <c r="AK201" s="3"/>
      <c r="AL201" s="57"/>
      <c r="AO201" s="24"/>
      <c r="AP201" s="16"/>
      <c r="AQ201" s="3"/>
      <c r="AR201" s="3"/>
      <c r="AS201" s="3"/>
      <c r="AT201" s="3"/>
      <c r="AU201" s="3"/>
      <c r="AV201" s="17"/>
      <c r="AW201" s="39"/>
      <c r="AX201" s="25"/>
      <c r="BA201" s="39"/>
      <c r="BB201" s="39"/>
      <c r="BC201" s="39"/>
      <c r="BD201" s="39"/>
      <c r="BE201" s="39"/>
      <c r="BF201" s="39"/>
      <c r="BG201" s="3"/>
      <c r="BK201" s="24"/>
      <c r="BL201" s="16"/>
      <c r="BM201" s="3"/>
      <c r="BN201" s="3"/>
      <c r="BO201" s="3"/>
      <c r="BP201" s="3"/>
      <c r="BQ201" s="3"/>
      <c r="BR201" s="17"/>
      <c r="BS201" s="39"/>
      <c r="BT201" s="25"/>
      <c r="BW201" s="39"/>
      <c r="BX201" s="39"/>
      <c r="BY201" s="39"/>
      <c r="BZ201" s="39"/>
      <c r="CA201" s="39"/>
    </row>
    <row r="202" spans="1:80" x14ac:dyDescent="0.35">
      <c r="A202" s="97"/>
      <c r="B202" s="97"/>
      <c r="C202" s="97"/>
      <c r="D202" s="97"/>
      <c r="E202" s="121"/>
      <c r="F202" s="97"/>
      <c r="G202" s="97"/>
      <c r="H202" s="97"/>
      <c r="I202" s="117"/>
      <c r="J202" s="97"/>
      <c r="K202" s="120" t="s">
        <v>31</v>
      </c>
      <c r="L202" s="122">
        <v>0.25</v>
      </c>
      <c r="M202" s="120" t="s">
        <v>30</v>
      </c>
      <c r="N202" s="122">
        <v>0.5</v>
      </c>
      <c r="O202" s="128">
        <f>1-EXP(-P202*$E$2)</f>
        <v>0.44020878435770572</v>
      </c>
      <c r="P202" s="126">
        <f>CA199</f>
        <v>17.40574181943661</v>
      </c>
      <c r="Q202" s="97"/>
      <c r="R202" s="97"/>
      <c r="S202" s="24" t="s">
        <v>16</v>
      </c>
      <c r="T202" s="18"/>
      <c r="U202" s="19"/>
      <c r="V202" s="19"/>
      <c r="W202" s="19"/>
      <c r="X202" s="19"/>
      <c r="Y202" s="19"/>
      <c r="Z202" s="19"/>
      <c r="AA202" s="19"/>
      <c r="AB202" s="59"/>
      <c r="AC202" s="23"/>
      <c r="AD202" s="3"/>
      <c r="AE202" s="3"/>
      <c r="AF202" s="3"/>
      <c r="AG202" s="3"/>
      <c r="AH202" s="3"/>
      <c r="AI202" s="3"/>
      <c r="AJ202" s="3"/>
      <c r="AK202" s="3"/>
      <c r="AL202" s="57"/>
      <c r="AO202" s="24" t="s">
        <v>16</v>
      </c>
      <c r="AP202" s="18"/>
      <c r="AQ202" s="19"/>
      <c r="AR202" s="19"/>
      <c r="AS202" s="19"/>
      <c r="AT202" s="19"/>
      <c r="AU202" s="19"/>
      <c r="AV202" s="19"/>
      <c r="AW202" s="19"/>
      <c r="AX202" s="59"/>
      <c r="AY202" s="23"/>
      <c r="AZ202" s="3"/>
      <c r="BA202" s="3"/>
      <c r="BB202" s="3"/>
      <c r="BC202" s="3"/>
      <c r="BD202" s="3"/>
      <c r="BE202" s="3"/>
      <c r="BF202" s="3"/>
      <c r="BG202" s="3"/>
      <c r="BK202" s="24" t="s">
        <v>16</v>
      </c>
      <c r="BL202" s="18"/>
      <c r="BM202" s="19"/>
      <c r="BN202" s="19"/>
      <c r="BO202" s="19"/>
      <c r="BP202" s="19"/>
      <c r="BQ202" s="19"/>
      <c r="BR202" s="19"/>
      <c r="BS202" s="19"/>
      <c r="BT202" s="59"/>
      <c r="BU202" s="23"/>
      <c r="BV202" s="3"/>
      <c r="BW202" s="3"/>
      <c r="BX202" s="3"/>
      <c r="BY202" s="3"/>
      <c r="BZ202" s="3"/>
      <c r="CA202" s="3"/>
    </row>
    <row r="203" spans="1:80" ht="13.15" thickBot="1" x14ac:dyDescent="0.4">
      <c r="A203" s="97"/>
      <c r="B203" s="97"/>
      <c r="C203" s="97"/>
      <c r="D203" s="97"/>
      <c r="E203" s="121"/>
      <c r="F203" s="97"/>
      <c r="G203" s="97"/>
      <c r="H203" s="97"/>
      <c r="I203" s="117"/>
      <c r="J203" s="97"/>
      <c r="K203" s="117">
        <f>O199*N199+O202*N202+O205*N205</f>
        <v>0.39868846783576617</v>
      </c>
      <c r="L203" s="97"/>
      <c r="M203" s="117"/>
      <c r="N203" s="97"/>
      <c r="O203" s="128"/>
      <c r="P203" s="126"/>
      <c r="Q203" s="97"/>
      <c r="R203" s="97"/>
      <c r="S203" s="24"/>
      <c r="T203" s="3"/>
      <c r="U203" s="3"/>
      <c r="V203" s="3"/>
      <c r="W203" s="3"/>
      <c r="X203" s="3"/>
      <c r="Y203" s="3"/>
      <c r="Z203" s="3"/>
      <c r="AA203" s="3"/>
      <c r="AC203" s="23"/>
      <c r="AD203" s="3"/>
      <c r="AE203" s="3"/>
      <c r="AF203" s="3"/>
      <c r="AG203" s="3"/>
      <c r="AH203" s="3"/>
      <c r="AI203" s="3"/>
      <c r="AJ203" s="3"/>
      <c r="AK203" s="3"/>
      <c r="AL203" s="57"/>
      <c r="AO203" s="24"/>
      <c r="AP203" s="3"/>
      <c r="AQ203" s="3"/>
      <c r="AR203" s="3"/>
      <c r="AS203" s="3"/>
      <c r="AT203" s="3"/>
      <c r="AU203" s="3"/>
      <c r="AV203" s="3"/>
      <c r="AW203" s="3"/>
      <c r="AY203" s="23"/>
      <c r="AZ203" s="3"/>
      <c r="BA203" s="3"/>
      <c r="BB203" s="3"/>
      <c r="BC203" s="3"/>
      <c r="BD203" s="3"/>
      <c r="BE203" s="3"/>
      <c r="BF203" s="3"/>
      <c r="BG203" s="3"/>
      <c r="BK203" s="24"/>
      <c r="BL203" s="3"/>
      <c r="BM203" s="3"/>
      <c r="BN203" s="3"/>
      <c r="BO203" s="3"/>
      <c r="BP203" s="3"/>
      <c r="BQ203" s="3"/>
      <c r="BR203" s="3"/>
      <c r="BS203" s="3"/>
      <c r="BU203" s="23"/>
      <c r="BV203" s="3"/>
      <c r="BW203" s="3"/>
      <c r="BX203" s="3"/>
      <c r="BY203" s="3"/>
      <c r="BZ203" s="3"/>
      <c r="CA203" s="3"/>
    </row>
    <row r="204" spans="1:80" ht="15.4" x14ac:dyDescent="0.45">
      <c r="A204" s="97"/>
      <c r="B204" s="97"/>
      <c r="C204" s="97"/>
      <c r="D204" s="97"/>
      <c r="E204" s="121"/>
      <c r="F204" s="97"/>
      <c r="G204" s="97"/>
      <c r="H204" s="97"/>
      <c r="I204" s="117"/>
      <c r="J204" s="97"/>
      <c r="K204" s="117"/>
      <c r="L204" s="97"/>
      <c r="M204" s="123"/>
      <c r="N204" s="97"/>
      <c r="O204" s="128"/>
      <c r="P204" s="126"/>
      <c r="Q204" s="97"/>
      <c r="R204" s="97"/>
      <c r="S204" s="53" t="s">
        <v>26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53" t="s">
        <v>26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K204" s="53" t="s">
        <v>26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</row>
    <row r="205" spans="1:80" ht="15.4" x14ac:dyDescent="0.45">
      <c r="A205" s="97"/>
      <c r="B205" s="97"/>
      <c r="C205" s="97"/>
      <c r="D205" s="97"/>
      <c r="E205" s="121"/>
      <c r="F205" s="97"/>
      <c r="G205" s="97"/>
      <c r="H205" s="97"/>
      <c r="I205" s="117"/>
      <c r="J205" s="97"/>
      <c r="K205" s="117"/>
      <c r="L205" s="97"/>
      <c r="M205" s="122" t="s">
        <v>29</v>
      </c>
      <c r="N205" s="122">
        <v>0.25</v>
      </c>
      <c r="O205" s="128">
        <f>1-EXP(-P205*$E$2)</f>
        <v>0.10955886236977719</v>
      </c>
      <c r="P205" s="126">
        <f>CA198</f>
        <v>3.4811483638873257</v>
      </c>
      <c r="Q205" s="97"/>
      <c r="R205" s="97"/>
      <c r="S205" s="54"/>
      <c r="AO205" s="54"/>
      <c r="BK205" s="54"/>
    </row>
    <row r="206" spans="1:80" ht="15.4" x14ac:dyDescent="0.45">
      <c r="A206" s="97"/>
      <c r="B206" s="97"/>
      <c r="C206" s="97"/>
      <c r="D206" s="97"/>
      <c r="E206" s="121"/>
      <c r="F206" s="97"/>
      <c r="G206" s="97"/>
      <c r="H206" s="97"/>
      <c r="I206" s="117"/>
      <c r="J206" s="97"/>
      <c r="K206" s="117"/>
      <c r="L206" s="97"/>
      <c r="M206" s="97"/>
      <c r="N206" s="97"/>
      <c r="O206" s="128"/>
      <c r="P206" s="126"/>
      <c r="Q206" s="97"/>
      <c r="R206" s="97"/>
      <c r="S206" s="49"/>
      <c r="T206" s="49" t="s">
        <v>12</v>
      </c>
      <c r="U206" s="49"/>
      <c r="V206" s="49"/>
      <c r="W206" s="49"/>
      <c r="X206" s="49"/>
      <c r="Y206" s="49"/>
      <c r="Z206" s="55" t="s">
        <v>13</v>
      </c>
      <c r="AA206" s="55" t="s">
        <v>27</v>
      </c>
      <c r="AB206" s="56"/>
      <c r="AC206" s="55" t="s">
        <v>28</v>
      </c>
      <c r="AD206" s="55" t="s">
        <v>15</v>
      </c>
      <c r="AE206" s="55" t="s">
        <v>29</v>
      </c>
      <c r="AF206" s="55" t="s">
        <v>30</v>
      </c>
      <c r="AG206" s="55" t="s">
        <v>31</v>
      </c>
      <c r="AH206" s="9"/>
      <c r="AJ206" s="55"/>
      <c r="AM206" s="51"/>
      <c r="AN206" s="51"/>
      <c r="AO206" s="49"/>
      <c r="AP206" s="49" t="s">
        <v>12</v>
      </c>
      <c r="AQ206" s="49"/>
      <c r="AR206" s="49"/>
      <c r="AS206" s="49"/>
      <c r="AT206" s="49"/>
      <c r="AU206" s="49"/>
      <c r="AV206" s="55" t="s">
        <v>13</v>
      </c>
      <c r="AW206" s="55" t="s">
        <v>27</v>
      </c>
      <c r="AX206" s="56"/>
      <c r="AY206" s="55" t="s">
        <v>28</v>
      </c>
      <c r="AZ206" s="55" t="s">
        <v>15</v>
      </c>
      <c r="BA206" s="55" t="s">
        <v>29</v>
      </c>
      <c r="BB206" s="55" t="s">
        <v>30</v>
      </c>
      <c r="BC206" s="55" t="s">
        <v>31</v>
      </c>
      <c r="BD206" s="9"/>
      <c r="BF206" s="55"/>
      <c r="BH206" s="51"/>
      <c r="BI206" s="51"/>
      <c r="BJ206" s="51"/>
      <c r="BK206" s="49"/>
      <c r="BL206" s="49" t="s">
        <v>12</v>
      </c>
      <c r="BM206" s="49"/>
      <c r="BN206" s="49"/>
      <c r="BO206" s="49"/>
      <c r="BP206" s="49"/>
      <c r="BQ206" s="49"/>
      <c r="BR206" s="55" t="s">
        <v>13</v>
      </c>
      <c r="BS206" s="55" t="s">
        <v>27</v>
      </c>
      <c r="BT206" s="56"/>
      <c r="BU206" s="55" t="s">
        <v>28</v>
      </c>
      <c r="BV206" s="55" t="s">
        <v>15</v>
      </c>
      <c r="BW206" s="55" t="s">
        <v>29</v>
      </c>
      <c r="BX206" s="55" t="s">
        <v>30</v>
      </c>
      <c r="BY206" s="55" t="s">
        <v>31</v>
      </c>
      <c r="BZ206" s="9"/>
      <c r="CB206" s="51"/>
    </row>
    <row r="207" spans="1:80" x14ac:dyDescent="0.35">
      <c r="A207" s="97"/>
      <c r="B207" s="97"/>
      <c r="C207" s="97"/>
      <c r="D207" s="97"/>
      <c r="E207" s="121"/>
      <c r="F207" s="97"/>
      <c r="G207" s="97"/>
      <c r="H207" s="97"/>
      <c r="I207" s="117"/>
      <c r="J207" s="97"/>
      <c r="K207" s="117"/>
      <c r="L207" s="97"/>
      <c r="M207" s="155" t="s">
        <v>42</v>
      </c>
      <c r="N207" s="155"/>
      <c r="O207" s="128"/>
      <c r="P207" s="126"/>
      <c r="Q207" s="97"/>
      <c r="R207" s="97"/>
      <c r="S207" s="24" t="s">
        <v>16</v>
      </c>
      <c r="T207" s="60" t="s">
        <v>32</v>
      </c>
      <c r="U207" s="5"/>
      <c r="V207" s="5"/>
      <c r="W207" s="5"/>
      <c r="X207" s="5"/>
      <c r="Y207" s="5"/>
      <c r="Z207" s="5"/>
      <c r="AA207" s="5"/>
      <c r="AB207" s="14"/>
      <c r="AC207" s="21"/>
      <c r="AD207" s="5"/>
      <c r="AE207" s="5"/>
      <c r="AF207" s="5"/>
      <c r="AG207" s="5"/>
      <c r="AH207" s="58"/>
      <c r="AJ207" s="3"/>
      <c r="AO207" s="24" t="s">
        <v>16</v>
      </c>
      <c r="AP207" s="60" t="s">
        <v>32</v>
      </c>
      <c r="AQ207" s="5"/>
      <c r="AR207" s="5"/>
      <c r="AS207" s="5"/>
      <c r="AT207" s="5"/>
      <c r="AU207" s="5"/>
      <c r="AV207" s="5"/>
      <c r="AW207" s="5"/>
      <c r="AX207" s="14"/>
      <c r="AY207" s="21"/>
      <c r="AZ207" s="5"/>
      <c r="BA207" s="5"/>
      <c r="BB207" s="5"/>
      <c r="BC207" s="5"/>
      <c r="BD207" s="58"/>
      <c r="BF207" s="3"/>
      <c r="BK207" s="24" t="s">
        <v>16</v>
      </c>
      <c r="BL207" s="60" t="s">
        <v>32</v>
      </c>
      <c r="BM207" s="5"/>
      <c r="BN207" s="5"/>
      <c r="BO207" s="5"/>
      <c r="BP207" s="5"/>
      <c r="BQ207" s="5"/>
      <c r="BR207" s="5"/>
      <c r="BS207" s="5"/>
      <c r="BT207" s="14"/>
      <c r="BU207" s="21"/>
      <c r="BV207" s="5"/>
      <c r="BW207" s="5"/>
      <c r="BX207" s="5"/>
      <c r="BY207" s="5"/>
      <c r="BZ207" s="58"/>
    </row>
    <row r="208" spans="1:80" x14ac:dyDescent="0.35">
      <c r="A208" s="97"/>
      <c r="B208" s="97"/>
      <c r="C208" s="97"/>
      <c r="D208" s="97"/>
      <c r="E208" s="121"/>
      <c r="F208" s="97"/>
      <c r="G208" s="97"/>
      <c r="H208" s="97"/>
      <c r="I208" s="117"/>
      <c r="J208" s="97"/>
      <c r="K208" s="117"/>
      <c r="L208" s="97"/>
      <c r="M208" s="97"/>
      <c r="N208" s="97"/>
      <c r="O208" s="128"/>
      <c r="P208" s="126"/>
      <c r="Q208" s="97"/>
      <c r="R208" s="97"/>
      <c r="S208" s="46" t="s">
        <v>16</v>
      </c>
      <c r="T208" s="140" t="s">
        <v>33</v>
      </c>
      <c r="U208" s="95"/>
      <c r="V208" s="95"/>
      <c r="W208" s="3"/>
      <c r="X208" s="3"/>
      <c r="Y208" s="3"/>
      <c r="Z208" s="17" t="s">
        <v>34</v>
      </c>
      <c r="AA208" s="44">
        <v>2</v>
      </c>
      <c r="AB208" s="7"/>
      <c r="AC208" s="41">
        <f>INDEX(AE208:AG208,AA208)</f>
        <v>2.5</v>
      </c>
      <c r="AD208" s="7" t="s">
        <v>35</v>
      </c>
      <c r="AE208" s="62">
        <v>1</v>
      </c>
      <c r="AF208" s="63">
        <v>2.5</v>
      </c>
      <c r="AG208" s="64">
        <v>5.5</v>
      </c>
      <c r="AH208" s="58"/>
      <c r="AJ208" s="42"/>
      <c r="AM208" s="95"/>
      <c r="AN208" s="95"/>
      <c r="AO208" s="46" t="s">
        <v>16</v>
      </c>
      <c r="AP208" s="43" t="s">
        <v>33</v>
      </c>
      <c r="AQ208" s="95"/>
      <c r="AR208" s="95"/>
      <c r="AS208" s="3"/>
      <c r="AT208" s="3"/>
      <c r="AU208" s="3"/>
      <c r="AV208" s="17" t="s">
        <v>34</v>
      </c>
      <c r="AW208" s="44">
        <v>2</v>
      </c>
      <c r="AX208" s="7"/>
      <c r="AY208" s="41">
        <f>INDEX(BA208:BC208,AW208)</f>
        <v>2.5</v>
      </c>
      <c r="AZ208" s="7" t="s">
        <v>35</v>
      </c>
      <c r="BA208" s="62">
        <v>1</v>
      </c>
      <c r="BB208" s="63">
        <v>2.5</v>
      </c>
      <c r="BC208" s="64">
        <v>5.5</v>
      </c>
      <c r="BD208" s="58"/>
      <c r="BF208" s="42"/>
      <c r="BH208" s="95"/>
      <c r="BI208" s="95"/>
      <c r="BJ208" s="95"/>
      <c r="BK208" s="46" t="s">
        <v>16</v>
      </c>
      <c r="BL208" s="43" t="s">
        <v>33</v>
      </c>
      <c r="BM208" s="95"/>
      <c r="BN208" s="95"/>
      <c r="BO208" s="3"/>
      <c r="BP208" s="3"/>
      <c r="BQ208" s="3"/>
      <c r="BR208" s="17" t="s">
        <v>34</v>
      </c>
      <c r="BS208" s="44">
        <v>2</v>
      </c>
      <c r="BT208" s="7"/>
      <c r="BU208" s="41">
        <f>INDEX(BW208:BY208,BS208)</f>
        <v>2.5</v>
      </c>
      <c r="BV208" s="7" t="s">
        <v>35</v>
      </c>
      <c r="BW208" s="62">
        <v>1</v>
      </c>
      <c r="BX208" s="63">
        <v>2.5</v>
      </c>
      <c r="BY208" s="64">
        <v>5.5</v>
      </c>
      <c r="BZ208" s="58"/>
      <c r="CB208" s="95"/>
    </row>
    <row r="209" spans="1:80" x14ac:dyDescent="0.35">
      <c r="A209" s="97"/>
      <c r="B209" s="97"/>
      <c r="C209" s="97"/>
      <c r="D209" s="97"/>
      <c r="E209" s="121"/>
      <c r="F209" s="97"/>
      <c r="G209" s="97"/>
      <c r="H209" s="97"/>
      <c r="I209" s="117"/>
      <c r="J209" s="97"/>
      <c r="K209" s="117"/>
      <c r="L209" s="97"/>
      <c r="M209" s="120" t="s">
        <v>31</v>
      </c>
      <c r="N209" s="122">
        <v>0.25</v>
      </c>
      <c r="O209" s="128">
        <f>1-EXP(-P209*$E$2)</f>
        <v>0.3457985574431085</v>
      </c>
      <c r="P209" s="126">
        <f>BZ200</f>
        <v>12.730198764304069</v>
      </c>
      <c r="Q209" s="97"/>
      <c r="R209" s="97"/>
      <c r="S209" s="46" t="s">
        <v>16</v>
      </c>
      <c r="T209" s="43" t="s">
        <v>36</v>
      </c>
      <c r="U209" s="95"/>
      <c r="V209" s="95"/>
      <c r="W209" s="3"/>
      <c r="X209" s="3"/>
      <c r="Y209" s="3"/>
      <c r="Z209" s="17" t="s">
        <v>34</v>
      </c>
      <c r="AA209" s="44">
        <v>2</v>
      </c>
      <c r="AB209" s="7"/>
      <c r="AC209" s="41">
        <f>INDEX(AE209:AG209,AA209)</f>
        <v>1.6</v>
      </c>
      <c r="AD209" s="7" t="s">
        <v>37</v>
      </c>
      <c r="AE209" s="62">
        <v>1.3</v>
      </c>
      <c r="AF209" s="63">
        <v>1.6</v>
      </c>
      <c r="AG209" s="64">
        <v>1.8</v>
      </c>
      <c r="AH209" s="58"/>
      <c r="AJ209" s="3"/>
      <c r="AM209" s="95"/>
      <c r="AN209" s="95"/>
      <c r="AO209" s="46" t="s">
        <v>16</v>
      </c>
      <c r="AP209" s="43" t="s">
        <v>36</v>
      </c>
      <c r="AQ209" s="95"/>
      <c r="AR209" s="95"/>
      <c r="AS209" s="3"/>
      <c r="AT209" s="3"/>
      <c r="AU209" s="3"/>
      <c r="AV209" s="17" t="s">
        <v>34</v>
      </c>
      <c r="AW209" s="44">
        <v>2</v>
      </c>
      <c r="AX209" s="7"/>
      <c r="AY209" s="41">
        <f>INDEX(BA209:BC209,AW209)</f>
        <v>1.6</v>
      </c>
      <c r="AZ209" s="7" t="s">
        <v>37</v>
      </c>
      <c r="BA209" s="62">
        <v>1.3</v>
      </c>
      <c r="BB209" s="63">
        <v>1.6</v>
      </c>
      <c r="BC209" s="64">
        <v>1.8</v>
      </c>
      <c r="BD209" s="58"/>
      <c r="BF209" s="3"/>
      <c r="BH209" s="95"/>
      <c r="BI209" s="95"/>
      <c r="BJ209" s="95"/>
      <c r="BK209" s="46" t="s">
        <v>16</v>
      </c>
      <c r="BL209" s="43" t="s">
        <v>36</v>
      </c>
      <c r="BM209" s="95"/>
      <c r="BN209" s="95"/>
      <c r="BO209" s="3"/>
      <c r="BP209" s="3"/>
      <c r="BQ209" s="3"/>
      <c r="BR209" s="17" t="s">
        <v>34</v>
      </c>
      <c r="BS209" s="44">
        <v>2</v>
      </c>
      <c r="BT209" s="7"/>
      <c r="BU209" s="41">
        <f>INDEX(BW209:BY209,BS209)</f>
        <v>1.6</v>
      </c>
      <c r="BV209" s="7" t="s">
        <v>37</v>
      </c>
      <c r="BW209" s="62">
        <v>1.3</v>
      </c>
      <c r="BX209" s="63">
        <v>1.6</v>
      </c>
      <c r="BY209" s="64">
        <v>1.8</v>
      </c>
      <c r="BZ209" s="58"/>
      <c r="CB209" s="95"/>
    </row>
    <row r="210" spans="1:80" x14ac:dyDescent="0.35">
      <c r="A210" s="97"/>
      <c r="B210" s="97"/>
      <c r="C210" s="97"/>
      <c r="D210" s="97"/>
      <c r="E210" s="121"/>
      <c r="F210" s="97"/>
      <c r="G210" s="97"/>
      <c r="H210" s="97"/>
      <c r="I210" s="117"/>
      <c r="J210" s="97"/>
      <c r="K210" s="117"/>
      <c r="L210" s="97"/>
      <c r="M210" s="117"/>
      <c r="N210" s="97"/>
      <c r="O210" s="128"/>
      <c r="P210" s="126"/>
      <c r="Q210" s="97"/>
      <c r="R210" s="97"/>
      <c r="S210" s="24" t="s">
        <v>16</v>
      </c>
      <c r="T210" s="140" t="s">
        <v>38</v>
      </c>
      <c r="U210" s="3"/>
      <c r="W210" s="3"/>
      <c r="X210" s="3"/>
      <c r="Y210" s="3"/>
      <c r="Z210" s="17" t="s">
        <v>39</v>
      </c>
      <c r="AA210" s="44">
        <v>3</v>
      </c>
      <c r="AB210" s="7"/>
      <c r="AC210" s="84">
        <f>INDEX(AE210:AG210,AA210)</f>
        <v>0.108</v>
      </c>
      <c r="AD210" s="7" t="s">
        <v>40</v>
      </c>
      <c r="AE210" s="152">
        <v>-3.2000000000000001E-2</v>
      </c>
      <c r="AF210" s="152">
        <v>3.5999999999999997E-2</v>
      </c>
      <c r="AG210" s="152">
        <v>0.108</v>
      </c>
      <c r="AH210" s="58"/>
      <c r="AJ210" s="47"/>
      <c r="AO210" s="24" t="s">
        <v>16</v>
      </c>
      <c r="AP210" s="43" t="s">
        <v>38</v>
      </c>
      <c r="AQ210" s="3"/>
      <c r="AS210" s="3"/>
      <c r="AT210" s="3"/>
      <c r="AU210" s="3"/>
      <c r="AV210" s="17" t="s">
        <v>39</v>
      </c>
      <c r="AW210" s="44">
        <v>2</v>
      </c>
      <c r="AX210" s="7"/>
      <c r="AY210" s="84">
        <f>INDEX(BA210:BC210,AW210)</f>
        <v>3.5999999999999997E-2</v>
      </c>
      <c r="AZ210" s="7" t="s">
        <v>40</v>
      </c>
      <c r="BA210" s="152">
        <v>-3.2000000000000001E-2</v>
      </c>
      <c r="BB210" s="152">
        <v>3.5999999999999997E-2</v>
      </c>
      <c r="BC210" s="152">
        <v>0.108</v>
      </c>
      <c r="BD210" s="58"/>
      <c r="BF210" s="47"/>
      <c r="BK210" s="24" t="s">
        <v>16</v>
      </c>
      <c r="BL210" s="43" t="s">
        <v>38</v>
      </c>
      <c r="BM210" s="3"/>
      <c r="BO210" s="3"/>
      <c r="BP210" s="3"/>
      <c r="BQ210" s="3"/>
      <c r="BR210" s="17" t="s">
        <v>39</v>
      </c>
      <c r="BS210" s="44">
        <v>1</v>
      </c>
      <c r="BT210" s="7"/>
      <c r="BU210" s="84">
        <f>INDEX(BW210:BY210,BS210)</f>
        <v>-3.2000000000000001E-2</v>
      </c>
      <c r="BV210" s="7" t="s">
        <v>40</v>
      </c>
      <c r="BW210" s="152">
        <v>-3.2000000000000001E-2</v>
      </c>
      <c r="BX210" s="152">
        <v>3.5999999999999997E-2</v>
      </c>
      <c r="BY210" s="152">
        <v>0.108</v>
      </c>
      <c r="BZ210" s="58"/>
    </row>
    <row r="211" spans="1:80" x14ac:dyDescent="0.35">
      <c r="A211" s="97"/>
      <c r="B211" s="97"/>
      <c r="C211" s="97"/>
      <c r="D211" s="97"/>
      <c r="E211" s="121"/>
      <c r="F211" s="97"/>
      <c r="G211" s="97"/>
      <c r="H211" s="97"/>
      <c r="I211" s="123"/>
      <c r="J211" s="97"/>
      <c r="K211" s="117"/>
      <c r="L211" s="97"/>
      <c r="M211" s="117"/>
      <c r="N211" s="97"/>
      <c r="O211" s="128"/>
      <c r="P211" s="126"/>
      <c r="Q211" s="97"/>
      <c r="R211" s="97"/>
      <c r="S211" s="24" t="s">
        <v>16</v>
      </c>
      <c r="T211" s="13" t="s">
        <v>41</v>
      </c>
      <c r="V211" s="3"/>
      <c r="W211" s="3"/>
      <c r="X211" s="3"/>
      <c r="Y211" s="3"/>
      <c r="Z211" s="3"/>
      <c r="AA211" s="132"/>
      <c r="AC211" s="40"/>
      <c r="AD211" s="3"/>
      <c r="AE211" s="26"/>
      <c r="AF211" s="26"/>
      <c r="AG211" s="26"/>
      <c r="AH211" s="58"/>
      <c r="AJ211" s="3"/>
      <c r="AO211" s="24" t="s">
        <v>16</v>
      </c>
      <c r="AP211" s="13" t="s">
        <v>41</v>
      </c>
      <c r="AR211" s="3"/>
      <c r="AS211" s="3"/>
      <c r="AT211" s="3"/>
      <c r="AU211" s="3"/>
      <c r="AV211" s="3"/>
      <c r="AW211" s="132"/>
      <c r="AY211" s="40"/>
      <c r="AZ211" s="3"/>
      <c r="BA211" s="26"/>
      <c r="BB211" s="26"/>
      <c r="BC211" s="26"/>
      <c r="BD211" s="58"/>
      <c r="BF211" s="3"/>
      <c r="BK211" s="24" t="s">
        <v>16</v>
      </c>
      <c r="BL211" s="13" t="s">
        <v>41</v>
      </c>
      <c r="BN211" s="3"/>
      <c r="BO211" s="3"/>
      <c r="BP211" s="3"/>
      <c r="BQ211" s="3"/>
      <c r="BR211" s="3"/>
      <c r="BS211" s="132"/>
      <c r="BU211" s="40"/>
      <c r="BV211" s="3"/>
      <c r="BW211" s="26"/>
      <c r="BX211" s="26"/>
      <c r="BY211" s="26"/>
      <c r="BZ211" s="58"/>
    </row>
    <row r="212" spans="1:80" x14ac:dyDescent="0.35">
      <c r="A212" s="97"/>
      <c r="B212" s="97"/>
      <c r="C212" s="97"/>
      <c r="D212" s="97"/>
      <c r="E212" s="121"/>
      <c r="F212" s="97"/>
      <c r="G212" s="97"/>
      <c r="H212" s="97"/>
      <c r="I212" s="122" t="s">
        <v>29</v>
      </c>
      <c r="J212" s="122">
        <v>0.25</v>
      </c>
      <c r="K212" s="120" t="s">
        <v>30</v>
      </c>
      <c r="L212" s="122">
        <v>0.5</v>
      </c>
      <c r="M212" s="120" t="s">
        <v>30</v>
      </c>
      <c r="N212" s="122">
        <v>0.5</v>
      </c>
      <c r="O212" s="128">
        <f>1-EXP(-P212*$E$2)</f>
        <v>0.23295704422117236</v>
      </c>
      <c r="P212" s="126">
        <f>BZ199</f>
        <v>7.9563742276900413</v>
      </c>
      <c r="Q212" s="97"/>
      <c r="R212" s="97"/>
      <c r="S212" s="24" t="s">
        <v>16</v>
      </c>
      <c r="T212" s="139" t="s">
        <v>42</v>
      </c>
      <c r="U212" s="3"/>
      <c r="V212" s="3"/>
      <c r="W212" s="3"/>
      <c r="X212" s="3"/>
      <c r="Y212" s="3"/>
      <c r="Z212" s="17" t="s">
        <v>43</v>
      </c>
      <c r="AA212" s="44">
        <v>2</v>
      </c>
      <c r="AC212" s="84">
        <f>INDEX(AE212:AG212,AA212)</f>
        <v>10.75</v>
      </c>
      <c r="AD212" s="7" t="s">
        <v>44</v>
      </c>
      <c r="AE212" s="85">
        <v>9.75</v>
      </c>
      <c r="AF212" s="86">
        <v>10.75</v>
      </c>
      <c r="AG212" s="87">
        <v>11.5</v>
      </c>
      <c r="AH212" s="58"/>
      <c r="AO212" s="24" t="s">
        <v>16</v>
      </c>
      <c r="AP212" s="16" t="s">
        <v>42</v>
      </c>
      <c r="AQ212" s="3"/>
      <c r="AR212" s="3"/>
      <c r="AS212" s="3"/>
      <c r="AT212" s="3"/>
      <c r="AU212" s="3"/>
      <c r="AV212" s="17" t="s">
        <v>43</v>
      </c>
      <c r="AW212" s="44">
        <v>2</v>
      </c>
      <c r="AY212" s="84">
        <f>INDEX(BA212:BC212,AW212)</f>
        <v>10.75</v>
      </c>
      <c r="AZ212" s="7" t="s">
        <v>44</v>
      </c>
      <c r="BA212" s="85">
        <v>9.75</v>
      </c>
      <c r="BB212" s="86">
        <v>10.75</v>
      </c>
      <c r="BC212" s="87">
        <v>11.5</v>
      </c>
      <c r="BD212" s="58"/>
      <c r="BK212" s="24" t="s">
        <v>16</v>
      </c>
      <c r="BL212" s="16" t="s">
        <v>42</v>
      </c>
      <c r="BM212" s="3"/>
      <c r="BN212" s="3"/>
      <c r="BO212" s="3"/>
      <c r="BP212" s="3"/>
      <c r="BQ212" s="3"/>
      <c r="BR212" s="17" t="s">
        <v>43</v>
      </c>
      <c r="BS212" s="44">
        <v>2</v>
      </c>
      <c r="BU212" s="84">
        <f>INDEX(BW212:BY212,BS212)</f>
        <v>10.75</v>
      </c>
      <c r="BV212" s="7" t="s">
        <v>44</v>
      </c>
      <c r="BW212" s="85">
        <v>9.75</v>
      </c>
      <c r="BX212" s="86">
        <v>10.75</v>
      </c>
      <c r="BY212" s="87">
        <v>11.5</v>
      </c>
      <c r="BZ212" s="58"/>
    </row>
    <row r="213" spans="1:80" x14ac:dyDescent="0.35">
      <c r="A213" s="97"/>
      <c r="B213" s="97"/>
      <c r="C213" s="97"/>
      <c r="D213" s="97"/>
      <c r="E213" s="121"/>
      <c r="F213" s="97"/>
      <c r="G213" s="97"/>
      <c r="H213" s="97"/>
      <c r="I213" s="97">
        <f>L202*K203+L212*K213+L222*K223</f>
        <v>0.23124432709073212</v>
      </c>
      <c r="J213" s="97"/>
      <c r="K213" s="117">
        <f>O209*N209+O212*N212+O215*N215</f>
        <v>0.21584323345361098</v>
      </c>
      <c r="L213" s="97"/>
      <c r="M213" s="117"/>
      <c r="N213" s="97"/>
      <c r="O213" s="128"/>
      <c r="P213" s="126"/>
      <c r="Q213" s="97"/>
      <c r="R213" s="97"/>
      <c r="S213" s="24" t="s">
        <v>16</v>
      </c>
      <c r="T213" s="16" t="s">
        <v>45</v>
      </c>
      <c r="V213" s="3"/>
      <c r="W213" s="3"/>
      <c r="X213" s="3"/>
      <c r="Y213" s="3"/>
      <c r="Z213" s="17" t="s">
        <v>43</v>
      </c>
      <c r="AA213" s="44">
        <v>2</v>
      </c>
      <c r="AB213" s="7"/>
      <c r="AC213" s="41">
        <f>INDEX(AE213:AG213,AA213)</f>
        <v>9.5</v>
      </c>
      <c r="AD213" s="7" t="s">
        <v>46</v>
      </c>
      <c r="AE213" s="85">
        <v>9.25</v>
      </c>
      <c r="AF213" s="86">
        <v>9.5</v>
      </c>
      <c r="AG213" s="87">
        <v>9.75</v>
      </c>
      <c r="AH213" s="58"/>
      <c r="AO213" s="24" t="s">
        <v>16</v>
      </c>
      <c r="AP213" s="16" t="s">
        <v>45</v>
      </c>
      <c r="AR213" s="3"/>
      <c r="AS213" s="3"/>
      <c r="AT213" s="3"/>
      <c r="AU213" s="3"/>
      <c r="AV213" s="17" t="s">
        <v>43</v>
      </c>
      <c r="AW213" s="44">
        <v>2</v>
      </c>
      <c r="AX213" s="7"/>
      <c r="AY213" s="41">
        <f>INDEX(BA213:BC213,AW213)</f>
        <v>9.5</v>
      </c>
      <c r="AZ213" s="7" t="s">
        <v>46</v>
      </c>
      <c r="BA213" s="85">
        <v>9.25</v>
      </c>
      <c r="BB213" s="86">
        <v>9.5</v>
      </c>
      <c r="BC213" s="87">
        <v>9.75</v>
      </c>
      <c r="BD213" s="58"/>
      <c r="BK213" s="24" t="s">
        <v>16</v>
      </c>
      <c r="BL213" s="16" t="s">
        <v>45</v>
      </c>
      <c r="BN213" s="3"/>
      <c r="BO213" s="3"/>
      <c r="BP213" s="3"/>
      <c r="BQ213" s="3"/>
      <c r="BR213" s="17" t="s">
        <v>43</v>
      </c>
      <c r="BS213" s="44">
        <v>2</v>
      </c>
      <c r="BT213" s="7"/>
      <c r="BU213" s="41">
        <f>INDEX(BW213:BY213,BS213)</f>
        <v>9.5</v>
      </c>
      <c r="BV213" s="7" t="s">
        <v>46</v>
      </c>
      <c r="BW213" s="85">
        <v>9.25</v>
      </c>
      <c r="BX213" s="86">
        <v>9.5</v>
      </c>
      <c r="BY213" s="87">
        <v>9.75</v>
      </c>
      <c r="BZ213" s="58"/>
    </row>
    <row r="214" spans="1:80" x14ac:dyDescent="0.35">
      <c r="A214" s="97"/>
      <c r="B214" s="97"/>
      <c r="C214" s="97"/>
      <c r="D214" s="97"/>
      <c r="E214" s="121"/>
      <c r="F214" s="97"/>
      <c r="G214" s="97"/>
      <c r="H214" s="97"/>
      <c r="I214" s="97"/>
      <c r="J214" s="97"/>
      <c r="K214" s="117"/>
      <c r="L214" s="97"/>
      <c r="M214" s="123"/>
      <c r="N214" s="97"/>
      <c r="O214" s="128"/>
      <c r="P214" s="126"/>
      <c r="Q214" s="97"/>
      <c r="R214" s="97"/>
      <c r="S214" s="24"/>
      <c r="T214" s="16" t="s">
        <v>47</v>
      </c>
      <c r="V214" s="3"/>
      <c r="W214" s="3"/>
      <c r="X214" s="3"/>
      <c r="Y214" s="3"/>
      <c r="Z214" s="17" t="s">
        <v>48</v>
      </c>
      <c r="AA214" s="44">
        <v>2</v>
      </c>
      <c r="AB214" s="7"/>
      <c r="AC214" s="84">
        <f>INDEX(AE214:AG214,AA214)</f>
        <v>14.5</v>
      </c>
      <c r="AD214" s="7" t="s">
        <v>49</v>
      </c>
      <c r="AE214" s="88">
        <v>13</v>
      </c>
      <c r="AF214" s="89">
        <v>14.5</v>
      </c>
      <c r="AG214" s="90">
        <v>17</v>
      </c>
      <c r="AH214" s="58"/>
      <c r="AO214" s="24"/>
      <c r="AP214" s="16" t="s">
        <v>47</v>
      </c>
      <c r="AR214" s="3"/>
      <c r="AS214" s="3"/>
      <c r="AT214" s="3"/>
      <c r="AU214" s="3"/>
      <c r="AV214" s="17" t="s">
        <v>48</v>
      </c>
      <c r="AW214" s="44">
        <v>2</v>
      </c>
      <c r="AX214" s="7"/>
      <c r="AY214" s="84">
        <f>INDEX(BA214:BC214,AW214)</f>
        <v>14.5</v>
      </c>
      <c r="AZ214" s="7" t="s">
        <v>49</v>
      </c>
      <c r="BA214" s="88">
        <v>13</v>
      </c>
      <c r="BB214" s="89">
        <v>14.5</v>
      </c>
      <c r="BC214" s="90">
        <v>17</v>
      </c>
      <c r="BD214" s="58"/>
      <c r="BK214" s="24"/>
      <c r="BL214" s="16" t="s">
        <v>47</v>
      </c>
      <c r="BN214" s="3"/>
      <c r="BO214" s="3"/>
      <c r="BP214" s="3"/>
      <c r="BQ214" s="3"/>
      <c r="BR214" s="17" t="s">
        <v>48</v>
      </c>
      <c r="BS214" s="44">
        <v>2</v>
      </c>
      <c r="BT214" s="7"/>
      <c r="BU214" s="84">
        <f>INDEX(BW214:BY214,BS214)</f>
        <v>14.5</v>
      </c>
      <c r="BV214" s="7" t="s">
        <v>49</v>
      </c>
      <c r="BW214" s="88">
        <v>13</v>
      </c>
      <c r="BX214" s="89">
        <v>14.5</v>
      </c>
      <c r="BY214" s="90">
        <v>17</v>
      </c>
      <c r="BZ214" s="58"/>
    </row>
    <row r="215" spans="1:80" x14ac:dyDescent="0.35">
      <c r="A215" s="97"/>
      <c r="B215" s="97"/>
      <c r="C215" s="97"/>
      <c r="D215" s="97"/>
      <c r="E215" s="121"/>
      <c r="F215" s="97"/>
      <c r="G215" s="97"/>
      <c r="H215" s="97"/>
      <c r="I215" s="97"/>
      <c r="J215" s="97"/>
      <c r="K215" s="117"/>
      <c r="L215" s="97"/>
      <c r="M215" s="122" t="s">
        <v>29</v>
      </c>
      <c r="N215" s="122">
        <v>0.25</v>
      </c>
      <c r="O215" s="128">
        <f>1-EXP(-P215*$E$2)</f>
        <v>5.1660287928990689E-2</v>
      </c>
      <c r="P215" s="126">
        <f>BZ198</f>
        <v>1.5912748455380081</v>
      </c>
      <c r="Q215" s="97"/>
      <c r="R215" s="97"/>
      <c r="T215" s="16"/>
      <c r="AA215" s="66"/>
      <c r="AH215" s="58"/>
      <c r="AP215" s="16"/>
      <c r="AW215" s="66"/>
      <c r="BD215" s="58"/>
      <c r="BL215" s="16"/>
      <c r="BS215" s="66"/>
      <c r="BZ215" s="58"/>
    </row>
    <row r="216" spans="1:80" x14ac:dyDescent="0.35">
      <c r="A216" s="97"/>
      <c r="B216" s="97"/>
      <c r="C216" s="97"/>
      <c r="D216" s="97"/>
      <c r="E216" s="121"/>
      <c r="F216" s="97"/>
      <c r="G216" s="97"/>
      <c r="H216" s="97"/>
      <c r="I216" s="97"/>
      <c r="J216" s="97"/>
      <c r="K216" s="117"/>
      <c r="L216" s="97"/>
      <c r="M216" s="97"/>
      <c r="N216" s="97"/>
      <c r="O216" s="128"/>
      <c r="P216" s="126"/>
      <c r="Q216" s="97"/>
      <c r="R216" s="97"/>
      <c r="S216" s="24" t="s">
        <v>16</v>
      </c>
      <c r="T216" s="22"/>
      <c r="U216" s="3"/>
      <c r="V216" s="3"/>
      <c r="W216" s="3"/>
      <c r="X216" s="3"/>
      <c r="Y216" s="3"/>
      <c r="AA216" s="66"/>
      <c r="AH216" s="58"/>
      <c r="AO216" s="24" t="s">
        <v>16</v>
      </c>
      <c r="AP216" s="22"/>
      <c r="AQ216" s="3"/>
      <c r="AR216" s="3"/>
      <c r="AS216" s="3"/>
      <c r="AT216" s="3"/>
      <c r="AU216" s="3"/>
      <c r="AW216" s="66"/>
      <c r="BD216" s="58"/>
      <c r="BK216" s="24" t="s">
        <v>16</v>
      </c>
      <c r="BL216" s="22"/>
      <c r="BM216" s="3"/>
      <c r="BN216" s="3"/>
      <c r="BO216" s="3"/>
      <c r="BP216" s="3"/>
      <c r="BQ216" s="3"/>
      <c r="BS216" s="66"/>
      <c r="BZ216" s="58"/>
    </row>
    <row r="217" spans="1:80" x14ac:dyDescent="0.35">
      <c r="A217" s="97"/>
      <c r="B217" s="97"/>
      <c r="C217" s="97"/>
      <c r="D217" s="97"/>
      <c r="E217" s="121"/>
      <c r="F217" s="97"/>
      <c r="G217" s="97"/>
      <c r="H217" s="97"/>
      <c r="I217" s="97"/>
      <c r="J217" s="97"/>
      <c r="K217" s="117"/>
      <c r="L217" s="97"/>
      <c r="M217" s="155" t="s">
        <v>42</v>
      </c>
      <c r="N217" s="155"/>
      <c r="O217" s="128"/>
      <c r="P217" s="126"/>
      <c r="Q217" s="97"/>
      <c r="R217" s="97"/>
      <c r="S217" s="46" t="s">
        <v>16</v>
      </c>
      <c r="T217" s="43"/>
      <c r="U217" s="95"/>
      <c r="V217" s="3"/>
      <c r="W217" s="3"/>
      <c r="X217" s="3"/>
      <c r="Y217" s="3"/>
      <c r="Z217" s="17"/>
      <c r="AA217" s="65"/>
      <c r="AB217" s="7"/>
      <c r="AC217" s="42"/>
      <c r="AD217" s="7"/>
      <c r="AE217" s="42"/>
      <c r="AF217" s="42"/>
      <c r="AG217" s="42"/>
      <c r="AH217" s="58"/>
      <c r="AM217" s="95"/>
      <c r="AN217" s="95"/>
      <c r="AO217" s="46" t="s">
        <v>16</v>
      </c>
      <c r="AP217" s="43"/>
      <c r="AQ217" s="95"/>
      <c r="AR217" s="3"/>
      <c r="AS217" s="3"/>
      <c r="AT217" s="3"/>
      <c r="AU217" s="3"/>
      <c r="AV217" s="17"/>
      <c r="AW217" s="65"/>
      <c r="AX217" s="7"/>
      <c r="AY217" s="42"/>
      <c r="AZ217" s="7"/>
      <c r="BA217" s="42"/>
      <c r="BB217" s="42"/>
      <c r="BC217" s="42"/>
      <c r="BD217" s="58"/>
      <c r="BH217" s="95"/>
      <c r="BI217" s="95"/>
      <c r="BJ217" s="95"/>
      <c r="BK217" s="46" t="s">
        <v>16</v>
      </c>
      <c r="BL217" s="43"/>
      <c r="BM217" s="95"/>
      <c r="BN217" s="3"/>
      <c r="BO217" s="3"/>
      <c r="BP217" s="3"/>
      <c r="BQ217" s="3"/>
      <c r="BR217" s="17"/>
      <c r="BS217" s="65"/>
      <c r="BT217" s="7"/>
      <c r="BU217" s="42"/>
      <c r="BV217" s="7"/>
      <c r="BW217" s="42"/>
      <c r="BX217" s="42"/>
      <c r="BY217" s="42"/>
      <c r="BZ217" s="58"/>
      <c r="CB217" s="95"/>
    </row>
    <row r="218" spans="1:80" x14ac:dyDescent="0.35">
      <c r="A218" s="97"/>
      <c r="B218" s="97"/>
      <c r="C218" s="97"/>
      <c r="D218" s="97"/>
      <c r="E218" s="121"/>
      <c r="F218" s="97"/>
      <c r="G218" s="97"/>
      <c r="H218" s="97"/>
      <c r="I218" s="97"/>
      <c r="J218" s="97"/>
      <c r="K218" s="117"/>
      <c r="L218" s="97"/>
      <c r="M218" s="97"/>
      <c r="N218" s="97"/>
      <c r="O218" s="128"/>
      <c r="P218" s="126"/>
      <c r="Q218" s="97"/>
      <c r="R218" s="97"/>
      <c r="S218" s="2"/>
      <c r="T218" s="29"/>
      <c r="U218" s="19"/>
      <c r="V218" s="19"/>
      <c r="W218" s="19"/>
      <c r="X218" s="19"/>
      <c r="Y218" s="19"/>
      <c r="Z218" s="20"/>
      <c r="AA218" s="20"/>
      <c r="AB218" s="9"/>
      <c r="AC218" s="30"/>
      <c r="AD218" s="61"/>
      <c r="AE218" s="30"/>
      <c r="AF218" s="30"/>
      <c r="AG218" s="30"/>
      <c r="AH218" s="59"/>
      <c r="AJ218" s="42"/>
      <c r="AO218" s="2"/>
      <c r="AP218" s="29"/>
      <c r="AQ218" s="19"/>
      <c r="AR218" s="19"/>
      <c r="AS218" s="19"/>
      <c r="AT218" s="19"/>
      <c r="AU218" s="19"/>
      <c r="AV218" s="20"/>
      <c r="AW218" s="20"/>
      <c r="AX218" s="9"/>
      <c r="AY218" s="30"/>
      <c r="AZ218" s="61"/>
      <c r="BA218" s="30"/>
      <c r="BB218" s="30"/>
      <c r="BC218" s="30"/>
      <c r="BD218" s="59"/>
      <c r="BF218" s="42"/>
      <c r="BK218" s="2"/>
      <c r="BL218" s="29"/>
      <c r="BM218" s="19"/>
      <c r="BN218" s="19"/>
      <c r="BO218" s="19"/>
      <c r="BP218" s="19"/>
      <c r="BQ218" s="19"/>
      <c r="BR218" s="20"/>
      <c r="BS218" s="20"/>
      <c r="BT218" s="9"/>
      <c r="BU218" s="30"/>
      <c r="BV218" s="61"/>
      <c r="BW218" s="30"/>
      <c r="BX218" s="30"/>
      <c r="BY218" s="30"/>
      <c r="BZ218" s="59"/>
    </row>
    <row r="219" spans="1:80" ht="13.15" thickBot="1" x14ac:dyDescent="0.4">
      <c r="A219" s="97"/>
      <c r="B219" s="97"/>
      <c r="C219" s="97"/>
      <c r="D219" s="97"/>
      <c r="E219" s="121"/>
      <c r="F219" s="97"/>
      <c r="G219" s="97"/>
      <c r="H219" s="97"/>
      <c r="I219" s="97"/>
      <c r="J219" s="97"/>
      <c r="K219" s="117"/>
      <c r="L219" s="97"/>
      <c r="M219" s="120" t="s">
        <v>31</v>
      </c>
      <c r="N219" s="122">
        <v>0.25</v>
      </c>
      <c r="O219" s="128">
        <f>1-EXP(-P219*$E$2)</f>
        <v>0.15611241258556996</v>
      </c>
      <c r="P219" s="126">
        <f>BY200</f>
        <v>5.0920795057216273</v>
      </c>
      <c r="Q219" s="97"/>
      <c r="R219" s="97"/>
    </row>
    <row r="220" spans="1:80" ht="15.4" x14ac:dyDescent="0.45">
      <c r="A220" s="97"/>
      <c r="B220" s="97"/>
      <c r="C220" s="97"/>
      <c r="D220" s="97"/>
      <c r="E220" s="121"/>
      <c r="F220" s="97"/>
      <c r="G220" s="97"/>
      <c r="H220" s="97"/>
      <c r="I220" s="97"/>
      <c r="J220" s="97"/>
      <c r="K220" s="117"/>
      <c r="L220" s="97"/>
      <c r="M220" s="117"/>
      <c r="N220" s="97"/>
      <c r="O220" s="128"/>
      <c r="P220" s="126"/>
      <c r="Q220" s="97"/>
      <c r="R220" s="97"/>
      <c r="S220" s="53" t="s">
        <v>50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O220" s="53" t="s">
        <v>50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K220" s="53" t="s">
        <v>50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</row>
    <row r="221" spans="1:80" ht="15.4" x14ac:dyDescent="0.45">
      <c r="A221" s="97"/>
      <c r="B221" s="97"/>
      <c r="C221" s="97"/>
      <c r="D221" s="97"/>
      <c r="E221" s="121"/>
      <c r="F221" s="97"/>
      <c r="G221" s="97"/>
      <c r="H221" s="97"/>
      <c r="I221" s="97"/>
      <c r="J221" s="97"/>
      <c r="K221" s="123"/>
      <c r="L221" s="97"/>
      <c r="M221" s="117"/>
      <c r="N221" s="97"/>
      <c r="O221" s="128"/>
      <c r="P221" s="126"/>
      <c r="Q221" s="97"/>
      <c r="R221" s="97"/>
      <c r="S221" s="54"/>
      <c r="AO221" s="54"/>
      <c r="BK221" s="54"/>
    </row>
    <row r="222" spans="1:80" ht="15.4" x14ac:dyDescent="0.45">
      <c r="A222" s="97"/>
      <c r="B222" s="97"/>
      <c r="C222" s="97"/>
      <c r="D222" s="97"/>
      <c r="E222" s="121"/>
      <c r="F222" s="97"/>
      <c r="G222" s="97"/>
      <c r="H222" s="97"/>
      <c r="I222" s="97"/>
      <c r="J222" s="97"/>
      <c r="K222" s="122" t="s">
        <v>29</v>
      </c>
      <c r="L222" s="122">
        <v>0.25</v>
      </c>
      <c r="M222" s="120" t="s">
        <v>30</v>
      </c>
      <c r="N222" s="122">
        <v>0.5</v>
      </c>
      <c r="O222" s="128">
        <f>1-EXP(-P222*$E$2)</f>
        <v>0.10065179050907525</v>
      </c>
      <c r="P222" s="126">
        <f>BY199</f>
        <v>3.1825496910760158</v>
      </c>
      <c r="Q222" s="97"/>
      <c r="R222" s="97"/>
      <c r="S222" s="54" t="str">
        <f>jm</f>
        <v>Joint Venture</v>
      </c>
      <c r="AO222" s="54" t="str">
        <f>nb</f>
        <v>Joint Venture</v>
      </c>
      <c r="BK222" s="54" t="str">
        <f>rrff</f>
        <v>Joint Venture</v>
      </c>
    </row>
    <row r="223" spans="1:80" x14ac:dyDescent="0.35">
      <c r="A223" s="97"/>
      <c r="B223" s="97"/>
      <c r="C223" s="97"/>
      <c r="D223" s="97"/>
      <c r="E223" s="121"/>
      <c r="F223" s="97"/>
      <c r="G223" s="97"/>
      <c r="H223" s="97"/>
      <c r="I223" s="97"/>
      <c r="J223" s="97"/>
      <c r="K223" s="97">
        <f>O219*N219+O222*N222+O225*N225</f>
        <v>9.460237361994045E-2</v>
      </c>
      <c r="L223" s="97"/>
      <c r="M223" s="117"/>
      <c r="N223" s="97"/>
      <c r="O223" s="128"/>
      <c r="P223" s="126"/>
      <c r="Q223" s="97"/>
      <c r="R223" s="97"/>
      <c r="S223" s="13"/>
      <c r="AO223" s="13"/>
      <c r="BK223" s="13"/>
    </row>
    <row r="224" spans="1:80" ht="15" x14ac:dyDescent="0.4">
      <c r="A224" s="97"/>
      <c r="B224" s="97"/>
      <c r="C224" s="97"/>
      <c r="D224" s="97"/>
      <c r="E224" s="121"/>
      <c r="F224" s="97"/>
      <c r="G224" s="97"/>
      <c r="H224" s="97"/>
      <c r="I224" s="97"/>
      <c r="J224" s="97"/>
      <c r="K224" s="97"/>
      <c r="L224" s="97"/>
      <c r="M224" s="123"/>
      <c r="N224" s="97"/>
      <c r="O224" s="128"/>
      <c r="P224" s="126"/>
      <c r="Q224" s="97"/>
      <c r="R224" s="97"/>
      <c r="S224" s="51" t="s">
        <v>51</v>
      </c>
      <c r="T224" s="48"/>
      <c r="U224" s="48"/>
      <c r="Y224" s="7"/>
      <c r="Z224" s="52">
        <v>2026</v>
      </c>
      <c r="AA224" s="52">
        <f t="shared" ref="AA224:AI224" si="59">Z224+1</f>
        <v>2027</v>
      </c>
      <c r="AB224" s="52">
        <f t="shared" si="59"/>
        <v>2028</v>
      </c>
      <c r="AC224" s="52">
        <f t="shared" si="59"/>
        <v>2029</v>
      </c>
      <c r="AD224" s="52">
        <f t="shared" si="59"/>
        <v>2030</v>
      </c>
      <c r="AE224" s="52">
        <f t="shared" si="59"/>
        <v>2031</v>
      </c>
      <c r="AF224" s="52">
        <f t="shared" si="59"/>
        <v>2032</v>
      </c>
      <c r="AG224" s="52">
        <f t="shared" si="59"/>
        <v>2033</v>
      </c>
      <c r="AH224" s="52">
        <f t="shared" si="59"/>
        <v>2034</v>
      </c>
      <c r="AI224" s="52">
        <f t="shared" si="59"/>
        <v>2035</v>
      </c>
      <c r="AO224" s="51" t="s">
        <v>51</v>
      </c>
      <c r="AP224" s="48"/>
      <c r="AQ224" s="48"/>
      <c r="AU224" s="7"/>
      <c r="AV224" s="52">
        <v>2026</v>
      </c>
      <c r="AW224" s="52">
        <f t="shared" ref="AW224:BE224" si="60">AV224+1</f>
        <v>2027</v>
      </c>
      <c r="AX224" s="52">
        <f t="shared" si="60"/>
        <v>2028</v>
      </c>
      <c r="AY224" s="52">
        <f t="shared" si="60"/>
        <v>2029</v>
      </c>
      <c r="AZ224" s="52">
        <f t="shared" si="60"/>
        <v>2030</v>
      </c>
      <c r="BA224" s="52">
        <f t="shared" si="60"/>
        <v>2031</v>
      </c>
      <c r="BB224" s="52">
        <f t="shared" si="60"/>
        <v>2032</v>
      </c>
      <c r="BC224" s="52">
        <f t="shared" si="60"/>
        <v>2033</v>
      </c>
      <c r="BD224" s="52">
        <f t="shared" si="60"/>
        <v>2034</v>
      </c>
      <c r="BE224" s="52">
        <f t="shared" si="60"/>
        <v>2035</v>
      </c>
      <c r="BK224" s="51" t="s">
        <v>51</v>
      </c>
      <c r="BL224" s="48"/>
      <c r="BM224" s="48"/>
      <c r="BQ224" s="7"/>
      <c r="BR224" s="52">
        <v>2026</v>
      </c>
      <c r="BS224" s="52">
        <f t="shared" ref="BS224:CA224" si="61">BR224+1</f>
        <v>2027</v>
      </c>
      <c r="BT224" s="52">
        <f t="shared" si="61"/>
        <v>2028</v>
      </c>
      <c r="BU224" s="52">
        <f t="shared" si="61"/>
        <v>2029</v>
      </c>
      <c r="BV224" s="52">
        <f t="shared" si="61"/>
        <v>2030</v>
      </c>
      <c r="BW224" s="52">
        <f t="shared" si="61"/>
        <v>2031</v>
      </c>
      <c r="BX224" s="52">
        <f t="shared" si="61"/>
        <v>2032</v>
      </c>
      <c r="BY224" s="52">
        <f t="shared" si="61"/>
        <v>2033</v>
      </c>
      <c r="BZ224" s="52">
        <f t="shared" si="61"/>
        <v>2034</v>
      </c>
      <c r="CA224" s="52">
        <f t="shared" si="61"/>
        <v>2035</v>
      </c>
    </row>
    <row r="225" spans="1:80" ht="15" x14ac:dyDescent="0.4">
      <c r="A225" s="97"/>
      <c r="B225" s="97"/>
      <c r="C225" s="97"/>
      <c r="D225" s="97"/>
      <c r="E225" s="121"/>
      <c r="F225" s="97"/>
      <c r="G225" s="97"/>
      <c r="H225" s="97"/>
      <c r="I225" s="97"/>
      <c r="J225" s="97"/>
      <c r="K225" s="97"/>
      <c r="L225" s="97"/>
      <c r="M225" s="122" t="s">
        <v>29</v>
      </c>
      <c r="N225" s="122">
        <v>0.25</v>
      </c>
      <c r="O225" s="128">
        <f>1-EXP(-P225*$E$2)</f>
        <v>2.0993500876041349E-2</v>
      </c>
      <c r="P225" s="126">
        <f>BY198</f>
        <v>0.63650993821520341</v>
      </c>
      <c r="Q225" s="97"/>
      <c r="R225" s="97"/>
      <c r="S225" s="51" t="s">
        <v>52</v>
      </c>
      <c r="T225" s="48"/>
      <c r="U225" s="48"/>
      <c r="Y225" s="7"/>
      <c r="Z225" s="52">
        <f t="shared" ref="Z225:AI225" si="62">Z224-$Z$224</f>
        <v>0</v>
      </c>
      <c r="AA225" s="52">
        <f t="shared" si="62"/>
        <v>1</v>
      </c>
      <c r="AB225" s="52">
        <f t="shared" si="62"/>
        <v>2</v>
      </c>
      <c r="AC225" s="52">
        <f t="shared" si="62"/>
        <v>3</v>
      </c>
      <c r="AD225" s="52">
        <f t="shared" si="62"/>
        <v>4</v>
      </c>
      <c r="AE225" s="52">
        <f t="shared" si="62"/>
        <v>5</v>
      </c>
      <c r="AF225" s="52">
        <f t="shared" si="62"/>
        <v>6</v>
      </c>
      <c r="AG225" s="52">
        <f t="shared" si="62"/>
        <v>7</v>
      </c>
      <c r="AH225" s="52">
        <f t="shared" si="62"/>
        <v>8</v>
      </c>
      <c r="AI225" s="52">
        <f t="shared" si="62"/>
        <v>9</v>
      </c>
      <c r="AO225" s="51" t="s">
        <v>52</v>
      </c>
      <c r="AP225" s="48"/>
      <c r="AQ225" s="48"/>
      <c r="AU225" s="7"/>
      <c r="AV225" s="52">
        <f t="shared" ref="AV225:BE225" si="63">AV224-$AV$224</f>
        <v>0</v>
      </c>
      <c r="AW225" s="52">
        <f t="shared" si="63"/>
        <v>1</v>
      </c>
      <c r="AX225" s="52">
        <f t="shared" si="63"/>
        <v>2</v>
      </c>
      <c r="AY225" s="52">
        <f t="shared" si="63"/>
        <v>3</v>
      </c>
      <c r="AZ225" s="52">
        <f t="shared" si="63"/>
        <v>4</v>
      </c>
      <c r="BA225" s="52">
        <f t="shared" si="63"/>
        <v>5</v>
      </c>
      <c r="BB225" s="52">
        <f t="shared" si="63"/>
        <v>6</v>
      </c>
      <c r="BC225" s="52">
        <f t="shared" si="63"/>
        <v>7</v>
      </c>
      <c r="BD225" s="52">
        <f t="shared" si="63"/>
        <v>8</v>
      </c>
      <c r="BE225" s="52">
        <f t="shared" si="63"/>
        <v>9</v>
      </c>
      <c r="BK225" s="51" t="s">
        <v>52</v>
      </c>
      <c r="BL225" s="48"/>
      <c r="BM225" s="48"/>
      <c r="BQ225" s="7"/>
      <c r="BR225" s="52">
        <f t="shared" ref="BR225:CA225" si="64">BR224-$BR$224</f>
        <v>0</v>
      </c>
      <c r="BS225" s="52">
        <f t="shared" si="64"/>
        <v>1</v>
      </c>
      <c r="BT225" s="52">
        <f t="shared" si="64"/>
        <v>2</v>
      </c>
      <c r="BU225" s="52">
        <f t="shared" si="64"/>
        <v>3</v>
      </c>
      <c r="BV225" s="52">
        <f t="shared" si="64"/>
        <v>4</v>
      </c>
      <c r="BW225" s="52">
        <f t="shared" si="64"/>
        <v>5</v>
      </c>
      <c r="BX225" s="52">
        <f t="shared" si="64"/>
        <v>6</v>
      </c>
      <c r="BY225" s="52">
        <f t="shared" si="64"/>
        <v>7</v>
      </c>
      <c r="BZ225" s="52">
        <f t="shared" si="64"/>
        <v>8</v>
      </c>
      <c r="CA225" s="52">
        <f t="shared" si="64"/>
        <v>9</v>
      </c>
    </row>
    <row r="226" spans="1:80" ht="15.4" x14ac:dyDescent="0.45">
      <c r="A226" s="97"/>
      <c r="B226" s="97"/>
      <c r="C226" s="97"/>
      <c r="D226" s="97"/>
      <c r="E226" s="121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49"/>
      <c r="T226" s="48"/>
      <c r="U226" s="48"/>
      <c r="Y226" s="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8"/>
      <c r="AK226" s="68"/>
      <c r="AL226" s="68"/>
      <c r="AM226" s="68"/>
      <c r="AN226" s="68"/>
      <c r="AO226" s="49"/>
      <c r="AP226" s="48"/>
      <c r="AQ226" s="48"/>
      <c r="AU226" s="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8"/>
      <c r="BG226" s="68"/>
      <c r="BK226" s="49"/>
      <c r="BL226" s="48"/>
      <c r="BM226" s="48"/>
      <c r="BQ226" s="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</row>
    <row r="227" spans="1:80" ht="15.4" x14ac:dyDescent="0.45">
      <c r="A227" s="97"/>
      <c r="B227" s="97"/>
      <c r="C227" s="97"/>
      <c r="D227" s="97"/>
      <c r="E227" s="121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49" t="s">
        <v>53</v>
      </c>
      <c r="T227" s="50"/>
      <c r="U227" s="50"/>
      <c r="V227" s="3"/>
      <c r="W227" s="3"/>
      <c r="X227" s="3"/>
      <c r="Y227" s="3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8"/>
      <c r="AK227" s="68"/>
      <c r="AL227" s="68"/>
      <c r="AM227" s="68"/>
      <c r="AN227" s="68"/>
      <c r="AO227" s="49" t="s">
        <v>53</v>
      </c>
      <c r="AP227" s="50"/>
      <c r="AQ227" s="50"/>
      <c r="AR227" s="3"/>
      <c r="AS227" s="3"/>
      <c r="AT227" s="3"/>
      <c r="AU227" s="3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8"/>
      <c r="BG227" s="68"/>
      <c r="BK227" s="49" t="s">
        <v>53</v>
      </c>
      <c r="BL227" s="50"/>
      <c r="BM227" s="50"/>
      <c r="BN227" s="3"/>
      <c r="BO227" s="3"/>
      <c r="BP227" s="3"/>
      <c r="BQ227" s="3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3"/>
    </row>
    <row r="228" spans="1:80" ht="15" x14ac:dyDescent="0.4">
      <c r="A228" s="97"/>
      <c r="B228" s="97"/>
      <c r="C228" s="97"/>
      <c r="D228" s="97"/>
      <c r="E228" s="121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48"/>
      <c r="T228" s="48" t="s">
        <v>54</v>
      </c>
      <c r="U228" s="48"/>
      <c r="Y228" s="11" t="s">
        <v>55</v>
      </c>
      <c r="Z228" s="70">
        <f>IF(nnb&lt;3,ssdd,0)</f>
        <v>0</v>
      </c>
      <c r="AA228" s="70">
        <f t="shared" ref="AA228:AI229" si="65">Z228*(1+$AC$210)</f>
        <v>0</v>
      </c>
      <c r="AB228" s="70">
        <f t="shared" si="65"/>
        <v>0</v>
      </c>
      <c r="AC228" s="70">
        <f t="shared" si="65"/>
        <v>0</v>
      </c>
      <c r="AD228" s="70">
        <f t="shared" si="65"/>
        <v>0</v>
      </c>
      <c r="AE228" s="70">
        <f t="shared" si="65"/>
        <v>0</v>
      </c>
      <c r="AF228" s="70">
        <f t="shared" si="65"/>
        <v>0</v>
      </c>
      <c r="AG228" s="70">
        <f t="shared" si="65"/>
        <v>0</v>
      </c>
      <c r="AH228" s="70">
        <f t="shared" si="65"/>
        <v>0</v>
      </c>
      <c r="AI228" s="70">
        <f t="shared" si="65"/>
        <v>0</v>
      </c>
      <c r="AJ228" s="68"/>
      <c r="AK228" s="68"/>
      <c r="AL228" s="68"/>
      <c r="AM228" s="68"/>
      <c r="AN228" s="68"/>
      <c r="AO228" s="48"/>
      <c r="AP228" s="48" t="s">
        <v>54</v>
      </c>
      <c r="AQ228" s="48"/>
      <c r="AU228" s="11" t="s">
        <v>55</v>
      </c>
      <c r="AV228" s="70">
        <f>IF(vvg&lt;3,ggghhh,0)</f>
        <v>0</v>
      </c>
      <c r="AW228" s="70">
        <f t="shared" ref="AW228:BE229" si="66">AV228*(1+$AY$210)</f>
        <v>0</v>
      </c>
      <c r="AX228" s="70">
        <f t="shared" si="66"/>
        <v>0</v>
      </c>
      <c r="AY228" s="70">
        <f t="shared" si="66"/>
        <v>0</v>
      </c>
      <c r="AZ228" s="70">
        <f t="shared" si="66"/>
        <v>0</v>
      </c>
      <c r="BA228" s="70">
        <f t="shared" si="66"/>
        <v>0</v>
      </c>
      <c r="BB228" s="70">
        <f t="shared" si="66"/>
        <v>0</v>
      </c>
      <c r="BC228" s="70">
        <f t="shared" si="66"/>
        <v>0</v>
      </c>
      <c r="BD228" s="70">
        <f t="shared" si="66"/>
        <v>0</v>
      </c>
      <c r="BE228" s="70">
        <f t="shared" si="66"/>
        <v>0</v>
      </c>
      <c r="BF228" s="68"/>
      <c r="BG228" s="68"/>
      <c r="BK228" s="48"/>
      <c r="BL228" s="48" t="s">
        <v>54</v>
      </c>
      <c r="BM228" s="48"/>
      <c r="BQ228" s="11" t="s">
        <v>55</v>
      </c>
      <c r="BR228" s="70">
        <f>IF(dsav&lt;3,cccvvv,0)</f>
        <v>0</v>
      </c>
      <c r="BS228" s="70">
        <f t="shared" ref="BS228:CA229" si="67">BR228*(1+$BU$210)</f>
        <v>0</v>
      </c>
      <c r="BT228" s="70">
        <f t="shared" si="67"/>
        <v>0</v>
      </c>
      <c r="BU228" s="70">
        <f t="shared" si="67"/>
        <v>0</v>
      </c>
      <c r="BV228" s="70">
        <f t="shared" si="67"/>
        <v>0</v>
      </c>
      <c r="BW228" s="70">
        <f t="shared" si="67"/>
        <v>0</v>
      </c>
      <c r="BX228" s="70">
        <f t="shared" si="67"/>
        <v>0</v>
      </c>
      <c r="BY228" s="70">
        <f t="shared" si="67"/>
        <v>0</v>
      </c>
      <c r="BZ228" s="70">
        <f t="shared" si="67"/>
        <v>0</v>
      </c>
      <c r="CA228" s="70">
        <f t="shared" si="67"/>
        <v>0</v>
      </c>
    </row>
    <row r="229" spans="1:80" ht="15" x14ac:dyDescent="0.4">
      <c r="A229" s="97"/>
      <c r="B229" s="97"/>
      <c r="C229" s="97"/>
      <c r="D229" s="97"/>
      <c r="E229" s="121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48"/>
      <c r="T229" s="48" t="s">
        <v>56</v>
      </c>
      <c r="U229" s="48"/>
      <c r="Y229" s="11" t="s">
        <v>55</v>
      </c>
      <c r="Z229" s="70">
        <f>IF(nnb&gt;2,ssdd*AC209,0)</f>
        <v>4</v>
      </c>
      <c r="AA229" s="70">
        <f t="shared" si="65"/>
        <v>4.4320000000000004</v>
      </c>
      <c r="AB229" s="70">
        <f t="shared" si="65"/>
        <v>4.9106560000000012</v>
      </c>
      <c r="AC229" s="70">
        <f t="shared" si="65"/>
        <v>5.4410068480000016</v>
      </c>
      <c r="AD229" s="70">
        <f t="shared" si="65"/>
        <v>6.0286355875840023</v>
      </c>
      <c r="AE229" s="70">
        <f t="shared" si="65"/>
        <v>6.6797282310430752</v>
      </c>
      <c r="AF229" s="70">
        <f t="shared" si="65"/>
        <v>7.4011388799957283</v>
      </c>
      <c r="AG229" s="70">
        <f t="shared" si="65"/>
        <v>8.2004618790352684</v>
      </c>
      <c r="AH229" s="70">
        <f t="shared" si="65"/>
        <v>9.0861117619710789</v>
      </c>
      <c r="AI229" s="70">
        <f t="shared" si="65"/>
        <v>10.067411832263957</v>
      </c>
      <c r="AJ229" s="68"/>
      <c r="AK229" s="68"/>
      <c r="AL229" s="68"/>
      <c r="AM229" s="68"/>
      <c r="AN229" s="68"/>
      <c r="AO229" s="48"/>
      <c r="AP229" s="48" t="s">
        <v>56</v>
      </c>
      <c r="AQ229" s="48"/>
      <c r="AU229" s="11" t="s">
        <v>55</v>
      </c>
      <c r="AV229" s="70">
        <f>IF(vvg&gt;2,ggghhh*AY209,0)</f>
        <v>4</v>
      </c>
      <c r="AW229" s="70">
        <f t="shared" si="66"/>
        <v>4.1440000000000001</v>
      </c>
      <c r="AX229" s="70">
        <f t="shared" si="66"/>
        <v>4.2931840000000001</v>
      </c>
      <c r="AY229" s="70">
        <f t="shared" si="66"/>
        <v>4.4477386240000003</v>
      </c>
      <c r="AZ229" s="70">
        <f t="shared" si="66"/>
        <v>4.6078572144640004</v>
      </c>
      <c r="BA229" s="70">
        <f t="shared" si="66"/>
        <v>4.7737400741847047</v>
      </c>
      <c r="BB229" s="70">
        <f t="shared" si="66"/>
        <v>4.9455947168553545</v>
      </c>
      <c r="BC229" s="70">
        <f t="shared" si="66"/>
        <v>5.1236361266621477</v>
      </c>
      <c r="BD229" s="70">
        <f t="shared" si="66"/>
        <v>5.3080870272219851</v>
      </c>
      <c r="BE229" s="70">
        <f t="shared" si="66"/>
        <v>5.4991781602019767</v>
      </c>
      <c r="BF229" s="68"/>
      <c r="BG229" s="68"/>
      <c r="BK229" s="48"/>
      <c r="BL229" s="48" t="s">
        <v>56</v>
      </c>
      <c r="BM229" s="48"/>
      <c r="BQ229" s="11" t="s">
        <v>55</v>
      </c>
      <c r="BR229" s="70">
        <f>IF(dsav&gt;2,cccvvv*BU209,0)</f>
        <v>4</v>
      </c>
      <c r="BS229" s="70">
        <f t="shared" si="67"/>
        <v>3.8719999999999999</v>
      </c>
      <c r="BT229" s="70">
        <f t="shared" si="67"/>
        <v>3.7480959999999999</v>
      </c>
      <c r="BU229" s="70">
        <f t="shared" si="67"/>
        <v>3.6281569279999997</v>
      </c>
      <c r="BV229" s="70">
        <f t="shared" si="67"/>
        <v>3.5120559063039996</v>
      </c>
      <c r="BW229" s="70">
        <f t="shared" si="67"/>
        <v>3.3996701173022714</v>
      </c>
      <c r="BX229" s="70">
        <f t="shared" si="67"/>
        <v>3.2908806735485987</v>
      </c>
      <c r="BY229" s="70">
        <f t="shared" si="67"/>
        <v>3.1855724919950434</v>
      </c>
      <c r="BZ229" s="70">
        <f t="shared" si="67"/>
        <v>3.0836341722512022</v>
      </c>
      <c r="CA229" s="70">
        <f t="shared" si="67"/>
        <v>2.9849578787391637</v>
      </c>
    </row>
    <row r="230" spans="1:80" ht="15" x14ac:dyDescent="0.4">
      <c r="A230" s="97"/>
      <c r="B230" s="97"/>
      <c r="C230" s="97"/>
      <c r="D230" s="97"/>
      <c r="E230" s="121"/>
      <c r="F230" s="97"/>
      <c r="G230" s="97"/>
      <c r="H230" s="97"/>
      <c r="I230" s="97"/>
      <c r="J230" s="97"/>
      <c r="K230" s="97"/>
      <c r="L230" s="97"/>
      <c r="M230" s="127" t="s">
        <v>84</v>
      </c>
      <c r="N230" s="127" t="s">
        <v>88</v>
      </c>
      <c r="O230" s="97"/>
      <c r="P230" s="97"/>
      <c r="Q230" s="97"/>
      <c r="R230" s="97"/>
      <c r="S230" s="48"/>
      <c r="T230" s="48" t="s">
        <v>57</v>
      </c>
      <c r="U230" s="48"/>
      <c r="Y230" s="11" t="s">
        <v>55</v>
      </c>
      <c r="Z230" s="71">
        <f>IF(nnb=1,2.5,IF(OR(nnb=2,nnb=3),8.5,IF(nnb=4,0,"error")))</f>
        <v>8.5</v>
      </c>
      <c r="AA230" s="71">
        <f t="shared" ref="AA230:AI230" si="68">$Z$230</f>
        <v>8.5</v>
      </c>
      <c r="AB230" s="71">
        <f t="shared" si="68"/>
        <v>8.5</v>
      </c>
      <c r="AC230" s="71">
        <f t="shared" si="68"/>
        <v>8.5</v>
      </c>
      <c r="AD230" s="71">
        <f t="shared" si="68"/>
        <v>8.5</v>
      </c>
      <c r="AE230" s="71">
        <f t="shared" si="68"/>
        <v>8.5</v>
      </c>
      <c r="AF230" s="71">
        <f t="shared" si="68"/>
        <v>8.5</v>
      </c>
      <c r="AG230" s="71">
        <f t="shared" si="68"/>
        <v>8.5</v>
      </c>
      <c r="AH230" s="71">
        <f t="shared" si="68"/>
        <v>8.5</v>
      </c>
      <c r="AI230" s="71">
        <f t="shared" si="68"/>
        <v>8.5</v>
      </c>
      <c r="AJ230" s="68"/>
      <c r="AK230" s="68"/>
      <c r="AL230" s="68"/>
      <c r="AM230" s="68"/>
      <c r="AN230" s="68"/>
      <c r="AO230" s="48"/>
      <c r="AP230" s="48" t="s">
        <v>57</v>
      </c>
      <c r="AQ230" s="48"/>
      <c r="AU230" s="11" t="s">
        <v>55</v>
      </c>
      <c r="AV230" s="71">
        <f>IF(vvg=1,2.5,IF(OR(vvg=2,vvg=3),8.5,IF(vvg=4,0,"error")))</f>
        <v>8.5</v>
      </c>
      <c r="AW230" s="71">
        <f t="shared" ref="AW230:BE230" si="69">$AV$230</f>
        <v>8.5</v>
      </c>
      <c r="AX230" s="71">
        <f t="shared" si="69"/>
        <v>8.5</v>
      </c>
      <c r="AY230" s="71">
        <f t="shared" si="69"/>
        <v>8.5</v>
      </c>
      <c r="AZ230" s="71">
        <f t="shared" si="69"/>
        <v>8.5</v>
      </c>
      <c r="BA230" s="71">
        <f t="shared" si="69"/>
        <v>8.5</v>
      </c>
      <c r="BB230" s="71">
        <f t="shared" si="69"/>
        <v>8.5</v>
      </c>
      <c r="BC230" s="71">
        <f t="shared" si="69"/>
        <v>8.5</v>
      </c>
      <c r="BD230" s="71">
        <f t="shared" si="69"/>
        <v>8.5</v>
      </c>
      <c r="BE230" s="71">
        <f t="shared" si="69"/>
        <v>8.5</v>
      </c>
      <c r="BF230" s="68"/>
      <c r="BG230" s="68"/>
      <c r="BK230" s="48"/>
      <c r="BL230" s="48" t="s">
        <v>57</v>
      </c>
      <c r="BM230" s="48"/>
      <c r="BQ230" s="11" t="s">
        <v>55</v>
      </c>
      <c r="BR230" s="71">
        <f>IF(dsav=1,2.5,IF(OR(dsav=2,dsav=3),8.5,IF(dsav=4,0,"error")))</f>
        <v>8.5</v>
      </c>
      <c r="BS230" s="71">
        <f t="shared" ref="BS230:CA230" si="70">$BR$230</f>
        <v>8.5</v>
      </c>
      <c r="BT230" s="71">
        <f t="shared" si="70"/>
        <v>8.5</v>
      </c>
      <c r="BU230" s="71">
        <f t="shared" si="70"/>
        <v>8.5</v>
      </c>
      <c r="BV230" s="71">
        <f t="shared" si="70"/>
        <v>8.5</v>
      </c>
      <c r="BW230" s="71">
        <f t="shared" si="70"/>
        <v>8.5</v>
      </c>
      <c r="BX230" s="71">
        <f t="shared" si="70"/>
        <v>8.5</v>
      </c>
      <c r="BY230" s="71">
        <f t="shared" si="70"/>
        <v>8.5</v>
      </c>
      <c r="BZ230" s="71">
        <f t="shared" si="70"/>
        <v>8.5</v>
      </c>
      <c r="CA230" s="71">
        <f t="shared" si="70"/>
        <v>8.5</v>
      </c>
    </row>
    <row r="231" spans="1:80" ht="15" x14ac:dyDescent="0.4">
      <c r="A231" s="97"/>
      <c r="B231" s="97"/>
      <c r="C231" s="97"/>
      <c r="D231" s="97"/>
      <c r="E231" s="121"/>
      <c r="F231" s="97"/>
      <c r="G231" s="97"/>
      <c r="H231" s="97"/>
      <c r="I231" s="97"/>
      <c r="J231" s="97"/>
      <c r="K231" s="155" t="s">
        <v>33</v>
      </c>
      <c r="L231" s="155"/>
      <c r="M231" s="97"/>
      <c r="N231" s="97"/>
      <c r="O231" s="97"/>
      <c r="P231" s="97"/>
      <c r="Q231" s="97"/>
      <c r="R231" s="97"/>
      <c r="S231" s="48"/>
      <c r="T231" s="48" t="s">
        <v>53</v>
      </c>
      <c r="U231" s="48"/>
      <c r="Y231" s="11" t="s">
        <v>55</v>
      </c>
      <c r="Z231" s="70">
        <f t="shared" ref="Z231:AI231" si="71">MIN(IF(nnb&lt;=2,Z228,Z229),IF(nnb=4,Z229,Z230))</f>
        <v>4</v>
      </c>
      <c r="AA231" s="70">
        <f t="shared" si="71"/>
        <v>4.4320000000000004</v>
      </c>
      <c r="AB231" s="70">
        <f t="shared" si="71"/>
        <v>4.9106560000000012</v>
      </c>
      <c r="AC231" s="70">
        <f t="shared" si="71"/>
        <v>5.4410068480000016</v>
      </c>
      <c r="AD231" s="70">
        <f t="shared" si="71"/>
        <v>6.0286355875840023</v>
      </c>
      <c r="AE231" s="70">
        <f t="shared" si="71"/>
        <v>6.6797282310430752</v>
      </c>
      <c r="AF231" s="70">
        <f t="shared" si="71"/>
        <v>7.4011388799957283</v>
      </c>
      <c r="AG231" s="70">
        <f t="shared" si="71"/>
        <v>8.2004618790352684</v>
      </c>
      <c r="AH231" s="70">
        <f t="shared" si="71"/>
        <v>8.5</v>
      </c>
      <c r="AI231" s="70">
        <f t="shared" si="71"/>
        <v>8.5</v>
      </c>
      <c r="AJ231" s="68"/>
      <c r="AK231" s="68"/>
      <c r="AL231" s="68"/>
      <c r="AM231" s="68"/>
      <c r="AN231" s="68"/>
      <c r="AO231" s="48"/>
      <c r="AP231" s="48" t="s">
        <v>53</v>
      </c>
      <c r="AQ231" s="48"/>
      <c r="AU231" s="11" t="s">
        <v>55</v>
      </c>
      <c r="AV231" s="70">
        <f t="shared" ref="AV231:BE231" si="72">MIN(IF(vvg&lt;=2,AV228,AV229),IF(vvg=4,AV229,AV230))</f>
        <v>4</v>
      </c>
      <c r="AW231" s="70">
        <f t="shared" si="72"/>
        <v>4.1440000000000001</v>
      </c>
      <c r="AX231" s="70">
        <f t="shared" si="72"/>
        <v>4.2931840000000001</v>
      </c>
      <c r="AY231" s="70">
        <f t="shared" si="72"/>
        <v>4.4477386240000003</v>
      </c>
      <c r="AZ231" s="70">
        <f t="shared" si="72"/>
        <v>4.6078572144640004</v>
      </c>
      <c r="BA231" s="70">
        <f t="shared" si="72"/>
        <v>4.7737400741847047</v>
      </c>
      <c r="BB231" s="70">
        <f t="shared" si="72"/>
        <v>4.9455947168553545</v>
      </c>
      <c r="BC231" s="70">
        <f t="shared" si="72"/>
        <v>5.1236361266621477</v>
      </c>
      <c r="BD231" s="70">
        <f t="shared" si="72"/>
        <v>5.3080870272219851</v>
      </c>
      <c r="BE231" s="70">
        <f t="shared" si="72"/>
        <v>5.4991781602019767</v>
      </c>
      <c r="BF231" s="68"/>
      <c r="BG231" s="68"/>
      <c r="BK231" s="48"/>
      <c r="BL231" s="48" t="s">
        <v>53</v>
      </c>
      <c r="BM231" s="48"/>
      <c r="BQ231" s="11" t="s">
        <v>55</v>
      </c>
      <c r="BR231" s="70">
        <f t="shared" ref="BR231:CA231" si="73">MIN(IF(dsav&lt;=2,BR228,BR229),IF(dsav=4,BR229,BR230))</f>
        <v>4</v>
      </c>
      <c r="BS231" s="70">
        <f t="shared" si="73"/>
        <v>3.8719999999999999</v>
      </c>
      <c r="BT231" s="70">
        <f t="shared" si="73"/>
        <v>3.7480959999999999</v>
      </c>
      <c r="BU231" s="70">
        <f t="shared" si="73"/>
        <v>3.6281569279999997</v>
      </c>
      <c r="BV231" s="70">
        <f t="shared" si="73"/>
        <v>3.5120559063039996</v>
      </c>
      <c r="BW231" s="70">
        <f t="shared" si="73"/>
        <v>3.3996701173022714</v>
      </c>
      <c r="BX231" s="70">
        <f t="shared" si="73"/>
        <v>3.2908806735485987</v>
      </c>
      <c r="BY231" s="70">
        <f t="shared" si="73"/>
        <v>3.1855724919950434</v>
      </c>
      <c r="BZ231" s="70">
        <f t="shared" si="73"/>
        <v>3.0836341722512022</v>
      </c>
      <c r="CA231" s="70">
        <f t="shared" si="73"/>
        <v>2.9849578787391637</v>
      </c>
    </row>
    <row r="232" spans="1:80" ht="15" x14ac:dyDescent="0.4">
      <c r="A232" s="97"/>
      <c r="B232" s="97"/>
      <c r="C232" s="97"/>
      <c r="D232" s="97"/>
      <c r="E232" s="121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48"/>
      <c r="T232" s="48"/>
      <c r="U232" s="48"/>
      <c r="Y232" s="11"/>
      <c r="Z232" s="136"/>
      <c r="AA232" s="136"/>
      <c r="AB232" s="136"/>
      <c r="AC232" s="136"/>
      <c r="AD232" s="136"/>
      <c r="AE232" s="136"/>
      <c r="AF232" s="136"/>
      <c r="AG232" s="136"/>
      <c r="AH232" s="136"/>
      <c r="AI232" s="136"/>
      <c r="AJ232" s="68"/>
      <c r="AK232" s="68"/>
      <c r="AL232" s="68"/>
      <c r="AM232" s="68"/>
      <c r="AN232" s="68"/>
      <c r="AO232" s="48"/>
      <c r="AP232" s="48"/>
      <c r="AQ232" s="48"/>
      <c r="AU232" s="11"/>
      <c r="AV232" s="136"/>
      <c r="AW232" s="136"/>
      <c r="AX232" s="136"/>
      <c r="AY232" s="136"/>
      <c r="AZ232" s="136"/>
      <c r="BA232" s="136"/>
      <c r="BB232" s="136"/>
      <c r="BC232" s="136"/>
      <c r="BD232" s="136"/>
      <c r="BE232" s="136"/>
      <c r="BF232" s="68"/>
      <c r="BG232" s="68"/>
      <c r="BK232" s="48"/>
      <c r="BL232" s="48"/>
      <c r="BM232" s="48"/>
      <c r="BQ232" s="11"/>
      <c r="BR232" s="136"/>
      <c r="BS232" s="136"/>
      <c r="BT232" s="136"/>
      <c r="BU232" s="136"/>
      <c r="BV232" s="136"/>
      <c r="BW232" s="136"/>
      <c r="BX232" s="136"/>
      <c r="BY232" s="136"/>
      <c r="BZ232" s="136"/>
      <c r="CA232" s="136"/>
    </row>
    <row r="233" spans="1:80" ht="15.4" x14ac:dyDescent="0.45">
      <c r="A233" s="97"/>
      <c r="B233" s="97"/>
      <c r="C233" s="97"/>
      <c r="D233" s="97"/>
      <c r="E233" s="121"/>
      <c r="F233" s="97"/>
      <c r="G233" s="97"/>
      <c r="H233" s="97"/>
      <c r="I233" s="97"/>
      <c r="J233" s="97"/>
      <c r="K233" s="120" t="s">
        <v>31</v>
      </c>
      <c r="L233" s="122">
        <v>0.25</v>
      </c>
      <c r="M233" s="128">
        <f>1-EXP(-N233*$E$2)</f>
        <v>0.35592045843633613</v>
      </c>
      <c r="N233" s="126">
        <f>Z271</f>
        <v>13.19799146279734</v>
      </c>
      <c r="O233" s="97"/>
      <c r="P233" s="97"/>
      <c r="Q233" s="97"/>
      <c r="R233" s="97"/>
      <c r="S233" s="49" t="s">
        <v>58</v>
      </c>
      <c r="T233" s="48"/>
      <c r="U233" s="48"/>
      <c r="Y233" s="80" t="s">
        <v>59</v>
      </c>
      <c r="Z233" s="72">
        <f t="shared" ref="Z233:AI233" si="74">Z231*$AC$212</f>
        <v>43</v>
      </c>
      <c r="AA233" s="72">
        <f t="shared" si="74"/>
        <v>47.644000000000005</v>
      </c>
      <c r="AB233" s="72">
        <f t="shared" si="74"/>
        <v>52.789552000000015</v>
      </c>
      <c r="AC233" s="72">
        <f t="shared" si="74"/>
        <v>58.490823616000014</v>
      </c>
      <c r="AD233" s="72">
        <f t="shared" si="74"/>
        <v>64.80783256652802</v>
      </c>
      <c r="AE233" s="72">
        <f t="shared" si="74"/>
        <v>71.807078483713056</v>
      </c>
      <c r="AF233" s="72">
        <f t="shared" si="74"/>
        <v>79.562242959954077</v>
      </c>
      <c r="AG233" s="72">
        <f t="shared" si="74"/>
        <v>88.154965199629132</v>
      </c>
      <c r="AH233" s="72">
        <f t="shared" si="74"/>
        <v>91.375</v>
      </c>
      <c r="AI233" s="72">
        <f t="shared" si="74"/>
        <v>91.375</v>
      </c>
      <c r="AJ233" s="68"/>
      <c r="AK233" s="68"/>
      <c r="AL233" s="68"/>
      <c r="AM233" s="68"/>
      <c r="AN233" s="68"/>
      <c r="AO233" s="49" t="s">
        <v>58</v>
      </c>
      <c r="AP233" s="48"/>
      <c r="AQ233" s="48"/>
      <c r="AU233" s="80" t="s">
        <v>59</v>
      </c>
      <c r="AV233" s="72">
        <f t="shared" ref="AV233:BE233" si="75">AV231*$AY$212</f>
        <v>43</v>
      </c>
      <c r="AW233" s="72">
        <f t="shared" si="75"/>
        <v>44.548000000000002</v>
      </c>
      <c r="AX233" s="72">
        <f t="shared" si="75"/>
        <v>46.151727999999999</v>
      </c>
      <c r="AY233" s="72">
        <f t="shared" si="75"/>
        <v>47.813190208000002</v>
      </c>
      <c r="AZ233" s="72">
        <f t="shared" si="75"/>
        <v>49.534465055488006</v>
      </c>
      <c r="BA233" s="72">
        <f t="shared" si="75"/>
        <v>51.317705797485573</v>
      </c>
      <c r="BB233" s="72">
        <f t="shared" si="75"/>
        <v>53.165143206195062</v>
      </c>
      <c r="BC233" s="72">
        <f t="shared" si="75"/>
        <v>55.079088361618091</v>
      </c>
      <c r="BD233" s="72">
        <f t="shared" si="75"/>
        <v>57.061935542636341</v>
      </c>
      <c r="BE233" s="72">
        <f t="shared" si="75"/>
        <v>59.116165222171247</v>
      </c>
      <c r="BF233" s="68"/>
      <c r="BG233" s="68"/>
      <c r="BK233" s="49" t="s">
        <v>58</v>
      </c>
      <c r="BL233" s="48"/>
      <c r="BM233" s="48"/>
      <c r="BQ233" s="80" t="s">
        <v>59</v>
      </c>
      <c r="BR233" s="72">
        <f t="shared" ref="BR233:CA233" si="76">BR231*$BU$212</f>
        <v>43</v>
      </c>
      <c r="BS233" s="72">
        <f t="shared" si="76"/>
        <v>41.623999999999995</v>
      </c>
      <c r="BT233" s="72">
        <f t="shared" si="76"/>
        <v>40.292031999999999</v>
      </c>
      <c r="BU233" s="72">
        <f t="shared" si="76"/>
        <v>39.002686976</v>
      </c>
      <c r="BV233" s="72">
        <f t="shared" si="76"/>
        <v>37.754600992767998</v>
      </c>
      <c r="BW233" s="72">
        <f t="shared" si="76"/>
        <v>36.54645376099942</v>
      </c>
      <c r="BX233" s="72">
        <f t="shared" si="76"/>
        <v>35.376967240647438</v>
      </c>
      <c r="BY233" s="72">
        <f t="shared" si="76"/>
        <v>34.244904288946714</v>
      </c>
      <c r="BZ233" s="72">
        <f t="shared" si="76"/>
        <v>33.149067351700424</v>
      </c>
      <c r="CA233" s="72">
        <f t="shared" si="76"/>
        <v>32.088297196446007</v>
      </c>
    </row>
    <row r="234" spans="1:80" ht="15.4" x14ac:dyDescent="0.45">
      <c r="A234" s="97"/>
      <c r="B234" s="97"/>
      <c r="C234" s="97"/>
      <c r="D234" s="97"/>
      <c r="E234" s="121"/>
      <c r="F234" s="97"/>
      <c r="G234" s="97"/>
      <c r="H234" s="97"/>
      <c r="I234" s="155" t="s">
        <v>38</v>
      </c>
      <c r="J234" s="164"/>
      <c r="K234" s="117"/>
      <c r="L234" s="97"/>
      <c r="M234" s="128"/>
      <c r="N234" s="126"/>
      <c r="O234" s="97"/>
      <c r="P234" s="97"/>
      <c r="Q234" s="97"/>
      <c r="R234" s="97"/>
      <c r="S234" s="50"/>
      <c r="T234" s="48"/>
      <c r="U234" s="48"/>
      <c r="Y234" s="80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68"/>
      <c r="AK234" s="68"/>
      <c r="AL234" s="68"/>
      <c r="AM234" s="68"/>
      <c r="AN234" s="68"/>
      <c r="AO234" s="50"/>
      <c r="AP234" s="48"/>
      <c r="AQ234" s="48"/>
      <c r="AU234" s="80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68"/>
      <c r="BG234" s="68"/>
      <c r="BK234" s="50"/>
      <c r="BL234" s="48"/>
      <c r="BM234" s="48"/>
      <c r="BQ234" s="80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</row>
    <row r="235" spans="1:80" ht="15.4" x14ac:dyDescent="0.45">
      <c r="A235" s="97"/>
      <c r="B235" s="97"/>
      <c r="C235" s="97"/>
      <c r="D235" s="97"/>
      <c r="E235" s="121"/>
      <c r="F235" s="97"/>
      <c r="G235" s="97"/>
      <c r="H235" s="97"/>
      <c r="I235" s="97"/>
      <c r="J235" s="97"/>
      <c r="K235" s="117"/>
      <c r="L235" s="97"/>
      <c r="M235" s="128"/>
      <c r="N235" s="126"/>
      <c r="O235" s="97"/>
      <c r="P235" s="97"/>
      <c r="Q235" s="97"/>
      <c r="R235" s="97"/>
      <c r="S235" s="49" t="s">
        <v>60</v>
      </c>
      <c r="T235" s="48"/>
      <c r="U235" s="48"/>
      <c r="Y235" s="80" t="s">
        <v>59</v>
      </c>
      <c r="Z235" s="72">
        <f t="shared" ref="Z235:AI235" si="77">IF(nnb=4,0,Z231*$AC$213)</f>
        <v>38</v>
      </c>
      <c r="AA235" s="72">
        <f t="shared" si="77"/>
        <v>42.104000000000006</v>
      </c>
      <c r="AB235" s="72">
        <f t="shared" si="77"/>
        <v>46.651232000000014</v>
      </c>
      <c r="AC235" s="72">
        <f t="shared" si="77"/>
        <v>51.689565056000013</v>
      </c>
      <c r="AD235" s="72">
        <f t="shared" si="77"/>
        <v>57.27203808204802</v>
      </c>
      <c r="AE235" s="72">
        <f t="shared" si="77"/>
        <v>63.457418194909216</v>
      </c>
      <c r="AF235" s="72">
        <f t="shared" si="77"/>
        <v>70.310819359959424</v>
      </c>
      <c r="AG235" s="72">
        <f t="shared" si="77"/>
        <v>77.90438785083505</v>
      </c>
      <c r="AH235" s="72">
        <f t="shared" si="77"/>
        <v>80.75</v>
      </c>
      <c r="AI235" s="72">
        <f t="shared" si="77"/>
        <v>80.75</v>
      </c>
      <c r="AJ235" s="68"/>
      <c r="AK235" s="68"/>
      <c r="AL235" s="68"/>
      <c r="AM235" s="68"/>
      <c r="AN235" s="68"/>
      <c r="AO235" s="49" t="s">
        <v>60</v>
      </c>
      <c r="AP235" s="48"/>
      <c r="AQ235" s="48"/>
      <c r="AU235" s="80" t="s">
        <v>59</v>
      </c>
      <c r="AV235" s="72">
        <f t="shared" ref="AV235:BE235" si="78">IF(vvg=4,0,AV231*$AY$213)</f>
        <v>38</v>
      </c>
      <c r="AW235" s="72">
        <f t="shared" si="78"/>
        <v>39.368000000000002</v>
      </c>
      <c r="AX235" s="72">
        <f t="shared" si="78"/>
        <v>40.785248000000003</v>
      </c>
      <c r="AY235" s="72">
        <f t="shared" si="78"/>
        <v>42.253516928000003</v>
      </c>
      <c r="AZ235" s="72">
        <f t="shared" si="78"/>
        <v>43.774643537408004</v>
      </c>
      <c r="BA235" s="72">
        <f t="shared" si="78"/>
        <v>45.350530704754696</v>
      </c>
      <c r="BB235" s="72">
        <f t="shared" si="78"/>
        <v>46.983149810125866</v>
      </c>
      <c r="BC235" s="72">
        <f t="shared" si="78"/>
        <v>48.674543203290405</v>
      </c>
      <c r="BD235" s="72">
        <f t="shared" si="78"/>
        <v>50.426826758608861</v>
      </c>
      <c r="BE235" s="72">
        <f t="shared" si="78"/>
        <v>52.242192521918781</v>
      </c>
      <c r="BF235" s="68"/>
      <c r="BG235" s="68"/>
      <c r="BK235" s="49" t="s">
        <v>60</v>
      </c>
      <c r="BL235" s="48"/>
      <c r="BM235" s="48"/>
      <c r="BQ235" s="80" t="s">
        <v>59</v>
      </c>
      <c r="BR235" s="72">
        <f t="shared" ref="BR235:CA235" si="79">IF(dsav=4,0,BR231*$BU$213)</f>
        <v>38</v>
      </c>
      <c r="BS235" s="72">
        <f t="shared" si="79"/>
        <v>36.783999999999999</v>
      </c>
      <c r="BT235" s="72">
        <f t="shared" si="79"/>
        <v>35.606912000000001</v>
      </c>
      <c r="BU235" s="72">
        <f t="shared" si="79"/>
        <v>34.467490815999994</v>
      </c>
      <c r="BV235" s="72">
        <f t="shared" si="79"/>
        <v>33.364531109887999</v>
      </c>
      <c r="BW235" s="72">
        <f t="shared" si="79"/>
        <v>32.296866114371582</v>
      </c>
      <c r="BX235" s="72">
        <f t="shared" si="79"/>
        <v>31.263366398711689</v>
      </c>
      <c r="BY235" s="72">
        <f t="shared" si="79"/>
        <v>30.262938673952913</v>
      </c>
      <c r="BZ235" s="72">
        <f t="shared" si="79"/>
        <v>29.29452463638642</v>
      </c>
      <c r="CA235" s="72">
        <f t="shared" si="79"/>
        <v>28.357099848022056</v>
      </c>
    </row>
    <row r="236" spans="1:80" ht="15.4" x14ac:dyDescent="0.45">
      <c r="A236" s="97"/>
      <c r="B236" s="97"/>
      <c r="C236" s="97"/>
      <c r="D236" s="97"/>
      <c r="E236" s="121"/>
      <c r="F236" s="97"/>
      <c r="G236" s="97"/>
      <c r="H236" s="97"/>
      <c r="I236" s="120" t="s">
        <v>31</v>
      </c>
      <c r="J236" s="122">
        <v>0.25</v>
      </c>
      <c r="K236" s="120" t="s">
        <v>30</v>
      </c>
      <c r="L236" s="122">
        <v>0.5</v>
      </c>
      <c r="M236" s="128">
        <f>1-EXP(-N236*$E$2)</f>
        <v>0.18124433061597178</v>
      </c>
      <c r="N236" s="126">
        <f>Y271</f>
        <v>5.9990870285442428</v>
      </c>
      <c r="O236" s="97"/>
      <c r="P236" s="97"/>
      <c r="Q236" s="97"/>
      <c r="R236" s="97"/>
      <c r="S236" s="50"/>
      <c r="T236" s="48"/>
      <c r="U236" s="48"/>
      <c r="Y236" s="80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68"/>
      <c r="AK236" s="68"/>
      <c r="AL236" s="68"/>
      <c r="AM236" s="68"/>
      <c r="AN236" s="68"/>
      <c r="AO236" s="50"/>
      <c r="AP236" s="48"/>
      <c r="AQ236" s="48"/>
      <c r="AU236" s="80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68"/>
      <c r="BG236" s="68"/>
      <c r="BK236" s="50"/>
      <c r="BL236" s="48"/>
      <c r="BM236" s="48"/>
      <c r="BQ236" s="80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</row>
    <row r="237" spans="1:80" ht="15" x14ac:dyDescent="0.4">
      <c r="A237" s="97"/>
      <c r="B237" s="97"/>
      <c r="C237" s="97"/>
      <c r="D237" s="97"/>
      <c r="E237" s="121"/>
      <c r="F237" s="97"/>
      <c r="G237" s="97"/>
      <c r="H237" s="97"/>
      <c r="I237" s="117">
        <f>M233*L233+M236*L236+M239*L239</f>
        <v>0.19882038404039706</v>
      </c>
      <c r="J237" s="97"/>
      <c r="K237" s="117"/>
      <c r="L237" s="97"/>
      <c r="M237" s="128"/>
      <c r="N237" s="126"/>
      <c r="O237" s="97"/>
      <c r="P237" s="97"/>
      <c r="Q237" s="97"/>
      <c r="R237" s="97"/>
      <c r="S237" s="51" t="s">
        <v>61</v>
      </c>
      <c r="T237" s="48"/>
      <c r="U237" s="48"/>
      <c r="Y237" s="80" t="s">
        <v>59</v>
      </c>
      <c r="Z237" s="72">
        <f>IF(nnb=2,$AC$214,0)</f>
        <v>0</v>
      </c>
      <c r="AA237" s="72">
        <v>0</v>
      </c>
      <c r="AB237" s="72">
        <v>0</v>
      </c>
      <c r="AC237" s="72">
        <v>0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68"/>
      <c r="AK237" s="68"/>
      <c r="AL237" s="68"/>
      <c r="AM237" s="68"/>
      <c r="AN237" s="68"/>
      <c r="AO237" s="51" t="s">
        <v>61</v>
      </c>
      <c r="AP237" s="48"/>
      <c r="AQ237" s="48"/>
      <c r="AU237" s="80" t="s">
        <v>59</v>
      </c>
      <c r="AV237" s="72">
        <f>IF(vvg=2,$AY$214,0)</f>
        <v>0</v>
      </c>
      <c r="AW237" s="72">
        <v>0</v>
      </c>
      <c r="AX237" s="72">
        <v>0</v>
      </c>
      <c r="AY237" s="72">
        <v>0</v>
      </c>
      <c r="AZ237" s="72">
        <v>0</v>
      </c>
      <c r="BA237" s="72">
        <v>0</v>
      </c>
      <c r="BB237" s="72">
        <v>0</v>
      </c>
      <c r="BC237" s="72">
        <v>0</v>
      </c>
      <c r="BD237" s="72">
        <v>0</v>
      </c>
      <c r="BE237" s="72">
        <v>0</v>
      </c>
      <c r="BF237" s="68"/>
      <c r="BG237" s="68"/>
      <c r="BK237" s="51" t="s">
        <v>61</v>
      </c>
      <c r="BL237" s="48"/>
      <c r="BM237" s="48"/>
      <c r="BQ237" s="80" t="s">
        <v>59</v>
      </c>
      <c r="BR237" s="72">
        <f>IF(dsav=2,$BU$214,0)</f>
        <v>0</v>
      </c>
      <c r="BS237" s="72">
        <v>0</v>
      </c>
      <c r="BT237" s="72">
        <v>0</v>
      </c>
      <c r="BU237" s="72">
        <v>0</v>
      </c>
      <c r="BV237" s="72">
        <v>0</v>
      </c>
      <c r="BW237" s="72">
        <v>0</v>
      </c>
      <c r="BX237" s="72">
        <v>0</v>
      </c>
      <c r="BY237" s="72">
        <v>0</v>
      </c>
      <c r="BZ237" s="72">
        <v>0</v>
      </c>
      <c r="CA237" s="72">
        <v>0</v>
      </c>
    </row>
    <row r="238" spans="1:80" ht="15" x14ac:dyDescent="0.4">
      <c r="A238" s="97"/>
      <c r="B238" s="97"/>
      <c r="C238" s="97"/>
      <c r="D238" s="97"/>
      <c r="E238" s="121"/>
      <c r="F238" s="97"/>
      <c r="G238" s="97"/>
      <c r="H238" s="97"/>
      <c r="I238" s="117"/>
      <c r="J238" s="97"/>
      <c r="K238" s="123"/>
      <c r="L238" s="97"/>
      <c r="M238" s="128"/>
      <c r="N238" s="126"/>
      <c r="O238" s="97"/>
      <c r="P238" s="97"/>
      <c r="Q238" s="97"/>
      <c r="R238" s="97"/>
      <c r="S238" s="48"/>
      <c r="T238" s="48"/>
      <c r="U238" s="48"/>
      <c r="Y238" s="80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68"/>
      <c r="AK238" s="68"/>
      <c r="AL238" s="68"/>
      <c r="AM238" s="68"/>
      <c r="AN238" s="68"/>
      <c r="AO238" s="48"/>
      <c r="AP238" s="48"/>
      <c r="AQ238" s="48"/>
      <c r="AU238" s="80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68"/>
      <c r="BG238" s="68"/>
      <c r="BK238" s="48"/>
      <c r="BL238" s="48"/>
      <c r="BM238" s="48"/>
      <c r="BQ238" s="80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</row>
    <row r="239" spans="1:80" ht="15" x14ac:dyDescent="0.4">
      <c r="A239" s="97"/>
      <c r="B239" s="97"/>
      <c r="C239" s="97"/>
      <c r="D239" s="97"/>
      <c r="E239" s="121"/>
      <c r="F239" s="97"/>
      <c r="G239" s="97"/>
      <c r="H239" s="97"/>
      <c r="I239" s="117"/>
      <c r="J239" s="97"/>
      <c r="K239" s="122" t="s">
        <v>29</v>
      </c>
      <c r="L239" s="122">
        <v>0.25</v>
      </c>
      <c r="M239" s="128">
        <f>1-EXP(-N239*$E$2)</f>
        <v>7.687241649330856E-2</v>
      </c>
      <c r="N239" s="126">
        <f>X271</f>
        <v>2.3996348114176955</v>
      </c>
      <c r="O239" s="97"/>
      <c r="P239" s="97"/>
      <c r="Q239" s="97"/>
      <c r="R239" s="97"/>
      <c r="S239" s="51" t="s">
        <v>62</v>
      </c>
      <c r="T239" s="48"/>
      <c r="U239" s="48"/>
      <c r="Y239" s="80" t="s">
        <v>59</v>
      </c>
      <c r="Z239" s="72">
        <f t="shared" ref="Z239:AI239" si="80">IF(nnb=3,$AA$197*(Z233-Z235),0)</f>
        <v>3</v>
      </c>
      <c r="AA239" s="72">
        <f t="shared" si="80"/>
        <v>3.3239999999999994</v>
      </c>
      <c r="AB239" s="72">
        <f t="shared" si="80"/>
        <v>3.682992</v>
      </c>
      <c r="AC239" s="72">
        <f t="shared" si="80"/>
        <v>4.0807551360000005</v>
      </c>
      <c r="AD239" s="72">
        <f t="shared" si="80"/>
        <v>4.521476690688</v>
      </c>
      <c r="AE239" s="72">
        <f t="shared" si="80"/>
        <v>5.0097961732823038</v>
      </c>
      <c r="AF239" s="72">
        <f t="shared" si="80"/>
        <v>5.5508541599967911</v>
      </c>
      <c r="AG239" s="72">
        <f t="shared" si="80"/>
        <v>6.150346409276449</v>
      </c>
      <c r="AH239" s="72">
        <f t="shared" si="80"/>
        <v>6.375</v>
      </c>
      <c r="AI239" s="72">
        <f t="shared" si="80"/>
        <v>6.375</v>
      </c>
      <c r="AJ239" s="68"/>
      <c r="AK239" s="68"/>
      <c r="AL239" s="68"/>
      <c r="AM239" s="68"/>
      <c r="AN239" s="68"/>
      <c r="AO239" s="51" t="s">
        <v>62</v>
      </c>
      <c r="AP239" s="48"/>
      <c r="AQ239" s="48"/>
      <c r="AU239" s="80" t="s">
        <v>59</v>
      </c>
      <c r="AV239" s="72">
        <f t="shared" ref="AV239:BE239" si="81">IF(vvg=3,$AW$197*(AV233-AV235),0)</f>
        <v>3</v>
      </c>
      <c r="AW239" s="72">
        <f t="shared" si="81"/>
        <v>3.1079999999999997</v>
      </c>
      <c r="AX239" s="72">
        <f t="shared" si="81"/>
        <v>3.2198879999999974</v>
      </c>
      <c r="AY239" s="72">
        <f t="shared" si="81"/>
        <v>3.3358039679999991</v>
      </c>
      <c r="AZ239" s="72">
        <f t="shared" si="81"/>
        <v>3.4558929108480014</v>
      </c>
      <c r="BA239" s="72">
        <f t="shared" si="81"/>
        <v>3.5803050556385259</v>
      </c>
      <c r="BB239" s="72">
        <f t="shared" si="81"/>
        <v>3.709196037641517</v>
      </c>
      <c r="BC239" s="72">
        <f t="shared" si="81"/>
        <v>3.8427270949966115</v>
      </c>
      <c r="BD239" s="72">
        <f t="shared" si="81"/>
        <v>3.9810652704164879</v>
      </c>
      <c r="BE239" s="72">
        <f t="shared" si="81"/>
        <v>4.1243836201514794</v>
      </c>
      <c r="BF239" s="68"/>
      <c r="BG239" s="68"/>
      <c r="BK239" s="51" t="s">
        <v>62</v>
      </c>
      <c r="BL239" s="48"/>
      <c r="BM239" s="48"/>
      <c r="BQ239" s="80" t="s">
        <v>59</v>
      </c>
      <c r="BR239" s="72">
        <f t="shared" ref="BR239:CA239" si="82">IF(dsav=3,$BS$197*(BR233-BR235),0)</f>
        <v>3</v>
      </c>
      <c r="BS239" s="72">
        <f t="shared" si="82"/>
        <v>2.9039999999999977</v>
      </c>
      <c r="BT239" s="72">
        <f t="shared" si="82"/>
        <v>2.8110719999999985</v>
      </c>
      <c r="BU239" s="72">
        <f t="shared" si="82"/>
        <v>2.721117696000003</v>
      </c>
      <c r="BV239" s="72">
        <f t="shared" si="82"/>
        <v>2.6340419297279993</v>
      </c>
      <c r="BW239" s="72">
        <f t="shared" si="82"/>
        <v>2.5497525879767022</v>
      </c>
      <c r="BX239" s="72">
        <f t="shared" si="82"/>
        <v>2.4681605051614497</v>
      </c>
      <c r="BY239" s="72">
        <f t="shared" si="82"/>
        <v>2.3891793689962801</v>
      </c>
      <c r="BZ239" s="72">
        <f t="shared" si="82"/>
        <v>2.3127256291884022</v>
      </c>
      <c r="CA239" s="72">
        <f t="shared" si="82"/>
        <v>2.2387184090543704</v>
      </c>
    </row>
    <row r="240" spans="1:80" ht="15" x14ac:dyDescent="0.4">
      <c r="A240" s="97"/>
      <c r="B240" s="97"/>
      <c r="C240" s="97"/>
      <c r="D240" s="97"/>
      <c r="E240" s="121"/>
      <c r="F240" s="97"/>
      <c r="G240" s="97"/>
      <c r="H240" s="97"/>
      <c r="I240" s="117"/>
      <c r="J240" s="97"/>
      <c r="K240" s="97"/>
      <c r="L240" s="97"/>
      <c r="M240" s="128"/>
      <c r="N240" s="126"/>
      <c r="O240" s="97"/>
      <c r="P240" s="97"/>
      <c r="Q240" s="97"/>
      <c r="R240" s="97"/>
      <c r="S240" s="51" t="s">
        <v>63</v>
      </c>
      <c r="T240" s="48"/>
      <c r="U240" s="48"/>
      <c r="Y240" s="80" t="s">
        <v>59</v>
      </c>
      <c r="Z240" s="72">
        <f t="shared" ref="Z240:AI240" si="83">$AA$198*(Z233)</f>
        <v>42.14</v>
      </c>
      <c r="AA240" s="72">
        <f t="shared" si="83"/>
        <v>46.691120000000005</v>
      </c>
      <c r="AB240" s="72">
        <f t="shared" si="83"/>
        <v>51.733760960000012</v>
      </c>
      <c r="AC240" s="72">
        <f t="shared" si="83"/>
        <v>57.321007143680013</v>
      </c>
      <c r="AD240" s="72">
        <f t="shared" si="83"/>
        <v>63.511675915197458</v>
      </c>
      <c r="AE240" s="72">
        <f t="shared" si="83"/>
        <v>70.370936914038793</v>
      </c>
      <c r="AF240" s="72">
        <f t="shared" si="83"/>
        <v>77.970998100754997</v>
      </c>
      <c r="AG240" s="72">
        <f t="shared" si="83"/>
        <v>86.391865895636542</v>
      </c>
      <c r="AH240" s="72">
        <f t="shared" si="83"/>
        <v>89.547499999999999</v>
      </c>
      <c r="AI240" s="72">
        <f t="shared" si="83"/>
        <v>89.547499999999999</v>
      </c>
      <c r="AJ240" s="68"/>
      <c r="AK240" s="68"/>
      <c r="AL240" s="68"/>
      <c r="AM240" s="68"/>
      <c r="AN240" s="68"/>
      <c r="AO240" s="51" t="s">
        <v>63</v>
      </c>
      <c r="AP240" s="48"/>
      <c r="AQ240" s="48"/>
      <c r="AU240" s="80" t="s">
        <v>59</v>
      </c>
      <c r="AV240" s="72">
        <f t="shared" ref="AV240:BE240" si="84">$AW$198*(AV233)</f>
        <v>42.14</v>
      </c>
      <c r="AW240" s="72">
        <f t="shared" si="84"/>
        <v>43.657040000000002</v>
      </c>
      <c r="AX240" s="72">
        <f t="shared" si="84"/>
        <v>45.228693440000001</v>
      </c>
      <c r="AY240" s="72">
        <f t="shared" si="84"/>
        <v>46.856926403839999</v>
      </c>
      <c r="AZ240" s="72">
        <f t="shared" si="84"/>
        <v>48.543775754378245</v>
      </c>
      <c r="BA240" s="72">
        <f t="shared" si="84"/>
        <v>50.291351681535858</v>
      </c>
      <c r="BB240" s="72">
        <f t="shared" si="84"/>
        <v>52.101840342071156</v>
      </c>
      <c r="BC240" s="72">
        <f t="shared" si="84"/>
        <v>53.97750659438573</v>
      </c>
      <c r="BD240" s="72">
        <f t="shared" si="84"/>
        <v>55.920696831783616</v>
      </c>
      <c r="BE240" s="72">
        <f t="shared" si="84"/>
        <v>57.933841917727818</v>
      </c>
      <c r="BF240" s="68"/>
      <c r="BG240" s="68"/>
      <c r="BK240" s="51" t="s">
        <v>63</v>
      </c>
      <c r="BL240" s="48"/>
      <c r="BM240" s="48"/>
      <c r="BQ240" s="80" t="s">
        <v>59</v>
      </c>
      <c r="BR240" s="72">
        <f t="shared" ref="BR240:CA240" si="85">$BS$198*(BR233)</f>
        <v>42.14</v>
      </c>
      <c r="BS240" s="72">
        <f t="shared" si="85"/>
        <v>40.791519999999991</v>
      </c>
      <c r="BT240" s="72">
        <f t="shared" si="85"/>
        <v>39.486191359999999</v>
      </c>
      <c r="BU240" s="72">
        <f t="shared" si="85"/>
        <v>38.22263323648</v>
      </c>
      <c r="BV240" s="72">
        <f t="shared" si="85"/>
        <v>36.999508972912636</v>
      </c>
      <c r="BW240" s="72">
        <f t="shared" si="85"/>
        <v>35.81552468577943</v>
      </c>
      <c r="BX240" s="72">
        <f t="shared" si="85"/>
        <v>34.669427895834488</v>
      </c>
      <c r="BY240" s="72">
        <f t="shared" si="85"/>
        <v>33.560006203167781</v>
      </c>
      <c r="BZ240" s="72">
        <f t="shared" si="85"/>
        <v>32.486086004666411</v>
      </c>
      <c r="CA240" s="72">
        <f t="shared" si="85"/>
        <v>31.446531252517087</v>
      </c>
    </row>
    <row r="241" spans="1:79" ht="15" x14ac:dyDescent="0.4">
      <c r="A241" s="97"/>
      <c r="B241" s="97"/>
      <c r="C241" s="97"/>
      <c r="D241" s="97"/>
      <c r="E241" s="121"/>
      <c r="F241" s="97"/>
      <c r="G241" s="97"/>
      <c r="H241" s="97"/>
      <c r="I241" s="117"/>
      <c r="J241" s="97"/>
      <c r="K241" s="155" t="s">
        <v>33</v>
      </c>
      <c r="L241" s="155"/>
      <c r="M241" s="128"/>
      <c r="N241" s="126"/>
      <c r="O241" s="97"/>
      <c r="P241" s="97"/>
      <c r="Q241" s="97"/>
      <c r="R241" s="97"/>
      <c r="S241" s="48"/>
      <c r="T241" s="48"/>
      <c r="U241" s="48"/>
      <c r="Y241" s="80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68"/>
      <c r="AK241" s="68"/>
      <c r="AL241" s="68"/>
      <c r="AM241" s="68"/>
      <c r="AN241" s="68"/>
      <c r="AO241" s="48"/>
      <c r="AP241" s="48"/>
      <c r="AQ241" s="48"/>
      <c r="AU241" s="80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68"/>
      <c r="BG241" s="68"/>
      <c r="BK241" s="48"/>
      <c r="BL241" s="48"/>
      <c r="BM241" s="48"/>
      <c r="BQ241" s="80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</row>
    <row r="242" spans="1:79" ht="15" x14ac:dyDescent="0.4">
      <c r="A242" s="97"/>
      <c r="B242" s="97"/>
      <c r="C242" s="97"/>
      <c r="D242" s="97"/>
      <c r="E242" s="121"/>
      <c r="F242" s="97"/>
      <c r="G242" s="97"/>
      <c r="H242" s="97"/>
      <c r="I242" s="117"/>
      <c r="J242" s="97"/>
      <c r="K242" s="97"/>
      <c r="L242" s="97"/>
      <c r="M242" s="128"/>
      <c r="N242" s="126"/>
      <c r="O242" s="97"/>
      <c r="P242" s="97"/>
      <c r="Q242" s="97"/>
      <c r="R242" s="97"/>
      <c r="S242" s="51" t="s">
        <v>64</v>
      </c>
      <c r="T242" s="48"/>
      <c r="U242" s="48"/>
      <c r="Y242" s="80" t="s">
        <v>59</v>
      </c>
      <c r="Z242" s="72">
        <f t="shared" ref="Z242:AI242" si="86">IF(nnb=1,Z233-Z235,IF(nnb=2,Z233-Z235-Z237,IF(nnb=3,Z233-Z235-Z239,IF(nnb=4,Z233-Z235-Z240,"error"))))</f>
        <v>2</v>
      </c>
      <c r="AA242" s="72">
        <f t="shared" si="86"/>
        <v>2.2159999999999997</v>
      </c>
      <c r="AB242" s="72">
        <f t="shared" si="86"/>
        <v>2.4553280000000002</v>
      </c>
      <c r="AC242" s="72">
        <f t="shared" si="86"/>
        <v>2.7205034240000003</v>
      </c>
      <c r="AD242" s="72">
        <f t="shared" si="86"/>
        <v>3.0143177937920003</v>
      </c>
      <c r="AE242" s="72">
        <f t="shared" si="86"/>
        <v>3.3398641155215358</v>
      </c>
      <c r="AF242" s="72">
        <f t="shared" si="86"/>
        <v>3.700569439997861</v>
      </c>
      <c r="AG242" s="72">
        <f t="shared" si="86"/>
        <v>4.1002309395176324</v>
      </c>
      <c r="AH242" s="72">
        <f t="shared" si="86"/>
        <v>4.25</v>
      </c>
      <c r="AI242" s="72">
        <f t="shared" si="86"/>
        <v>4.25</v>
      </c>
      <c r="AJ242" s="68"/>
      <c r="AK242" s="68"/>
      <c r="AL242" s="68"/>
      <c r="AM242" s="68"/>
      <c r="AN242" s="68"/>
      <c r="AO242" s="51" t="s">
        <v>64</v>
      </c>
      <c r="AP242" s="48"/>
      <c r="AQ242" s="48"/>
      <c r="AU242" s="80" t="s">
        <v>59</v>
      </c>
      <c r="AV242" s="72">
        <f t="shared" ref="AV242:BE242" si="87">IF(vvg=1,AV233-AV235,IF(vvg=2,AV233-AV235-AV237,IF(vvg=3,AV233-AV235-AV239,IF(vvg=4,AV233-AV235-AV240,"error"))))</f>
        <v>2</v>
      </c>
      <c r="AW242" s="72">
        <f t="shared" si="87"/>
        <v>2.0720000000000001</v>
      </c>
      <c r="AX242" s="72">
        <f t="shared" si="87"/>
        <v>2.1465919999999983</v>
      </c>
      <c r="AY242" s="72">
        <f t="shared" si="87"/>
        <v>2.2238693119999993</v>
      </c>
      <c r="AZ242" s="72">
        <f t="shared" si="87"/>
        <v>2.3039286072320011</v>
      </c>
      <c r="BA242" s="72">
        <f t="shared" si="87"/>
        <v>2.3868700370923506</v>
      </c>
      <c r="BB242" s="72">
        <f t="shared" si="87"/>
        <v>2.4727973584276786</v>
      </c>
      <c r="BC242" s="72">
        <f t="shared" si="87"/>
        <v>2.5618180633310743</v>
      </c>
      <c r="BD242" s="72">
        <f t="shared" si="87"/>
        <v>2.6540435136109921</v>
      </c>
      <c r="BE242" s="72">
        <f t="shared" si="87"/>
        <v>2.7495890801009866</v>
      </c>
      <c r="BF242" s="68"/>
      <c r="BG242" s="68"/>
      <c r="BK242" s="51" t="s">
        <v>64</v>
      </c>
      <c r="BL242" s="48"/>
      <c r="BM242" s="48"/>
      <c r="BQ242" s="80" t="s">
        <v>59</v>
      </c>
      <c r="BR242" s="72">
        <f t="shared" ref="BR242:CA242" si="88">IF(dsav=1,BR233-BR235,IF(dsav=2,BR233-BR235-BR237,IF(dsav=3,BR233-BR235-BR239,IF(dsav=4,BR233-BR235-BR240,"error"))))</f>
        <v>2</v>
      </c>
      <c r="BS242" s="72">
        <f t="shared" si="88"/>
        <v>1.9359999999999986</v>
      </c>
      <c r="BT242" s="72">
        <f t="shared" si="88"/>
        <v>1.8740479999999993</v>
      </c>
      <c r="BU242" s="72">
        <f t="shared" si="88"/>
        <v>1.8140784640000023</v>
      </c>
      <c r="BV242" s="72">
        <f t="shared" si="88"/>
        <v>1.7560279531519996</v>
      </c>
      <c r="BW242" s="72">
        <f t="shared" si="88"/>
        <v>1.6998350586511353</v>
      </c>
      <c r="BX242" s="72">
        <f t="shared" si="88"/>
        <v>1.6454403367742998</v>
      </c>
      <c r="BY242" s="72">
        <f t="shared" si="88"/>
        <v>1.5927862459975204</v>
      </c>
      <c r="BZ242" s="72">
        <f t="shared" si="88"/>
        <v>1.5418170861256018</v>
      </c>
      <c r="CA242" s="72">
        <f t="shared" si="88"/>
        <v>1.4924789393695805</v>
      </c>
    </row>
    <row r="243" spans="1:79" ht="15" x14ac:dyDescent="0.4">
      <c r="A243" s="97"/>
      <c r="B243" s="97"/>
      <c r="C243" s="97"/>
      <c r="D243" s="97"/>
      <c r="E243" s="121"/>
      <c r="F243" s="97"/>
      <c r="G243" s="97"/>
      <c r="H243" s="97"/>
      <c r="I243" s="117"/>
      <c r="J243" s="97"/>
      <c r="K243" s="120" t="s">
        <v>31</v>
      </c>
      <c r="L243" s="122">
        <v>0.25</v>
      </c>
      <c r="M243" s="128">
        <f>1-EXP(-N243*$E$2)</f>
        <v>0.27861811671436643</v>
      </c>
      <c r="N243" s="126">
        <f>Z270</f>
        <v>9.7975987229989983</v>
      </c>
      <c r="O243" s="97"/>
      <c r="P243" s="97"/>
      <c r="Q243" s="97"/>
      <c r="R243" s="97"/>
      <c r="S243" s="48"/>
      <c r="T243" s="48"/>
      <c r="U243" s="48"/>
      <c r="Y243" s="80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68"/>
      <c r="AK243" s="68"/>
      <c r="AL243" s="68"/>
      <c r="AM243" s="68"/>
      <c r="AN243" s="68"/>
      <c r="AO243" s="48"/>
      <c r="AP243" s="48"/>
      <c r="AQ243" s="48"/>
      <c r="AU243" s="80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68"/>
      <c r="BG243" s="68"/>
      <c r="BK243" s="48"/>
      <c r="BL243" s="48"/>
      <c r="BM243" s="48"/>
      <c r="BQ243" s="80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</row>
    <row r="244" spans="1:79" ht="15" x14ac:dyDescent="0.4">
      <c r="A244" s="97"/>
      <c r="B244" s="97"/>
      <c r="C244" s="97"/>
      <c r="D244" s="97"/>
      <c r="E244" s="121"/>
      <c r="F244" s="97"/>
      <c r="G244" s="97"/>
      <c r="H244" s="97"/>
      <c r="I244" s="117"/>
      <c r="J244" s="97"/>
      <c r="K244" s="117"/>
      <c r="L244" s="97"/>
      <c r="M244" s="128"/>
      <c r="N244" s="126"/>
      <c r="O244" s="97"/>
      <c r="P244" s="97"/>
      <c r="Q244" s="97"/>
      <c r="R244" s="97"/>
      <c r="S244" s="51" t="s">
        <v>65</v>
      </c>
      <c r="T244" s="48"/>
      <c r="U244" s="48"/>
      <c r="Y244" s="80" t="s">
        <v>59</v>
      </c>
      <c r="Z244" s="72">
        <f t="shared" ref="Z244:AI244" si="89">sdsf*Z242</f>
        <v>0.76</v>
      </c>
      <c r="AA244" s="72">
        <f t="shared" si="89"/>
        <v>0.84207999999999994</v>
      </c>
      <c r="AB244" s="72">
        <f t="shared" si="89"/>
        <v>0.93302464000000007</v>
      </c>
      <c r="AC244" s="72">
        <f t="shared" si="89"/>
        <v>1.0337913011200002</v>
      </c>
      <c r="AD244" s="72">
        <f t="shared" si="89"/>
        <v>1.1454407616409601</v>
      </c>
      <c r="AE244" s="72">
        <f t="shared" si="89"/>
        <v>1.2691483638981835</v>
      </c>
      <c r="AF244" s="72">
        <f t="shared" si="89"/>
        <v>1.4062163871991873</v>
      </c>
      <c r="AG244" s="72">
        <f t="shared" si="89"/>
        <v>1.5580877570167004</v>
      </c>
      <c r="AH244" s="72">
        <f t="shared" si="89"/>
        <v>1.615</v>
      </c>
      <c r="AI244" s="72">
        <f t="shared" si="89"/>
        <v>1.615</v>
      </c>
      <c r="AJ244" s="68"/>
      <c r="AK244" s="68"/>
      <c r="AL244" s="68"/>
      <c r="AM244" s="68"/>
      <c r="AN244" s="68"/>
      <c r="AO244" s="51" t="s">
        <v>65</v>
      </c>
      <c r="AP244" s="48"/>
      <c r="AQ244" s="48"/>
      <c r="AU244" s="80" t="s">
        <v>59</v>
      </c>
      <c r="AV244" s="72">
        <f t="shared" ref="AV244:BE244" si="90">dsd*AV242</f>
        <v>0.76</v>
      </c>
      <c r="AW244" s="72">
        <f t="shared" si="90"/>
        <v>0.78736000000000006</v>
      </c>
      <c r="AX244" s="72">
        <f t="shared" si="90"/>
        <v>0.81570495999999937</v>
      </c>
      <c r="AY244" s="72">
        <f t="shared" si="90"/>
        <v>0.84507033855999969</v>
      </c>
      <c r="AZ244" s="72">
        <f t="shared" si="90"/>
        <v>0.8754928707481604</v>
      </c>
      <c r="BA244" s="72">
        <f t="shared" si="90"/>
        <v>0.9070106140950932</v>
      </c>
      <c r="BB244" s="72">
        <f t="shared" si="90"/>
        <v>0.93966299620251781</v>
      </c>
      <c r="BC244" s="72">
        <f t="shared" si="90"/>
        <v>0.9734908640658082</v>
      </c>
      <c r="BD244" s="72">
        <f t="shared" si="90"/>
        <v>1.0085365351721771</v>
      </c>
      <c r="BE244" s="72">
        <f t="shared" si="90"/>
        <v>1.0448438504383748</v>
      </c>
      <c r="BF244" s="68"/>
      <c r="BG244" s="68"/>
      <c r="BK244" s="51" t="s">
        <v>65</v>
      </c>
      <c r="BL244" s="48"/>
      <c r="BM244" s="48"/>
      <c r="BQ244" s="80" t="s">
        <v>59</v>
      </c>
      <c r="BR244" s="72">
        <f t="shared" ref="BR244:CA244" si="91">gddgdg*BR242</f>
        <v>0.76</v>
      </c>
      <c r="BS244" s="72">
        <f t="shared" si="91"/>
        <v>0.73567999999999945</v>
      </c>
      <c r="BT244" s="72">
        <f t="shared" si="91"/>
        <v>0.7121382399999997</v>
      </c>
      <c r="BU244" s="72">
        <f t="shared" si="91"/>
        <v>0.68934981632000092</v>
      </c>
      <c r="BV244" s="72">
        <f t="shared" si="91"/>
        <v>0.66729062219775981</v>
      </c>
      <c r="BW244" s="72">
        <f t="shared" si="91"/>
        <v>0.64593732228743139</v>
      </c>
      <c r="BX244" s="72">
        <f t="shared" si="91"/>
        <v>0.6252673279742339</v>
      </c>
      <c r="BY244" s="72">
        <f t="shared" si="91"/>
        <v>0.60525877347905777</v>
      </c>
      <c r="BZ244" s="72">
        <f t="shared" si="91"/>
        <v>0.58589049272772864</v>
      </c>
      <c r="CA244" s="72">
        <f t="shared" si="91"/>
        <v>0.56714199696044065</v>
      </c>
    </row>
    <row r="245" spans="1:79" ht="15" x14ac:dyDescent="0.4">
      <c r="A245" s="97"/>
      <c r="B245" s="97"/>
      <c r="C245" s="97"/>
      <c r="D245" s="97"/>
      <c r="E245" s="121"/>
      <c r="F245" s="165" t="s">
        <v>10</v>
      </c>
      <c r="G245" s="156"/>
      <c r="H245" s="157"/>
      <c r="I245" s="117"/>
      <c r="J245" s="97"/>
      <c r="K245" s="117"/>
      <c r="L245" s="97"/>
      <c r="M245" s="128"/>
      <c r="N245" s="126"/>
      <c r="O245" s="97"/>
      <c r="P245" s="97"/>
      <c r="Q245" s="97"/>
      <c r="R245" s="97"/>
      <c r="S245" s="51" t="s">
        <v>66</v>
      </c>
      <c r="T245" s="48"/>
      <c r="U245" s="48"/>
      <c r="Y245" s="80" t="s">
        <v>59</v>
      </c>
      <c r="Z245" s="72">
        <f>IF(Z244&lt;0,ABS(Z244),0)</f>
        <v>0</v>
      </c>
      <c r="AA245" s="72">
        <f t="shared" ref="AA245:AI245" si="92">IF((AA244-Z245)&lt;0,ABS(Z245-AA244),0)</f>
        <v>0</v>
      </c>
      <c r="AB245" s="72">
        <f t="shared" si="92"/>
        <v>0</v>
      </c>
      <c r="AC245" s="72">
        <f t="shared" si="92"/>
        <v>0</v>
      </c>
      <c r="AD245" s="72">
        <f t="shared" si="92"/>
        <v>0</v>
      </c>
      <c r="AE245" s="72">
        <f t="shared" si="92"/>
        <v>0</v>
      </c>
      <c r="AF245" s="72">
        <f t="shared" si="92"/>
        <v>0</v>
      </c>
      <c r="AG245" s="72">
        <f t="shared" si="92"/>
        <v>0</v>
      </c>
      <c r="AH245" s="72">
        <f t="shared" si="92"/>
        <v>0</v>
      </c>
      <c r="AI245" s="72">
        <f t="shared" si="92"/>
        <v>0</v>
      </c>
      <c r="AJ245" s="68"/>
      <c r="AK245" s="68"/>
      <c r="AL245" s="68"/>
      <c r="AM245" s="68"/>
      <c r="AN245" s="68"/>
      <c r="AO245" s="51" t="s">
        <v>66</v>
      </c>
      <c r="AP245" s="48"/>
      <c r="AQ245" s="48"/>
      <c r="AU245" s="80" t="s">
        <v>59</v>
      </c>
      <c r="AV245" s="72">
        <f>IF(AV244&lt;0,ABS(AV244),0)</f>
        <v>0</v>
      </c>
      <c r="AW245" s="72">
        <f t="shared" ref="AW245:BE245" si="93">IF((AW244-AV245)&lt;0,ABS(AV245-AW244),0)</f>
        <v>0</v>
      </c>
      <c r="AX245" s="72">
        <f t="shared" si="93"/>
        <v>0</v>
      </c>
      <c r="AY245" s="72">
        <f t="shared" si="93"/>
        <v>0</v>
      </c>
      <c r="AZ245" s="72">
        <f t="shared" si="93"/>
        <v>0</v>
      </c>
      <c r="BA245" s="72">
        <f t="shared" si="93"/>
        <v>0</v>
      </c>
      <c r="BB245" s="72">
        <f t="shared" si="93"/>
        <v>0</v>
      </c>
      <c r="BC245" s="72">
        <f t="shared" si="93"/>
        <v>0</v>
      </c>
      <c r="BD245" s="72">
        <f t="shared" si="93"/>
        <v>0</v>
      </c>
      <c r="BE245" s="72">
        <f t="shared" si="93"/>
        <v>0</v>
      </c>
      <c r="BF245" s="68"/>
      <c r="BG245" s="68"/>
      <c r="BK245" s="51" t="s">
        <v>66</v>
      </c>
      <c r="BL245" s="48"/>
      <c r="BM245" s="48"/>
      <c r="BQ245" s="80" t="s">
        <v>59</v>
      </c>
      <c r="BR245" s="72">
        <f>IF(BR244&lt;0,ABS(BR244),0)</f>
        <v>0</v>
      </c>
      <c r="BS245" s="72">
        <f t="shared" ref="BS245:CA245" si="94">IF((BS244-BR245)&lt;0,ABS(BR245-BS244),0)</f>
        <v>0</v>
      </c>
      <c r="BT245" s="72">
        <f t="shared" si="94"/>
        <v>0</v>
      </c>
      <c r="BU245" s="72">
        <f t="shared" si="94"/>
        <v>0</v>
      </c>
      <c r="BV245" s="72">
        <f t="shared" si="94"/>
        <v>0</v>
      </c>
      <c r="BW245" s="72">
        <f t="shared" si="94"/>
        <v>0</v>
      </c>
      <c r="BX245" s="72">
        <f t="shared" si="94"/>
        <v>0</v>
      </c>
      <c r="BY245" s="72">
        <f t="shared" si="94"/>
        <v>0</v>
      </c>
      <c r="BZ245" s="72">
        <f t="shared" si="94"/>
        <v>0</v>
      </c>
      <c r="CA245" s="72">
        <f t="shared" si="94"/>
        <v>0</v>
      </c>
    </row>
    <row r="246" spans="1:79" ht="15" x14ac:dyDescent="0.4">
      <c r="A246" s="97"/>
      <c r="B246" s="97"/>
      <c r="C246" s="97"/>
      <c r="D246" s="97"/>
      <c r="E246" s="97"/>
      <c r="F246" s="120" t="s">
        <v>84</v>
      </c>
      <c r="G246" s="122">
        <f>J236*I237+J246*I247+J256*I257</f>
        <v>0.15635525906042583</v>
      </c>
      <c r="H246" s="122"/>
      <c r="I246" s="120" t="s">
        <v>30</v>
      </c>
      <c r="J246" s="122">
        <v>0.5</v>
      </c>
      <c r="K246" s="120" t="s">
        <v>30</v>
      </c>
      <c r="L246" s="122">
        <v>0.5</v>
      </c>
      <c r="M246" s="128">
        <f>1-EXP(-N246*$E$2)</f>
        <v>0.13795556894544725</v>
      </c>
      <c r="N246" s="126">
        <f>Y270</f>
        <v>4.4534539649995466</v>
      </c>
      <c r="O246" s="97"/>
      <c r="P246" s="97"/>
      <c r="Q246" s="97"/>
      <c r="R246" s="97"/>
      <c r="S246" s="51" t="s">
        <v>67</v>
      </c>
      <c r="T246" s="48"/>
      <c r="U246" s="48"/>
      <c r="Y246" s="80" t="s">
        <v>59</v>
      </c>
      <c r="Z246" s="72">
        <f>IF(Z244&lt;0,0,Z244)</f>
        <v>0.76</v>
      </c>
      <c r="AA246" s="72">
        <f t="shared" ref="AA246:AI246" si="95">IF(AA244&lt;0,0,IF((AA244-Z245)&lt;0,0,(AA244-Z245)))</f>
        <v>0.84207999999999994</v>
      </c>
      <c r="AB246" s="72">
        <f t="shared" si="95"/>
        <v>0.93302464000000007</v>
      </c>
      <c r="AC246" s="72">
        <f t="shared" si="95"/>
        <v>1.0337913011200002</v>
      </c>
      <c r="AD246" s="72">
        <f t="shared" si="95"/>
        <v>1.1454407616409601</v>
      </c>
      <c r="AE246" s="72">
        <f t="shared" si="95"/>
        <v>1.2691483638981835</v>
      </c>
      <c r="AF246" s="72">
        <f t="shared" si="95"/>
        <v>1.4062163871991873</v>
      </c>
      <c r="AG246" s="72">
        <f t="shared" si="95"/>
        <v>1.5580877570167004</v>
      </c>
      <c r="AH246" s="72">
        <f t="shared" si="95"/>
        <v>1.615</v>
      </c>
      <c r="AI246" s="72">
        <f t="shared" si="95"/>
        <v>1.615</v>
      </c>
      <c r="AJ246" s="68"/>
      <c r="AK246" s="68"/>
      <c r="AL246" s="68"/>
      <c r="AM246" s="68"/>
      <c r="AN246" s="68"/>
      <c r="AO246" s="51" t="s">
        <v>67</v>
      </c>
      <c r="AP246" s="48"/>
      <c r="AQ246" s="48"/>
      <c r="AU246" s="80" t="s">
        <v>59</v>
      </c>
      <c r="AV246" s="72">
        <f>IF(AV244&lt;0,0,AV244)</f>
        <v>0.76</v>
      </c>
      <c r="AW246" s="72">
        <f t="shared" ref="AW246:BE246" si="96">IF(AW244&lt;0,0,IF((AW244-AV245)&lt;0,0,(AW244-AV245)))</f>
        <v>0.78736000000000006</v>
      </c>
      <c r="AX246" s="72">
        <f t="shared" si="96"/>
        <v>0.81570495999999937</v>
      </c>
      <c r="AY246" s="72">
        <f t="shared" si="96"/>
        <v>0.84507033855999969</v>
      </c>
      <c r="AZ246" s="72">
        <f t="shared" si="96"/>
        <v>0.8754928707481604</v>
      </c>
      <c r="BA246" s="72">
        <f t="shared" si="96"/>
        <v>0.9070106140950932</v>
      </c>
      <c r="BB246" s="72">
        <f t="shared" si="96"/>
        <v>0.93966299620251781</v>
      </c>
      <c r="BC246" s="72">
        <f t="shared" si="96"/>
        <v>0.9734908640658082</v>
      </c>
      <c r="BD246" s="72">
        <f t="shared" si="96"/>
        <v>1.0085365351721771</v>
      </c>
      <c r="BE246" s="72">
        <f t="shared" si="96"/>
        <v>1.0448438504383748</v>
      </c>
      <c r="BF246" s="68"/>
      <c r="BG246" s="68"/>
      <c r="BK246" s="51" t="s">
        <v>67</v>
      </c>
      <c r="BL246" s="48"/>
      <c r="BM246" s="48"/>
      <c r="BQ246" s="80" t="s">
        <v>59</v>
      </c>
      <c r="BR246" s="72">
        <f>IF(BR244&lt;0,0,BR244)</f>
        <v>0.76</v>
      </c>
      <c r="BS246" s="72">
        <f t="shared" ref="BS246:CA246" si="97">IF(BS244&lt;0,0,IF((BS244-BR245)&lt;0,0,(BS244-BR245)))</f>
        <v>0.73567999999999945</v>
      </c>
      <c r="BT246" s="72">
        <f t="shared" si="97"/>
        <v>0.7121382399999997</v>
      </c>
      <c r="BU246" s="72">
        <f t="shared" si="97"/>
        <v>0.68934981632000092</v>
      </c>
      <c r="BV246" s="72">
        <f t="shared" si="97"/>
        <v>0.66729062219775981</v>
      </c>
      <c r="BW246" s="72">
        <f t="shared" si="97"/>
        <v>0.64593732228743139</v>
      </c>
      <c r="BX246" s="72">
        <f t="shared" si="97"/>
        <v>0.6252673279742339</v>
      </c>
      <c r="BY246" s="72">
        <f t="shared" si="97"/>
        <v>0.60525877347905777</v>
      </c>
      <c r="BZ246" s="72">
        <f t="shared" si="97"/>
        <v>0.58589049272772864</v>
      </c>
      <c r="CA246" s="72">
        <f t="shared" si="97"/>
        <v>0.56714199696044065</v>
      </c>
    </row>
    <row r="247" spans="1:79" ht="15" x14ac:dyDescent="0.4">
      <c r="A247" s="97"/>
      <c r="B247" s="97"/>
      <c r="C247" s="97"/>
      <c r="D247" s="97"/>
      <c r="E247" s="97"/>
      <c r="F247" s="97" t="s">
        <v>87</v>
      </c>
      <c r="G247" s="126">
        <f>-LN(-G246+1)/$E$2</f>
        <v>5.1007138816960085</v>
      </c>
      <c r="H247" s="97"/>
      <c r="I247" s="117">
        <f>M243*L243+M246*L246+M249*L249</f>
        <v>0.1530450168879684</v>
      </c>
      <c r="J247" s="97"/>
      <c r="K247" s="117"/>
      <c r="L247" s="97"/>
      <c r="M247" s="128"/>
      <c r="N247" s="126"/>
      <c r="O247" s="97"/>
      <c r="P247" s="97"/>
      <c r="Q247" s="97"/>
      <c r="R247" s="97"/>
      <c r="S247" s="48"/>
      <c r="T247" s="48"/>
      <c r="U247" s="48"/>
      <c r="Y247" s="80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3"/>
      <c r="AK247" s="73"/>
      <c r="AL247" s="73"/>
      <c r="AM247" s="68"/>
      <c r="AN247" s="68"/>
      <c r="AO247" s="48"/>
      <c r="AP247" s="48"/>
      <c r="AQ247" s="48"/>
      <c r="AU247" s="80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3"/>
      <c r="BG247" s="73"/>
      <c r="BK247" s="48"/>
      <c r="BL247" s="48"/>
      <c r="BM247" s="48"/>
      <c r="BQ247" s="80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</row>
    <row r="248" spans="1:79" ht="15" x14ac:dyDescent="0.4">
      <c r="A248" s="97"/>
      <c r="B248" s="97"/>
      <c r="C248" s="97"/>
      <c r="D248" s="97"/>
      <c r="E248" s="97"/>
      <c r="F248" s="97"/>
      <c r="G248" s="97"/>
      <c r="H248" s="97"/>
      <c r="I248" s="117"/>
      <c r="J248" s="97"/>
      <c r="K248" s="123"/>
      <c r="L248" s="97"/>
      <c r="M248" s="128"/>
      <c r="N248" s="126"/>
      <c r="O248" s="97"/>
      <c r="P248" s="97"/>
      <c r="Q248" s="97"/>
      <c r="R248" s="97"/>
      <c r="S248" s="51" t="s">
        <v>68</v>
      </c>
      <c r="Y248" s="80" t="s">
        <v>69</v>
      </c>
      <c r="Z248" s="74">
        <f t="shared" ref="Z248:AI248" si="98">Z242-Z246</f>
        <v>1.24</v>
      </c>
      <c r="AA248" s="74">
        <f t="shared" si="98"/>
        <v>1.3739199999999998</v>
      </c>
      <c r="AB248" s="74">
        <f t="shared" si="98"/>
        <v>1.52230336</v>
      </c>
      <c r="AC248" s="74">
        <f t="shared" si="98"/>
        <v>1.6867121228800002</v>
      </c>
      <c r="AD248" s="74">
        <f t="shared" si="98"/>
        <v>1.8688770321510402</v>
      </c>
      <c r="AE248" s="74">
        <f t="shared" si="98"/>
        <v>2.0707157516233523</v>
      </c>
      <c r="AF248" s="74">
        <f t="shared" si="98"/>
        <v>2.294353052798674</v>
      </c>
      <c r="AG248" s="74">
        <f t="shared" si="98"/>
        <v>2.542143182500932</v>
      </c>
      <c r="AH248" s="74">
        <f t="shared" si="98"/>
        <v>2.6349999999999998</v>
      </c>
      <c r="AI248" s="74">
        <f t="shared" si="98"/>
        <v>2.6349999999999998</v>
      </c>
      <c r="AJ248" s="75"/>
      <c r="AK248" s="75"/>
      <c r="AL248" s="75"/>
      <c r="AM248" s="68"/>
      <c r="AN248" s="68"/>
      <c r="AO248" s="51" t="s">
        <v>68</v>
      </c>
      <c r="AU248" s="80" t="s">
        <v>69</v>
      </c>
      <c r="AV248" s="74">
        <f t="shared" ref="AV248:BE248" si="99">AV242-AV246</f>
        <v>1.24</v>
      </c>
      <c r="AW248" s="74">
        <f t="shared" si="99"/>
        <v>1.28464</v>
      </c>
      <c r="AX248" s="74">
        <f t="shared" si="99"/>
        <v>1.330887039999999</v>
      </c>
      <c r="AY248" s="74">
        <f t="shared" si="99"/>
        <v>1.3787989734399995</v>
      </c>
      <c r="AZ248" s="74">
        <f t="shared" si="99"/>
        <v>1.4284357364838407</v>
      </c>
      <c r="BA248" s="74">
        <f t="shared" si="99"/>
        <v>1.4798594229972575</v>
      </c>
      <c r="BB248" s="74">
        <f t="shared" si="99"/>
        <v>1.5331343622251608</v>
      </c>
      <c r="BC248" s="74">
        <f t="shared" si="99"/>
        <v>1.5883271992652661</v>
      </c>
      <c r="BD248" s="74">
        <f t="shared" si="99"/>
        <v>1.645506978438815</v>
      </c>
      <c r="BE248" s="74">
        <f t="shared" si="99"/>
        <v>1.7047452296626118</v>
      </c>
      <c r="BF248" s="75"/>
      <c r="BG248" s="75"/>
      <c r="BK248" s="51" t="s">
        <v>68</v>
      </c>
      <c r="BQ248" s="80" t="s">
        <v>69</v>
      </c>
      <c r="BR248" s="74">
        <f t="shared" ref="BR248:CA248" si="100">BR242-BR246</f>
        <v>1.24</v>
      </c>
      <c r="BS248" s="74">
        <f t="shared" si="100"/>
        <v>1.2003199999999992</v>
      </c>
      <c r="BT248" s="74">
        <f t="shared" si="100"/>
        <v>1.1619097599999995</v>
      </c>
      <c r="BU248" s="74">
        <f t="shared" si="100"/>
        <v>1.1247286476800014</v>
      </c>
      <c r="BV248" s="74">
        <f t="shared" si="100"/>
        <v>1.0887373309542396</v>
      </c>
      <c r="BW248" s="74">
        <f t="shared" si="100"/>
        <v>1.0538977363637039</v>
      </c>
      <c r="BX248" s="74">
        <f t="shared" si="100"/>
        <v>1.0201730088000658</v>
      </c>
      <c r="BY248" s="74">
        <f t="shared" si="100"/>
        <v>0.98752747251846262</v>
      </c>
      <c r="BZ248" s="74">
        <f t="shared" si="100"/>
        <v>0.95592659339787311</v>
      </c>
      <c r="CA248" s="74">
        <f t="shared" si="100"/>
        <v>0.92533694240913988</v>
      </c>
    </row>
    <row r="249" spans="1:79" x14ac:dyDescent="0.35">
      <c r="A249" s="97"/>
      <c r="B249" s="97"/>
      <c r="C249" s="97"/>
      <c r="D249" s="97"/>
      <c r="E249" s="97"/>
      <c r="F249" s="97"/>
      <c r="G249" s="97"/>
      <c r="H249" s="97"/>
      <c r="I249" s="117"/>
      <c r="J249" s="97"/>
      <c r="K249" s="122" t="s">
        <v>29</v>
      </c>
      <c r="L249" s="122">
        <v>0.25</v>
      </c>
      <c r="M249" s="128">
        <f>1-EXP(-N249*$E$2)</f>
        <v>5.7650812946612673E-2</v>
      </c>
      <c r="N249" s="126">
        <f>X270</f>
        <v>1.7813815859998208</v>
      </c>
      <c r="O249" s="97"/>
      <c r="P249" s="97"/>
      <c r="Q249" s="97"/>
      <c r="R249" s="97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</row>
    <row r="250" spans="1:79" ht="15" x14ac:dyDescent="0.4">
      <c r="A250" s="97"/>
      <c r="B250" s="97"/>
      <c r="C250" s="97"/>
      <c r="D250" s="97"/>
      <c r="E250" s="97"/>
      <c r="F250" s="97"/>
      <c r="G250" s="97"/>
      <c r="H250" s="97"/>
      <c r="I250" s="117"/>
      <c r="J250" s="97"/>
      <c r="K250" s="97"/>
      <c r="L250" s="97"/>
      <c r="M250" s="128"/>
      <c r="N250" s="126"/>
      <c r="O250" s="97"/>
      <c r="P250" s="97"/>
      <c r="Q250" s="97"/>
      <c r="R250" s="97"/>
      <c r="S250" s="51" t="s">
        <v>70</v>
      </c>
      <c r="T250" s="48"/>
      <c r="U250" s="48"/>
      <c r="Y250" s="80" t="s">
        <v>71</v>
      </c>
      <c r="Z250" s="93">
        <f>Z248+NPV(dgdgf,AA248,AB248,AC248,AD248,AE248,AF248,AG248,AH248,AI248)</f>
        <v>13.610131412283092</v>
      </c>
      <c r="AA250" s="92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68"/>
      <c r="AN250" s="68"/>
      <c r="AO250" s="51" t="s">
        <v>70</v>
      </c>
      <c r="AP250" s="48"/>
      <c r="AQ250" s="48"/>
      <c r="AU250" s="80" t="s">
        <v>71</v>
      </c>
      <c r="AV250" s="93">
        <f>AV248+NPV(gfdg,AW248,AX248,AY248,AZ248,BA248,BB248,BC248,BD248,BE248)</f>
        <v>10.356869686045449</v>
      </c>
      <c r="AW250" s="92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K250" s="51" t="s">
        <v>70</v>
      </c>
      <c r="BL250" s="48"/>
      <c r="BM250" s="48"/>
      <c r="BQ250" s="80" t="s">
        <v>71</v>
      </c>
      <c r="BR250" s="93">
        <f>BR248+NPV(fgfg,BS248,BT248,BU248,BV248,BW248,BX248,BY248,BZ248,CA248)</f>
        <v>7.9563742276900413</v>
      </c>
      <c r="BS250" s="92"/>
      <c r="BT250" s="76"/>
      <c r="BU250" s="76"/>
      <c r="BV250" s="76"/>
      <c r="BW250" s="76"/>
      <c r="BX250" s="76"/>
      <c r="BY250" s="76"/>
      <c r="BZ250" s="76"/>
      <c r="CA250" s="76"/>
    </row>
    <row r="251" spans="1:79" x14ac:dyDescent="0.35">
      <c r="A251" s="97"/>
      <c r="B251" s="97"/>
      <c r="C251" s="97"/>
      <c r="D251" s="97"/>
      <c r="E251" s="97"/>
      <c r="F251" s="97"/>
      <c r="G251" s="97"/>
      <c r="H251" s="97"/>
      <c r="I251" s="117"/>
      <c r="J251" s="97"/>
      <c r="K251" s="155" t="s">
        <v>33</v>
      </c>
      <c r="L251" s="155"/>
      <c r="M251" s="128"/>
      <c r="N251" s="126"/>
      <c r="O251" s="97"/>
      <c r="P251" s="97"/>
      <c r="Q251" s="97"/>
      <c r="R251" s="97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68"/>
      <c r="AN251" s="68"/>
      <c r="AO251" s="68"/>
    </row>
    <row r="252" spans="1:79" x14ac:dyDescent="0.35">
      <c r="A252" s="97"/>
      <c r="B252" s="97"/>
      <c r="C252" s="97"/>
      <c r="D252" s="97"/>
      <c r="E252" s="97"/>
      <c r="F252" s="97"/>
      <c r="G252" s="97"/>
      <c r="H252" s="97"/>
      <c r="I252" s="117"/>
      <c r="J252" s="97"/>
      <c r="K252" s="97"/>
      <c r="L252" s="97"/>
      <c r="M252" s="128"/>
      <c r="N252" s="126"/>
      <c r="O252" s="97"/>
      <c r="P252" s="97"/>
      <c r="Q252" s="97"/>
      <c r="R252" s="97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68"/>
      <c r="AN252" s="68"/>
      <c r="AO252" s="68"/>
    </row>
    <row r="253" spans="1:79" x14ac:dyDescent="0.35">
      <c r="A253" s="97"/>
      <c r="B253" s="97"/>
      <c r="C253" s="97"/>
      <c r="D253" s="97"/>
      <c r="E253" s="97"/>
      <c r="F253" s="97"/>
      <c r="G253" s="97"/>
      <c r="H253" s="97"/>
      <c r="I253" s="117"/>
      <c r="J253" s="97"/>
      <c r="K253" s="120" t="s">
        <v>31</v>
      </c>
      <c r="L253" s="122">
        <v>0.25</v>
      </c>
      <c r="M253" s="128">
        <f>1-EXP(-N253*$E$2)</f>
        <v>0.22189281988357346</v>
      </c>
      <c r="N253" s="126">
        <f>Z269</f>
        <v>7.526730019394777</v>
      </c>
      <c r="O253" s="97"/>
      <c r="P253" s="97"/>
      <c r="Q253" s="97"/>
      <c r="R253" s="97"/>
      <c r="Z253" s="94"/>
      <c r="AA253" s="75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</row>
    <row r="254" spans="1:79" x14ac:dyDescent="0.35">
      <c r="A254" s="97"/>
      <c r="B254" s="97"/>
      <c r="C254" s="97"/>
      <c r="D254" s="97"/>
      <c r="E254" s="97"/>
      <c r="F254" s="97"/>
      <c r="G254" s="97"/>
      <c r="H254" s="97"/>
      <c r="I254" s="117"/>
      <c r="J254" s="97"/>
      <c r="K254" s="117"/>
      <c r="L254" s="97"/>
      <c r="M254" s="128"/>
      <c r="N254" s="126"/>
      <c r="O254" s="97"/>
      <c r="P254" s="97"/>
      <c r="Q254" s="97"/>
      <c r="R254" s="97"/>
      <c r="Y254" s="7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68"/>
      <c r="AN254" s="68"/>
      <c r="AO254" s="68"/>
    </row>
    <row r="255" spans="1:79" x14ac:dyDescent="0.35">
      <c r="A255" s="97"/>
      <c r="B255" s="97"/>
      <c r="C255" s="97"/>
      <c r="D255" s="97"/>
      <c r="E255" s="97"/>
      <c r="F255" s="97"/>
      <c r="G255" s="97"/>
      <c r="H255" s="97"/>
      <c r="I255" s="123"/>
      <c r="J255" s="97"/>
      <c r="K255" s="117"/>
      <c r="L255" s="97"/>
      <c r="M255" s="128"/>
      <c r="N255" s="126"/>
      <c r="O255" s="97"/>
      <c r="P255" s="97"/>
      <c r="Q255" s="97"/>
      <c r="R255" s="97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</row>
    <row r="256" spans="1:79" x14ac:dyDescent="0.35">
      <c r="A256" s="97"/>
      <c r="B256" s="97"/>
      <c r="C256" s="97"/>
      <c r="D256" s="97"/>
      <c r="E256" s="97"/>
      <c r="F256" s="97"/>
      <c r="G256" s="97"/>
      <c r="H256" s="97"/>
      <c r="I256" s="122" t="s">
        <v>29</v>
      </c>
      <c r="J256" s="122">
        <v>0.25</v>
      </c>
      <c r="K256" s="120" t="s">
        <v>30</v>
      </c>
      <c r="L256" s="122">
        <v>0.5</v>
      </c>
      <c r="M256" s="128">
        <f>1-EXP(-N256*$E$2)</f>
        <v>0.10777895065011578</v>
      </c>
      <c r="N256" s="126">
        <f>Y269</f>
        <v>3.4212409179067214</v>
      </c>
      <c r="O256" s="97"/>
      <c r="P256" s="97"/>
      <c r="Q256" s="97"/>
      <c r="R256" s="97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</row>
    <row r="257" spans="1:41" x14ac:dyDescent="0.35">
      <c r="A257" s="97"/>
      <c r="B257" s="97"/>
      <c r="C257" s="97"/>
      <c r="D257" s="97"/>
      <c r="E257" s="97"/>
      <c r="F257" s="97"/>
      <c r="G257" s="97"/>
      <c r="H257" s="97"/>
      <c r="I257" s="97">
        <f>M253*L253+M256*L256+M259*L259</f>
        <v>0.12051061842536945</v>
      </c>
      <c r="J257" s="97"/>
      <c r="K257" s="117"/>
      <c r="L257" s="97"/>
      <c r="M257" s="128"/>
      <c r="N257" s="126"/>
      <c r="O257" s="97"/>
      <c r="P257" s="97"/>
      <c r="Q257" s="97"/>
      <c r="R257" s="97"/>
      <c r="T257" s="13"/>
      <c r="Z257" s="77"/>
      <c r="AA257" s="77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</row>
    <row r="258" spans="1:41" x14ac:dyDescent="0.35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123"/>
      <c r="L258" s="97"/>
      <c r="M258" s="128"/>
      <c r="N258" s="126"/>
      <c r="O258" s="97"/>
      <c r="P258" s="97"/>
      <c r="Q258" s="97"/>
      <c r="R258" s="97"/>
      <c r="S258" s="13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68"/>
      <c r="AN258" s="68"/>
      <c r="AO258" s="68"/>
    </row>
    <row r="259" spans="1:41" x14ac:dyDescent="0.35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122" t="s">
        <v>29</v>
      </c>
      <c r="L259" s="122">
        <v>0.25</v>
      </c>
      <c r="M259" s="128">
        <f>1-EXP(-N259*$E$2)</f>
        <v>4.4591752517672778E-2</v>
      </c>
      <c r="N259" s="126">
        <f>X269</f>
        <v>1.3684963671626891</v>
      </c>
      <c r="O259" s="97"/>
      <c r="P259" s="97"/>
      <c r="Q259" s="97"/>
      <c r="R259" s="97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68"/>
      <c r="AN259" s="68"/>
      <c r="AO259" s="68"/>
    </row>
    <row r="260" spans="1:41" x14ac:dyDescent="0.35">
      <c r="R260" s="97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68"/>
      <c r="AN260" s="68"/>
      <c r="AO260" s="68"/>
    </row>
    <row r="261" spans="1:41" x14ac:dyDescent="0.35">
      <c r="R261" s="97"/>
      <c r="T261" s="33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68"/>
      <c r="AN261" s="68"/>
      <c r="AO261" s="68"/>
    </row>
    <row r="262" spans="1:41" x14ac:dyDescent="0.35"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97"/>
      <c r="T262" s="33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68"/>
      <c r="AN262" s="68"/>
      <c r="AO262" s="68"/>
    </row>
    <row r="263" spans="1:41" x14ac:dyDescent="0.35"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97"/>
      <c r="T263" s="33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68"/>
      <c r="AN263" s="68"/>
      <c r="AO263" s="68"/>
    </row>
    <row r="264" spans="1:41" x14ac:dyDescent="0.35"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97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68"/>
      <c r="AN264" s="68"/>
      <c r="AO264" s="68"/>
    </row>
    <row r="265" spans="1:41" x14ac:dyDescent="0.35">
      <c r="R265" s="97"/>
      <c r="U265" s="68"/>
      <c r="V265" s="68"/>
      <c r="W265" s="68"/>
      <c r="X265" s="68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68"/>
      <c r="AN265" s="68"/>
      <c r="AO265" s="68"/>
    </row>
    <row r="266" spans="1:41" x14ac:dyDescent="0.35"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97"/>
      <c r="U266" s="68"/>
      <c r="V266" s="68"/>
      <c r="W266" s="68"/>
      <c r="X266" s="140" t="str">
        <f>T309</f>
        <v>DA Corp. markets</v>
      </c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68"/>
      <c r="AN266" s="68"/>
      <c r="AO266" s="68"/>
    </row>
    <row r="267" spans="1:41" ht="15.4" x14ac:dyDescent="0.45">
      <c r="R267" s="97"/>
      <c r="U267" s="68"/>
      <c r="V267" s="68"/>
      <c r="W267" s="68"/>
      <c r="X267" s="55" t="s">
        <v>29</v>
      </c>
      <c r="Y267" s="55" t="s">
        <v>30</v>
      </c>
      <c r="Z267" s="55" t="s">
        <v>31</v>
      </c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68"/>
      <c r="AN267" s="68"/>
      <c r="AO267" s="68"/>
    </row>
    <row r="268" spans="1:41" x14ac:dyDescent="0.35">
      <c r="R268" s="97"/>
      <c r="U268" s="78"/>
      <c r="V268" s="68"/>
      <c r="W268" s="141">
        <f>Z351</f>
        <v>4.4534539649995466</v>
      </c>
      <c r="X268" s="62">
        <v>1</v>
      </c>
      <c r="Y268" s="63">
        <v>2.5</v>
      </c>
      <c r="Z268" s="64">
        <v>5.5</v>
      </c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68"/>
      <c r="AN268" s="68"/>
      <c r="AO268" s="68"/>
    </row>
    <row r="269" spans="1:41" ht="15.4" x14ac:dyDescent="0.45"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97"/>
      <c r="U269" s="146" t="str">
        <f>T311</f>
        <v>Demand Growth Rate</v>
      </c>
      <c r="V269" s="55" t="s">
        <v>29</v>
      </c>
      <c r="W269" s="152">
        <v>-3.2000000000000001E-2</v>
      </c>
      <c r="X269" s="68">
        <f t="dataTable" ref="X269:Z271" dt2D="1" dtr="1" r1="AC309" r2="AC311"/>
        <v>1.3684963671626891</v>
      </c>
      <c r="Y269">
        <v>3.4212409179067214</v>
      </c>
      <c r="Z269">
        <v>7.526730019394777</v>
      </c>
      <c r="AA269" s="79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68"/>
      <c r="AN269" s="68"/>
      <c r="AO269" s="68"/>
    </row>
    <row r="270" spans="1:41" ht="15.4" x14ac:dyDescent="0.45"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97"/>
      <c r="U270" s="75"/>
      <c r="V270" s="55" t="s">
        <v>30</v>
      </c>
      <c r="W270" s="152">
        <v>3.5999999999999997E-2</v>
      </c>
      <c r="X270" s="68">
        <v>1.7813815859998208</v>
      </c>
      <c r="Y270">
        <v>4.4534539649995466</v>
      </c>
      <c r="Z270">
        <v>9.7975987229989983</v>
      </c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</row>
    <row r="271" spans="1:41" ht="15.4" x14ac:dyDescent="0.45"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97"/>
      <c r="S271" s="13"/>
      <c r="U271" s="75"/>
      <c r="V271" s="55" t="s">
        <v>31</v>
      </c>
      <c r="W271" s="152">
        <v>0.108</v>
      </c>
      <c r="X271" s="68">
        <v>2.3996348114176955</v>
      </c>
      <c r="Y271">
        <v>5.9990870285442428</v>
      </c>
      <c r="Z271">
        <v>13.19799146279734</v>
      </c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</row>
    <row r="272" spans="1:41" x14ac:dyDescent="0.35"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97"/>
      <c r="S272" s="2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</row>
    <row r="273" spans="1:41" x14ac:dyDescent="0.35">
      <c r="R273" s="97"/>
      <c r="T273" s="13"/>
      <c r="Z273" s="77"/>
      <c r="AA273" s="77"/>
      <c r="AB273" s="77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</row>
    <row r="274" spans="1:41" x14ac:dyDescent="0.35"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97"/>
      <c r="S274" s="13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68"/>
      <c r="AN274" s="68"/>
      <c r="AO274" s="68"/>
    </row>
    <row r="275" spans="1:41" x14ac:dyDescent="0.35"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97"/>
      <c r="S275" s="13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</row>
    <row r="276" spans="1:41" x14ac:dyDescent="0.35">
      <c r="R276" s="97"/>
      <c r="Y276" s="34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68"/>
      <c r="AN276" s="68"/>
      <c r="AO276" s="68"/>
    </row>
    <row r="277" spans="1:41" x14ac:dyDescent="0.35">
      <c r="G277" s="7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97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</row>
    <row r="278" spans="1:41" x14ac:dyDescent="0.35">
      <c r="R278" s="97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</row>
    <row r="279" spans="1:41" ht="19.149999999999999" x14ac:dyDescent="0.65">
      <c r="R279" s="97"/>
      <c r="S279" s="38" t="s">
        <v>0</v>
      </c>
      <c r="AL279" s="75"/>
      <c r="AM279" s="68"/>
      <c r="AN279" s="68"/>
      <c r="AO279" s="68"/>
    </row>
    <row r="280" spans="1:41" ht="13.15" thickBot="1" x14ac:dyDescent="0.4">
      <c r="B280" s="13"/>
      <c r="H280" s="33"/>
      <c r="I280" s="33"/>
      <c r="R280" s="97"/>
      <c r="AL280" s="75"/>
      <c r="AM280" s="68"/>
      <c r="AN280" s="68"/>
      <c r="AO280" s="68"/>
    </row>
    <row r="281" spans="1:41" ht="15.4" x14ac:dyDescent="0.45">
      <c r="A281" s="13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97"/>
      <c r="S281" s="53" t="s">
        <v>1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75"/>
      <c r="AM281" s="68"/>
      <c r="AN281" s="68"/>
      <c r="AO281" s="68"/>
    </row>
    <row r="282" spans="1:41" x14ac:dyDescent="0.35"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97"/>
      <c r="S282" s="2"/>
      <c r="AL282" s="68"/>
      <c r="AM282" s="68"/>
      <c r="AN282" s="68"/>
      <c r="AO282" s="68"/>
    </row>
    <row r="283" spans="1:41" x14ac:dyDescent="0.35"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97"/>
      <c r="S283" s="3"/>
      <c r="W283" s="4" t="s">
        <v>2</v>
      </c>
      <c r="X283" s="5"/>
      <c r="Y283" s="5"/>
      <c r="Z283" s="5"/>
      <c r="AA283" s="5"/>
      <c r="AB283" s="5"/>
      <c r="AC283" s="6">
        <v>4</v>
      </c>
      <c r="AD283" s="7" t="s">
        <v>3</v>
      </c>
      <c r="AL283" s="75"/>
      <c r="AM283" s="68"/>
      <c r="AN283" s="68"/>
      <c r="AO283" s="68"/>
    </row>
    <row r="284" spans="1:41" x14ac:dyDescent="0.35">
      <c r="B284" s="33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97"/>
      <c r="W284" s="8" t="s">
        <v>4</v>
      </c>
      <c r="X284" s="9"/>
      <c r="Y284" s="9"/>
      <c r="Z284" s="9"/>
      <c r="AA284" s="9"/>
      <c r="AB284" s="9"/>
      <c r="AC284" s="10" t="str">
        <f>INDEX(X287:X290,AC283)</f>
        <v>Royalty</v>
      </c>
      <c r="AD284" s="7" t="s">
        <v>5</v>
      </c>
      <c r="AL284" s="68"/>
      <c r="AM284" s="68"/>
      <c r="AN284" s="68"/>
      <c r="AO284" s="68"/>
    </row>
    <row r="285" spans="1:41" x14ac:dyDescent="0.35">
      <c r="B285" s="33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97"/>
      <c r="AL285" s="68"/>
      <c r="AM285" s="68"/>
      <c r="AN285" s="68"/>
      <c r="AO285" s="68"/>
    </row>
    <row r="286" spans="1:41" x14ac:dyDescent="0.35">
      <c r="B286" s="3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97"/>
      <c r="W286" t="s">
        <v>6</v>
      </c>
      <c r="AL286" s="75"/>
      <c r="AM286" s="68"/>
      <c r="AN286" s="68"/>
      <c r="AO286" s="68"/>
    </row>
    <row r="287" spans="1:41" x14ac:dyDescent="0.35"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97"/>
      <c r="W287">
        <v>1</v>
      </c>
      <c r="X287" s="37" t="s">
        <v>7</v>
      </c>
      <c r="AL287" s="75"/>
      <c r="AM287" s="68"/>
      <c r="AN287" s="68"/>
      <c r="AO287" s="68"/>
    </row>
    <row r="288" spans="1:41" x14ac:dyDescent="0.35"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97"/>
      <c r="W288">
        <v>2</v>
      </c>
      <c r="X288" s="37" t="s">
        <v>8</v>
      </c>
      <c r="AE288" s="11"/>
      <c r="AL288" s="75"/>
      <c r="AM288" s="68"/>
      <c r="AN288" s="68"/>
      <c r="AO288" s="68"/>
    </row>
    <row r="289" spans="1:41" x14ac:dyDescent="0.35"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97"/>
      <c r="W289">
        <v>3</v>
      </c>
      <c r="X289" s="37" t="s">
        <v>9</v>
      </c>
      <c r="AE289" s="11"/>
      <c r="AL289" s="75"/>
      <c r="AM289" s="68"/>
      <c r="AN289" s="68"/>
      <c r="AO289" s="68"/>
    </row>
    <row r="290" spans="1:41" x14ac:dyDescent="0.35">
      <c r="G290" s="12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97"/>
      <c r="W290">
        <v>4</v>
      </c>
      <c r="X290" s="37" t="s">
        <v>10</v>
      </c>
      <c r="AL290" s="68"/>
      <c r="AM290" s="68"/>
      <c r="AN290" s="68"/>
      <c r="AO290" s="68"/>
    </row>
    <row r="291" spans="1:41" ht="13.15" thickBot="1" x14ac:dyDescent="0.4"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97"/>
      <c r="AL291" s="75"/>
      <c r="AM291" s="68"/>
      <c r="AN291" s="68"/>
      <c r="AO291" s="68"/>
    </row>
    <row r="292" spans="1:41" ht="15.4" x14ac:dyDescent="0.45">
      <c r="H292" s="31"/>
      <c r="I292" s="35"/>
      <c r="J292" s="31"/>
      <c r="K292" s="31"/>
      <c r="L292" s="31"/>
      <c r="M292" s="31"/>
      <c r="N292" s="31"/>
      <c r="O292" s="31"/>
      <c r="P292" s="31"/>
      <c r="Q292" s="31"/>
      <c r="R292" s="97"/>
      <c r="S292" s="53" t="s">
        <v>11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75"/>
      <c r="AM292" s="68"/>
      <c r="AN292" s="68"/>
      <c r="AO292" s="68"/>
    </row>
    <row r="293" spans="1:41" x14ac:dyDescent="0.35">
      <c r="R293" s="97"/>
      <c r="AL293" s="68"/>
      <c r="AM293" s="68"/>
      <c r="AN293" s="68"/>
      <c r="AO293" s="68"/>
    </row>
    <row r="294" spans="1:41" ht="15.4" x14ac:dyDescent="0.45">
      <c r="R294" s="97"/>
      <c r="S294" s="49"/>
      <c r="T294" s="49" t="s">
        <v>12</v>
      </c>
      <c r="U294" s="49"/>
      <c r="V294" s="49"/>
      <c r="W294" s="49"/>
      <c r="X294" s="49"/>
      <c r="Y294" s="49"/>
      <c r="Z294" s="55" t="s">
        <v>13</v>
      </c>
      <c r="AA294" s="55" t="s">
        <v>14</v>
      </c>
      <c r="AB294" s="56" t="s">
        <v>15</v>
      </c>
      <c r="AC294" s="55"/>
      <c r="AD294" s="55"/>
      <c r="AE294" s="55"/>
      <c r="AF294" s="55"/>
      <c r="AG294" s="55"/>
      <c r="AH294" s="55"/>
      <c r="AI294" s="55"/>
      <c r="AJ294" s="55"/>
      <c r="AK294" s="55"/>
      <c r="AL294" s="75"/>
      <c r="AM294" s="68"/>
      <c r="AN294" s="68"/>
      <c r="AO294" s="68"/>
    </row>
    <row r="295" spans="1:41" x14ac:dyDescent="0.35">
      <c r="A295" s="13"/>
      <c r="R295" s="97"/>
      <c r="S295" s="2"/>
      <c r="T295" s="4"/>
      <c r="U295" s="5"/>
      <c r="V295" s="5"/>
      <c r="W295" s="5"/>
      <c r="X295" s="5"/>
      <c r="Y295" s="5"/>
      <c r="Z295" s="5"/>
      <c r="AA295" s="5"/>
      <c r="AB295" s="15"/>
      <c r="AC295" s="23"/>
      <c r="AD295" s="3"/>
      <c r="AE295" s="3"/>
      <c r="AF295" s="3"/>
      <c r="AG295" s="3"/>
      <c r="AH295" s="3"/>
      <c r="AI295" s="3"/>
      <c r="AJ295" s="3"/>
      <c r="AK295" s="3"/>
      <c r="AL295" s="68"/>
      <c r="AM295" s="68"/>
      <c r="AN295" s="68"/>
      <c r="AO295" s="68"/>
    </row>
    <row r="296" spans="1:41" x14ac:dyDescent="0.35">
      <c r="A296" s="2"/>
      <c r="R296" s="97"/>
      <c r="S296" s="24" t="s">
        <v>16</v>
      </c>
      <c r="T296" s="16" t="s">
        <v>17</v>
      </c>
      <c r="U296" s="3"/>
      <c r="V296" s="3"/>
      <c r="W296" s="3"/>
      <c r="X296" s="3"/>
      <c r="Y296" s="3"/>
      <c r="Z296" s="17" t="s">
        <v>18</v>
      </c>
      <c r="AA296" s="27">
        <f>$H$1</f>
        <v>0.08</v>
      </c>
      <c r="AB296" s="25" t="s">
        <v>19</v>
      </c>
      <c r="AE296" s="26"/>
      <c r="AF296" s="26"/>
      <c r="AG296" s="26"/>
      <c r="AH296" s="26"/>
      <c r="AI296" s="26"/>
      <c r="AJ296" s="26"/>
      <c r="AK296" s="3"/>
      <c r="AL296" s="68"/>
      <c r="AM296" s="68"/>
      <c r="AN296" s="68"/>
      <c r="AO296" s="68"/>
    </row>
    <row r="297" spans="1:41" x14ac:dyDescent="0.35">
      <c r="B297" s="13"/>
      <c r="H297" s="33"/>
      <c r="I297" s="33"/>
      <c r="J297" s="33"/>
      <c r="R297" s="97"/>
      <c r="S297" s="24" t="s">
        <v>16</v>
      </c>
      <c r="T297" s="16" t="s">
        <v>20</v>
      </c>
      <c r="U297" s="3"/>
      <c r="V297" s="3"/>
      <c r="W297" s="3"/>
      <c r="X297" s="3"/>
      <c r="Y297" s="3"/>
      <c r="Z297" s="17" t="s">
        <v>18</v>
      </c>
      <c r="AA297" s="91">
        <f>$H$2</f>
        <v>0.38</v>
      </c>
      <c r="AB297" s="25" t="s">
        <v>21</v>
      </c>
      <c r="AE297" s="26"/>
      <c r="AF297" s="26"/>
      <c r="AG297" s="26"/>
      <c r="AH297" s="26"/>
      <c r="AI297" s="26"/>
      <c r="AJ297" s="26"/>
      <c r="AK297" s="3"/>
      <c r="AL297" s="68"/>
      <c r="AM297" s="68"/>
      <c r="AN297" s="68"/>
      <c r="AO297" s="68"/>
    </row>
    <row r="298" spans="1:41" x14ac:dyDescent="0.35">
      <c r="A298" s="13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97"/>
      <c r="S298" s="24"/>
      <c r="T298" s="16" t="s">
        <v>22</v>
      </c>
      <c r="U298" s="3"/>
      <c r="V298" s="3"/>
      <c r="W298" s="3"/>
      <c r="X298" s="3"/>
      <c r="Y298" s="3"/>
      <c r="Z298" s="17" t="s">
        <v>18</v>
      </c>
      <c r="AA298" s="91">
        <v>0.6</v>
      </c>
      <c r="AB298" s="25" t="s">
        <v>23</v>
      </c>
      <c r="AE298" s="26"/>
      <c r="AF298" s="26"/>
      <c r="AG298" s="26"/>
      <c r="AH298" s="26"/>
      <c r="AI298" s="26"/>
      <c r="AJ298" s="26"/>
      <c r="AK298" s="3"/>
      <c r="AL298" s="78"/>
      <c r="AM298" s="68"/>
      <c r="AN298" s="68"/>
      <c r="AO298" s="68"/>
    </row>
    <row r="299" spans="1:41" x14ac:dyDescent="0.35">
      <c r="A299" s="13"/>
      <c r="R299" s="97"/>
      <c r="S299" s="24"/>
      <c r="T299" s="16" t="s">
        <v>24</v>
      </c>
      <c r="U299" s="3"/>
      <c r="V299" s="3"/>
      <c r="W299" s="3"/>
      <c r="X299" s="3"/>
      <c r="Y299" s="3"/>
      <c r="Z299" s="17" t="s">
        <v>18</v>
      </c>
      <c r="AA299" s="28">
        <f>$H$3</f>
        <v>0.98</v>
      </c>
      <c r="AB299" s="25" t="s">
        <v>25</v>
      </c>
      <c r="AE299" s="40"/>
      <c r="AF299" s="40"/>
      <c r="AG299" s="40"/>
      <c r="AH299" s="40"/>
      <c r="AI299" s="40"/>
      <c r="AJ299" s="40"/>
      <c r="AK299" s="3"/>
      <c r="AL299" s="75"/>
      <c r="AM299" s="68"/>
      <c r="AN299" s="68"/>
      <c r="AO299" s="68"/>
    </row>
    <row r="300" spans="1:41" x14ac:dyDescent="0.35">
      <c r="G300" s="34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97"/>
      <c r="S300" s="24"/>
      <c r="T300" s="16"/>
      <c r="U300" s="3"/>
      <c r="V300" s="3"/>
      <c r="W300" s="3"/>
      <c r="X300" s="3"/>
      <c r="Y300" s="3"/>
      <c r="Z300" s="17"/>
      <c r="AA300" s="40"/>
      <c r="AB300" s="25"/>
      <c r="AE300" s="40"/>
      <c r="AF300" s="40"/>
      <c r="AG300" s="40"/>
      <c r="AH300" s="40"/>
      <c r="AI300" s="40"/>
      <c r="AJ300" s="40"/>
      <c r="AK300" s="3"/>
      <c r="AL300" s="75"/>
      <c r="AM300" s="68"/>
      <c r="AN300" s="68"/>
      <c r="AO300" s="68"/>
    </row>
    <row r="301" spans="1:41" x14ac:dyDescent="0.35">
      <c r="R301" s="97"/>
      <c r="S301" s="24"/>
      <c r="T301" s="16"/>
      <c r="U301" s="3"/>
      <c r="V301" s="3"/>
      <c r="W301" s="3"/>
      <c r="X301" s="3"/>
      <c r="Y301" s="3"/>
      <c r="Z301" s="17"/>
      <c r="AA301" s="39"/>
      <c r="AB301" s="25"/>
      <c r="AE301" s="39"/>
      <c r="AF301" s="39"/>
      <c r="AG301" s="39"/>
      <c r="AH301" s="39"/>
      <c r="AI301" s="39"/>
      <c r="AJ301" s="39"/>
      <c r="AK301" s="3"/>
      <c r="AL301" s="75"/>
      <c r="AM301" s="68"/>
      <c r="AN301" s="68"/>
      <c r="AO301" s="68"/>
    </row>
    <row r="302" spans="1:41" x14ac:dyDescent="0.35">
      <c r="R302" s="97"/>
      <c r="S302" s="24"/>
      <c r="T302" s="16"/>
      <c r="U302" s="3"/>
      <c r="V302" s="3"/>
      <c r="W302" s="3"/>
      <c r="X302" s="3"/>
      <c r="Y302" s="3"/>
      <c r="Z302" s="17"/>
      <c r="AA302" s="39"/>
      <c r="AB302" s="25"/>
      <c r="AE302" s="39"/>
      <c r="AF302" s="39"/>
      <c r="AG302" s="39"/>
      <c r="AH302" s="39"/>
      <c r="AI302" s="39"/>
      <c r="AJ302" s="39"/>
      <c r="AK302" s="3"/>
      <c r="AL302" s="75"/>
      <c r="AM302" s="68"/>
      <c r="AN302" s="68"/>
      <c r="AO302" s="68"/>
    </row>
    <row r="303" spans="1:41" x14ac:dyDescent="0.35"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97"/>
      <c r="S303" s="24" t="s">
        <v>16</v>
      </c>
      <c r="T303" s="18"/>
      <c r="U303" s="19"/>
      <c r="V303" s="19"/>
      <c r="W303" s="19"/>
      <c r="X303" s="19"/>
      <c r="Y303" s="19"/>
      <c r="Z303" s="19"/>
      <c r="AA303" s="19"/>
      <c r="AB303" s="59"/>
      <c r="AC303" s="23"/>
      <c r="AD303" s="3"/>
      <c r="AE303" s="3"/>
      <c r="AF303" s="3"/>
      <c r="AG303" s="3"/>
      <c r="AH303" s="3"/>
      <c r="AI303" s="3"/>
      <c r="AJ303" s="3"/>
      <c r="AK303" s="3"/>
      <c r="AL303" s="75"/>
      <c r="AM303" s="68"/>
      <c r="AN303" s="68"/>
      <c r="AO303" s="68"/>
    </row>
    <row r="304" spans="1:41" ht="13.15" thickBot="1" x14ac:dyDescent="0.4"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97"/>
      <c r="S304" s="24"/>
      <c r="T304" s="3"/>
      <c r="U304" s="3"/>
      <c r="V304" s="3"/>
      <c r="W304" s="3"/>
      <c r="X304" s="3"/>
      <c r="Y304" s="3"/>
      <c r="Z304" s="3"/>
      <c r="AA304" s="3"/>
      <c r="AC304" s="23"/>
      <c r="AD304" s="3"/>
      <c r="AE304" s="3"/>
      <c r="AF304" s="3"/>
      <c r="AG304" s="3"/>
      <c r="AH304" s="3"/>
      <c r="AI304" s="3"/>
      <c r="AJ304" s="3"/>
      <c r="AK304" s="3"/>
      <c r="AL304" s="75"/>
      <c r="AM304" s="68"/>
      <c r="AN304" s="68"/>
      <c r="AO304" s="68"/>
    </row>
    <row r="305" spans="7:41" ht="15.4" x14ac:dyDescent="0.45"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97"/>
      <c r="S305" s="53" t="s">
        <v>26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75"/>
      <c r="AM305" s="68"/>
      <c r="AN305" s="68"/>
      <c r="AO305" s="68"/>
    </row>
    <row r="306" spans="7:41" ht="15.4" x14ac:dyDescent="0.45">
      <c r="R306" s="97"/>
      <c r="S306" s="54"/>
      <c r="AL306" s="75"/>
      <c r="AM306" s="68"/>
      <c r="AN306" s="68"/>
      <c r="AO306" s="68"/>
    </row>
    <row r="307" spans="7:41" ht="15.4" x14ac:dyDescent="0.45"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97"/>
      <c r="S307" s="49"/>
      <c r="T307" s="49" t="s">
        <v>12</v>
      </c>
      <c r="U307" s="49"/>
      <c r="V307" s="49"/>
      <c r="W307" s="49"/>
      <c r="X307" s="49"/>
      <c r="Y307" s="49"/>
      <c r="Z307" s="55" t="s">
        <v>13</v>
      </c>
      <c r="AA307" s="55" t="s">
        <v>27</v>
      </c>
      <c r="AB307" s="56"/>
      <c r="AC307" s="55" t="s">
        <v>28</v>
      </c>
      <c r="AD307" s="55" t="s">
        <v>15</v>
      </c>
      <c r="AE307" s="55" t="s">
        <v>29</v>
      </c>
      <c r="AF307" s="55" t="s">
        <v>30</v>
      </c>
      <c r="AG307" s="55" t="s">
        <v>31</v>
      </c>
      <c r="AH307" s="9"/>
      <c r="AJ307" s="55"/>
      <c r="AL307" s="75"/>
      <c r="AM307" s="68"/>
      <c r="AN307" s="68"/>
      <c r="AO307" s="68"/>
    </row>
    <row r="308" spans="7:41" x14ac:dyDescent="0.35">
      <c r="R308" s="97"/>
      <c r="S308" s="24" t="s">
        <v>16</v>
      </c>
      <c r="T308" s="60" t="s">
        <v>32</v>
      </c>
      <c r="U308" s="5"/>
      <c r="V308" s="5"/>
      <c r="W308" s="5"/>
      <c r="X308" s="5"/>
      <c r="Y308" s="5"/>
      <c r="Z308" s="5"/>
      <c r="AA308" s="5"/>
      <c r="AB308" s="14"/>
      <c r="AC308" s="21"/>
      <c r="AD308" s="5"/>
      <c r="AE308" s="5"/>
      <c r="AF308" s="5"/>
      <c r="AG308" s="5"/>
      <c r="AH308" s="58"/>
      <c r="AJ308" s="3"/>
      <c r="AL308" s="75"/>
      <c r="AM308" s="68"/>
      <c r="AN308" s="68"/>
      <c r="AO308" s="68"/>
    </row>
    <row r="309" spans="7:41" x14ac:dyDescent="0.35">
      <c r="R309" s="97"/>
      <c r="S309" s="46" t="s">
        <v>16</v>
      </c>
      <c r="T309" s="140" t="s">
        <v>33</v>
      </c>
      <c r="U309" s="95"/>
      <c r="V309" s="95"/>
      <c r="W309" s="3"/>
      <c r="X309" s="3"/>
      <c r="Y309" s="3"/>
      <c r="Z309" s="17" t="s">
        <v>34</v>
      </c>
      <c r="AA309" s="44">
        <v>2</v>
      </c>
      <c r="AB309" s="7"/>
      <c r="AC309" s="41">
        <f>INDEX(AE309:AG309,AA309)</f>
        <v>2.5</v>
      </c>
      <c r="AD309" s="7" t="s">
        <v>35</v>
      </c>
      <c r="AE309" s="62">
        <v>1</v>
      </c>
      <c r="AF309" s="63">
        <v>2.5</v>
      </c>
      <c r="AG309" s="64">
        <v>5.5</v>
      </c>
      <c r="AH309" s="58"/>
      <c r="AJ309" s="42"/>
      <c r="AL309" s="75"/>
      <c r="AM309" s="68"/>
      <c r="AN309" s="68"/>
      <c r="AO309" s="68"/>
    </row>
    <row r="310" spans="7:41" x14ac:dyDescent="0.35"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97"/>
      <c r="S310" s="46" t="s">
        <v>16</v>
      </c>
      <c r="T310" s="43" t="s">
        <v>36</v>
      </c>
      <c r="U310" s="95"/>
      <c r="V310" s="95"/>
      <c r="W310" s="3"/>
      <c r="X310" s="3"/>
      <c r="Y310" s="3"/>
      <c r="Z310" s="17" t="s">
        <v>34</v>
      </c>
      <c r="AA310" s="44">
        <v>2</v>
      </c>
      <c r="AB310" s="7"/>
      <c r="AC310" s="41">
        <f>INDEX(AE310:AG310,AA310)</f>
        <v>1.6</v>
      </c>
      <c r="AD310" s="7" t="s">
        <v>37</v>
      </c>
      <c r="AE310" s="62">
        <v>1.3</v>
      </c>
      <c r="AF310" s="63">
        <v>1.6</v>
      </c>
      <c r="AG310" s="64">
        <v>1.8</v>
      </c>
      <c r="AH310" s="58"/>
      <c r="AJ310" s="3"/>
      <c r="AL310" s="68"/>
      <c r="AM310" s="68"/>
      <c r="AN310" s="68"/>
      <c r="AO310" s="68"/>
    </row>
    <row r="311" spans="7:41" x14ac:dyDescent="0.35"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97"/>
      <c r="S311" s="24" t="s">
        <v>16</v>
      </c>
      <c r="T311" s="140" t="s">
        <v>38</v>
      </c>
      <c r="U311" s="3"/>
      <c r="W311" s="3"/>
      <c r="X311" s="3"/>
      <c r="Y311" s="3"/>
      <c r="Z311" s="17" t="s">
        <v>39</v>
      </c>
      <c r="AA311" s="44">
        <v>2</v>
      </c>
      <c r="AB311" s="7"/>
      <c r="AC311" s="84">
        <f>INDEX(AE311:AG311,AA311)</f>
        <v>3.5999999999999997E-2</v>
      </c>
      <c r="AD311" s="7" t="s">
        <v>40</v>
      </c>
      <c r="AE311" s="152">
        <v>-3.2000000000000001E-2</v>
      </c>
      <c r="AF311" s="152">
        <v>3.5999999999999997E-2</v>
      </c>
      <c r="AG311" s="152">
        <v>0.108</v>
      </c>
      <c r="AH311" s="58"/>
      <c r="AJ311" s="47"/>
      <c r="AL311" s="68"/>
      <c r="AM311" s="68"/>
      <c r="AN311" s="68"/>
      <c r="AO311" s="68"/>
    </row>
    <row r="312" spans="7:41" x14ac:dyDescent="0.35"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97"/>
      <c r="S312" s="24" t="s">
        <v>16</v>
      </c>
      <c r="T312" s="13" t="s">
        <v>41</v>
      </c>
      <c r="V312" s="3"/>
      <c r="W312" s="3"/>
      <c r="X312" s="3"/>
      <c r="Y312" s="3"/>
      <c r="Z312" s="3"/>
      <c r="AA312" s="132"/>
      <c r="AC312" s="40"/>
      <c r="AD312" s="3"/>
      <c r="AE312" s="26"/>
      <c r="AF312" s="26"/>
      <c r="AG312" s="26"/>
      <c r="AH312" s="58"/>
      <c r="AJ312" s="3"/>
      <c r="AL312" s="68"/>
      <c r="AM312" s="68"/>
      <c r="AN312" s="68"/>
      <c r="AO312" s="68"/>
    </row>
    <row r="313" spans="7:41" x14ac:dyDescent="0.35"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97"/>
      <c r="S313" s="24" t="s">
        <v>16</v>
      </c>
      <c r="T313" s="16" t="s">
        <v>42</v>
      </c>
      <c r="U313" s="3"/>
      <c r="V313" s="3"/>
      <c r="W313" s="3"/>
      <c r="X313" s="3"/>
      <c r="Y313" s="3"/>
      <c r="Z313" s="17" t="s">
        <v>43</v>
      </c>
      <c r="AA313" s="44">
        <v>2</v>
      </c>
      <c r="AC313" s="84">
        <f>INDEX(AE313:AG313,AA313)</f>
        <v>10.75</v>
      </c>
      <c r="AD313" s="7" t="s">
        <v>44</v>
      </c>
      <c r="AE313" s="85">
        <v>9.75</v>
      </c>
      <c r="AF313" s="86">
        <v>10.75</v>
      </c>
      <c r="AG313" s="87">
        <v>11.5</v>
      </c>
      <c r="AH313" s="58"/>
      <c r="AL313" s="68"/>
      <c r="AM313" s="68"/>
      <c r="AN313" s="68"/>
      <c r="AO313" s="68"/>
    </row>
    <row r="314" spans="7:41" x14ac:dyDescent="0.35">
      <c r="R314" s="97"/>
      <c r="S314" s="24" t="s">
        <v>16</v>
      </c>
      <c r="T314" s="16" t="s">
        <v>45</v>
      </c>
      <c r="V314" s="3"/>
      <c r="W314" s="3"/>
      <c r="X314" s="3"/>
      <c r="Y314" s="3"/>
      <c r="Z314" s="17" t="s">
        <v>43</v>
      </c>
      <c r="AA314" s="44">
        <v>2</v>
      </c>
      <c r="AB314" s="7"/>
      <c r="AC314" s="41">
        <f>INDEX(AE314:AG314,AA314)</f>
        <v>9.5</v>
      </c>
      <c r="AD314" s="7" t="s">
        <v>46</v>
      </c>
      <c r="AE314" s="85">
        <v>9.25</v>
      </c>
      <c r="AF314" s="86">
        <v>9.5</v>
      </c>
      <c r="AG314" s="87">
        <v>9.75</v>
      </c>
      <c r="AH314" s="58"/>
      <c r="AL314" s="78"/>
      <c r="AM314" s="68"/>
      <c r="AN314" s="68"/>
      <c r="AO314" s="68"/>
    </row>
    <row r="315" spans="7:41" x14ac:dyDescent="0.35"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97"/>
      <c r="S315" s="24"/>
      <c r="T315" s="16" t="s">
        <v>47</v>
      </c>
      <c r="V315" s="3"/>
      <c r="W315" s="3"/>
      <c r="X315" s="3"/>
      <c r="Y315" s="3"/>
      <c r="Z315" s="17" t="s">
        <v>48</v>
      </c>
      <c r="AA315" s="44">
        <v>2</v>
      </c>
      <c r="AB315" s="7"/>
      <c r="AC315" s="84">
        <f>INDEX(AE315:AG315,AA315)</f>
        <v>14.5</v>
      </c>
      <c r="AD315" s="7" t="s">
        <v>49</v>
      </c>
      <c r="AE315" s="88">
        <v>13</v>
      </c>
      <c r="AF315" s="89">
        <v>14.5</v>
      </c>
      <c r="AG315" s="90">
        <v>17</v>
      </c>
      <c r="AH315" s="58"/>
      <c r="AL315" s="68"/>
      <c r="AM315" s="68"/>
      <c r="AN315" s="68"/>
      <c r="AO315" s="68"/>
    </row>
    <row r="316" spans="7:41" x14ac:dyDescent="0.35"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97"/>
      <c r="T316" s="16"/>
      <c r="AA316" s="66"/>
      <c r="AH316" s="58"/>
      <c r="AL316" s="75"/>
      <c r="AM316" s="68"/>
      <c r="AN316" s="68"/>
      <c r="AO316" s="68"/>
    </row>
    <row r="317" spans="7:41" x14ac:dyDescent="0.35">
      <c r="R317" s="97"/>
      <c r="S317" s="24" t="s">
        <v>16</v>
      </c>
      <c r="T317" s="22"/>
      <c r="U317" s="3"/>
      <c r="V317" s="3"/>
      <c r="W317" s="3"/>
      <c r="X317" s="3"/>
      <c r="Y317" s="3"/>
      <c r="AA317" s="66"/>
      <c r="AH317" s="58"/>
      <c r="AL317" s="68"/>
      <c r="AM317" s="68"/>
      <c r="AN317" s="68"/>
      <c r="AO317" s="68"/>
    </row>
    <row r="318" spans="7:41" x14ac:dyDescent="0.35">
      <c r="G318" s="7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97"/>
      <c r="S318" s="46" t="s">
        <v>16</v>
      </c>
      <c r="T318" s="43"/>
      <c r="U318" s="95"/>
      <c r="V318" s="3"/>
      <c r="W318" s="3"/>
      <c r="X318" s="3"/>
      <c r="Y318" s="3"/>
      <c r="Z318" s="17"/>
      <c r="AA318" s="65"/>
      <c r="AB318" s="7"/>
      <c r="AC318" s="42"/>
      <c r="AD318" s="7"/>
      <c r="AE318" s="42"/>
      <c r="AF318" s="42"/>
      <c r="AG318" s="42"/>
      <c r="AH318" s="58"/>
      <c r="AL318" s="68"/>
      <c r="AM318" s="68"/>
      <c r="AN318" s="68"/>
      <c r="AO318" s="68"/>
    </row>
    <row r="319" spans="7:41" x14ac:dyDescent="0.35">
      <c r="R319" s="97"/>
      <c r="S319" s="2"/>
      <c r="T319" s="29"/>
      <c r="U319" s="19"/>
      <c r="V319" s="19"/>
      <c r="W319" s="19"/>
      <c r="X319" s="19"/>
      <c r="Y319" s="19"/>
      <c r="Z319" s="20"/>
      <c r="AA319" s="20"/>
      <c r="AB319" s="9"/>
      <c r="AC319" s="30"/>
      <c r="AD319" s="61"/>
      <c r="AE319" s="30"/>
      <c r="AF319" s="30"/>
      <c r="AG319" s="30"/>
      <c r="AH319" s="59"/>
      <c r="AJ319" s="42"/>
      <c r="AL319" s="75"/>
      <c r="AM319" s="68"/>
      <c r="AN319" s="68"/>
      <c r="AO319" s="68"/>
    </row>
    <row r="320" spans="7:41" ht="13.15" thickBot="1" x14ac:dyDescent="0.4">
      <c r="R320" s="97"/>
      <c r="AL320" s="75"/>
      <c r="AM320" s="68"/>
      <c r="AN320" s="68"/>
      <c r="AO320" s="68"/>
    </row>
    <row r="321" spans="1:41" ht="15.4" x14ac:dyDescent="0.45">
      <c r="B321" s="13"/>
      <c r="H321" s="33"/>
      <c r="I321" s="33"/>
      <c r="R321" s="97"/>
      <c r="S321" s="53" t="s">
        <v>50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75"/>
      <c r="AM321" s="68"/>
      <c r="AN321" s="68"/>
      <c r="AO321" s="68"/>
    </row>
    <row r="322" spans="1:41" ht="15.4" x14ac:dyDescent="0.45">
      <c r="A322" s="13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97"/>
      <c r="S322" s="54"/>
      <c r="AL322" s="68"/>
      <c r="AM322" s="68"/>
      <c r="AN322" s="68"/>
      <c r="AO322" s="68"/>
    </row>
    <row r="323" spans="1:41" ht="15.4" x14ac:dyDescent="0.45"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97"/>
      <c r="S323" s="54" t="str">
        <f>ggff</f>
        <v>Royalty</v>
      </c>
      <c r="AL323" s="75"/>
      <c r="AM323" s="68"/>
      <c r="AN323" s="68"/>
      <c r="AO323" s="68"/>
    </row>
    <row r="324" spans="1:41" x14ac:dyDescent="0.35"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97"/>
      <c r="S324" s="13"/>
      <c r="AL324" s="68"/>
      <c r="AM324" s="68"/>
      <c r="AN324" s="68"/>
      <c r="AO324" s="68"/>
    </row>
    <row r="325" spans="1:41" ht="15" x14ac:dyDescent="0.4">
      <c r="B325" s="33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97"/>
      <c r="S325" s="51" t="s">
        <v>51</v>
      </c>
      <c r="T325" s="48"/>
      <c r="U325" s="48"/>
      <c r="Y325" s="7"/>
      <c r="Z325" s="52">
        <v>2026</v>
      </c>
      <c r="AA325" s="52">
        <f t="shared" ref="AA325:AI325" si="101">Z325+1</f>
        <v>2027</v>
      </c>
      <c r="AB325" s="52">
        <f t="shared" si="101"/>
        <v>2028</v>
      </c>
      <c r="AC325" s="52">
        <f t="shared" si="101"/>
        <v>2029</v>
      </c>
      <c r="AD325" s="52">
        <f t="shared" si="101"/>
        <v>2030</v>
      </c>
      <c r="AE325" s="52">
        <f t="shared" si="101"/>
        <v>2031</v>
      </c>
      <c r="AF325" s="52">
        <f t="shared" si="101"/>
        <v>2032</v>
      </c>
      <c r="AG325" s="52">
        <f t="shared" si="101"/>
        <v>2033</v>
      </c>
      <c r="AH325" s="52">
        <f t="shared" si="101"/>
        <v>2034</v>
      </c>
      <c r="AI325" s="52">
        <f t="shared" si="101"/>
        <v>2035</v>
      </c>
      <c r="AL325" s="68"/>
      <c r="AM325" s="68"/>
      <c r="AN325" s="68"/>
      <c r="AO325" s="68"/>
    </row>
    <row r="326" spans="1:41" ht="15" x14ac:dyDescent="0.4">
      <c r="B326" s="33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97"/>
      <c r="S326" s="51" t="s">
        <v>52</v>
      </c>
      <c r="T326" s="48"/>
      <c r="U326" s="48"/>
      <c r="Y326" s="7"/>
      <c r="Z326" s="52">
        <f t="shared" ref="Z326:AI326" si="102">Z325-$Z$325</f>
        <v>0</v>
      </c>
      <c r="AA326" s="52">
        <f t="shared" si="102"/>
        <v>1</v>
      </c>
      <c r="AB326" s="52">
        <f t="shared" si="102"/>
        <v>2</v>
      </c>
      <c r="AC326" s="52">
        <f t="shared" si="102"/>
        <v>3</v>
      </c>
      <c r="AD326" s="52">
        <f t="shared" si="102"/>
        <v>4</v>
      </c>
      <c r="AE326" s="52">
        <f t="shared" si="102"/>
        <v>5</v>
      </c>
      <c r="AF326" s="52">
        <f t="shared" si="102"/>
        <v>6</v>
      </c>
      <c r="AG326" s="52">
        <f t="shared" si="102"/>
        <v>7</v>
      </c>
      <c r="AH326" s="52">
        <f t="shared" si="102"/>
        <v>8</v>
      </c>
      <c r="AI326" s="52">
        <f t="shared" si="102"/>
        <v>9</v>
      </c>
      <c r="AL326" s="75"/>
      <c r="AM326" s="68"/>
      <c r="AN326" s="68"/>
      <c r="AO326" s="68"/>
    </row>
    <row r="327" spans="1:41" ht="15.4" x14ac:dyDescent="0.45">
      <c r="B327" s="33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97"/>
      <c r="S327" s="49"/>
      <c r="T327" s="48"/>
      <c r="U327" s="48"/>
      <c r="Y327" s="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8"/>
      <c r="AK327" s="68"/>
      <c r="AL327" s="75"/>
      <c r="AM327" s="68"/>
      <c r="AN327" s="68"/>
      <c r="AO327" s="68"/>
    </row>
    <row r="328" spans="1:41" ht="15.4" x14ac:dyDescent="0.45"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97"/>
      <c r="S328" s="49" t="s">
        <v>53</v>
      </c>
      <c r="T328" s="50"/>
      <c r="U328" s="50"/>
      <c r="V328" s="3"/>
      <c r="W328" s="3"/>
      <c r="X328" s="3"/>
      <c r="Y328" s="3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8"/>
      <c r="AK328" s="68"/>
      <c r="AL328" s="75"/>
      <c r="AM328" s="68"/>
      <c r="AN328" s="68"/>
      <c r="AO328" s="68"/>
    </row>
    <row r="329" spans="1:41" ht="15" x14ac:dyDescent="0.4"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97"/>
      <c r="S329" s="48"/>
      <c r="T329" s="48" t="s">
        <v>54</v>
      </c>
      <c r="U329" s="48"/>
      <c r="Y329" s="11" t="s">
        <v>55</v>
      </c>
      <c r="Z329" s="70">
        <f>IF(pp&lt;3,jj,0)</f>
        <v>0</v>
      </c>
      <c r="AA329" s="70">
        <f t="shared" ref="AA329:AI330" si="103">Z329*(1+$AC$311)</f>
        <v>0</v>
      </c>
      <c r="AB329" s="70">
        <f t="shared" si="103"/>
        <v>0</v>
      </c>
      <c r="AC329" s="70">
        <f t="shared" si="103"/>
        <v>0</v>
      </c>
      <c r="AD329" s="70">
        <f t="shared" si="103"/>
        <v>0</v>
      </c>
      <c r="AE329" s="70">
        <f t="shared" si="103"/>
        <v>0</v>
      </c>
      <c r="AF329" s="70">
        <f t="shared" si="103"/>
        <v>0</v>
      </c>
      <c r="AG329" s="70">
        <f t="shared" si="103"/>
        <v>0</v>
      </c>
      <c r="AH329" s="70">
        <f t="shared" si="103"/>
        <v>0</v>
      </c>
      <c r="AI329" s="70">
        <f t="shared" si="103"/>
        <v>0</v>
      </c>
      <c r="AJ329" s="68"/>
      <c r="AK329" s="68"/>
      <c r="AL329" s="75"/>
      <c r="AM329" s="68"/>
      <c r="AN329" s="68"/>
      <c r="AO329" s="68"/>
    </row>
    <row r="330" spans="1:41" ht="15" x14ac:dyDescent="0.4"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97"/>
      <c r="S330" s="48"/>
      <c r="T330" s="48" t="s">
        <v>56</v>
      </c>
      <c r="U330" s="48"/>
      <c r="Y330" s="11" t="s">
        <v>55</v>
      </c>
      <c r="Z330" s="70">
        <f>IF(pp&gt;2,jj*AC310,0)</f>
        <v>4</v>
      </c>
      <c r="AA330" s="70">
        <f t="shared" si="103"/>
        <v>4.1440000000000001</v>
      </c>
      <c r="AB330" s="70">
        <f t="shared" si="103"/>
        <v>4.2931840000000001</v>
      </c>
      <c r="AC330" s="70">
        <f t="shared" si="103"/>
        <v>4.4477386240000003</v>
      </c>
      <c r="AD330" s="70">
        <f t="shared" si="103"/>
        <v>4.6078572144640004</v>
      </c>
      <c r="AE330" s="70">
        <f t="shared" si="103"/>
        <v>4.7737400741847047</v>
      </c>
      <c r="AF330" s="70">
        <f t="shared" si="103"/>
        <v>4.9455947168553545</v>
      </c>
      <c r="AG330" s="70">
        <f t="shared" si="103"/>
        <v>5.1236361266621477</v>
      </c>
      <c r="AH330" s="70">
        <f t="shared" si="103"/>
        <v>5.3080870272219851</v>
      </c>
      <c r="AI330" s="70">
        <f t="shared" si="103"/>
        <v>5.4991781602019767</v>
      </c>
      <c r="AJ330" s="68"/>
      <c r="AK330" s="68"/>
      <c r="AL330" s="68"/>
      <c r="AM330" s="68"/>
      <c r="AN330" s="68"/>
      <c r="AO330" s="68"/>
    </row>
    <row r="331" spans="1:41" ht="15" x14ac:dyDescent="0.4">
      <c r="G331" s="12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97"/>
      <c r="S331" s="48"/>
      <c r="T331" s="48" t="s">
        <v>57</v>
      </c>
      <c r="U331" s="48"/>
      <c r="Y331" s="11" t="s">
        <v>55</v>
      </c>
      <c r="Z331" s="71">
        <f>IF(pp=1,2.5,IF(OR(pp=2,pp=3),8.5,IF(pp=4,0,"error")))</f>
        <v>0</v>
      </c>
      <c r="AA331" s="71">
        <f t="shared" ref="AA331:AI331" si="104">$Z$331</f>
        <v>0</v>
      </c>
      <c r="AB331" s="71">
        <f t="shared" si="104"/>
        <v>0</v>
      </c>
      <c r="AC331" s="71">
        <f t="shared" si="104"/>
        <v>0</v>
      </c>
      <c r="AD331" s="71">
        <f t="shared" si="104"/>
        <v>0</v>
      </c>
      <c r="AE331" s="71">
        <f t="shared" si="104"/>
        <v>0</v>
      </c>
      <c r="AF331" s="71">
        <f t="shared" si="104"/>
        <v>0</v>
      </c>
      <c r="AG331" s="71">
        <f t="shared" si="104"/>
        <v>0</v>
      </c>
      <c r="AH331" s="71">
        <f t="shared" si="104"/>
        <v>0</v>
      </c>
      <c r="AI331" s="71">
        <f t="shared" si="104"/>
        <v>0</v>
      </c>
      <c r="AJ331" s="68"/>
      <c r="AK331" s="68"/>
      <c r="AL331" s="75"/>
      <c r="AM331" s="68"/>
      <c r="AN331" s="68"/>
      <c r="AO331" s="68"/>
    </row>
    <row r="332" spans="1:41" ht="15" x14ac:dyDescent="0.4"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97"/>
      <c r="S332" s="48"/>
      <c r="T332" s="48" t="s">
        <v>53</v>
      </c>
      <c r="U332" s="48"/>
      <c r="Y332" s="11" t="s">
        <v>55</v>
      </c>
      <c r="Z332" s="70">
        <f t="shared" ref="Z332:AI332" si="105">MIN(IF(pp&lt;=2,Z329,Z330),IF(pp=4,Z330,Z331))</f>
        <v>4</v>
      </c>
      <c r="AA332" s="70">
        <f t="shared" si="105"/>
        <v>4.1440000000000001</v>
      </c>
      <c r="AB332" s="70">
        <f t="shared" si="105"/>
        <v>4.2931840000000001</v>
      </c>
      <c r="AC332" s="70">
        <f t="shared" si="105"/>
        <v>4.4477386240000003</v>
      </c>
      <c r="AD332" s="70">
        <f t="shared" si="105"/>
        <v>4.6078572144640004</v>
      </c>
      <c r="AE332" s="70">
        <f t="shared" si="105"/>
        <v>4.7737400741847047</v>
      </c>
      <c r="AF332" s="70">
        <f t="shared" si="105"/>
        <v>4.9455947168553545</v>
      </c>
      <c r="AG332" s="70">
        <f t="shared" si="105"/>
        <v>5.1236361266621477</v>
      </c>
      <c r="AH332" s="70">
        <f t="shared" si="105"/>
        <v>5.3080870272219851</v>
      </c>
      <c r="AI332" s="70">
        <f t="shared" si="105"/>
        <v>5.4991781602019767</v>
      </c>
      <c r="AJ332" s="68"/>
      <c r="AK332" s="68"/>
      <c r="AL332" s="75"/>
      <c r="AM332" s="68"/>
      <c r="AN332" s="68"/>
      <c r="AO332" s="68"/>
    </row>
    <row r="333" spans="1:41" ht="15" x14ac:dyDescent="0.4">
      <c r="H333" s="31"/>
      <c r="I333" s="35"/>
      <c r="J333" s="31"/>
      <c r="K333" s="31"/>
      <c r="L333" s="31"/>
      <c r="M333" s="31"/>
      <c r="N333" s="31"/>
      <c r="O333" s="31"/>
      <c r="P333" s="31"/>
      <c r="Q333" s="31"/>
      <c r="R333" s="97"/>
      <c r="S333" s="48"/>
      <c r="T333" s="48"/>
      <c r="U333" s="48"/>
      <c r="Y333" s="11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68"/>
      <c r="AK333" s="68"/>
      <c r="AL333" s="68"/>
      <c r="AM333" s="68"/>
      <c r="AN333" s="68"/>
      <c r="AO333" s="68"/>
    </row>
    <row r="334" spans="1:41" ht="15.4" x14ac:dyDescent="0.45">
      <c r="R334" s="97"/>
      <c r="S334" s="49" t="s">
        <v>58</v>
      </c>
      <c r="T334" s="48"/>
      <c r="U334" s="48"/>
      <c r="Y334" s="80" t="s">
        <v>59</v>
      </c>
      <c r="Z334" s="72">
        <f t="shared" ref="Z334:AI334" si="106">Z332*$AC$313</f>
        <v>43</v>
      </c>
      <c r="AA334" s="72">
        <f t="shared" si="106"/>
        <v>44.548000000000002</v>
      </c>
      <c r="AB334" s="72">
        <f t="shared" si="106"/>
        <v>46.151727999999999</v>
      </c>
      <c r="AC334" s="72">
        <f t="shared" si="106"/>
        <v>47.813190208000002</v>
      </c>
      <c r="AD334" s="72">
        <f t="shared" si="106"/>
        <v>49.534465055488006</v>
      </c>
      <c r="AE334" s="72">
        <f t="shared" si="106"/>
        <v>51.317705797485573</v>
      </c>
      <c r="AF334" s="72">
        <f t="shared" si="106"/>
        <v>53.165143206195062</v>
      </c>
      <c r="AG334" s="72">
        <f t="shared" si="106"/>
        <v>55.079088361618091</v>
      </c>
      <c r="AH334" s="72">
        <f t="shared" si="106"/>
        <v>57.061935542636341</v>
      </c>
      <c r="AI334" s="72">
        <f t="shared" si="106"/>
        <v>59.116165222171247</v>
      </c>
      <c r="AJ334" s="68"/>
      <c r="AK334" s="68"/>
      <c r="AL334" s="75"/>
      <c r="AM334" s="68"/>
      <c r="AN334" s="68"/>
      <c r="AO334" s="68"/>
    </row>
    <row r="335" spans="1:41" ht="15.4" x14ac:dyDescent="0.45">
      <c r="H335" s="36"/>
      <c r="R335" s="97"/>
      <c r="S335" s="50"/>
      <c r="T335" s="48"/>
      <c r="U335" s="48"/>
      <c r="Y335" s="80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68"/>
      <c r="AK335" s="68"/>
      <c r="AL335" s="68"/>
      <c r="AM335" s="68"/>
      <c r="AN335" s="68"/>
      <c r="AO335" s="68"/>
    </row>
    <row r="336" spans="1:41" ht="15.4" x14ac:dyDescent="0.45">
      <c r="R336" s="97"/>
      <c r="S336" s="49" t="s">
        <v>60</v>
      </c>
      <c r="T336" s="48"/>
      <c r="U336" s="48"/>
      <c r="Y336" s="80" t="s">
        <v>59</v>
      </c>
      <c r="Z336" s="72">
        <f t="shared" ref="Z336:AI336" si="107">IF(pp=4,0,Z332*$AC$314)</f>
        <v>0</v>
      </c>
      <c r="AA336" s="72">
        <f t="shared" si="107"/>
        <v>0</v>
      </c>
      <c r="AB336" s="72">
        <f t="shared" si="107"/>
        <v>0</v>
      </c>
      <c r="AC336" s="72">
        <f t="shared" si="107"/>
        <v>0</v>
      </c>
      <c r="AD336" s="72">
        <f t="shared" si="107"/>
        <v>0</v>
      </c>
      <c r="AE336" s="72">
        <f t="shared" si="107"/>
        <v>0</v>
      </c>
      <c r="AF336" s="72">
        <f t="shared" si="107"/>
        <v>0</v>
      </c>
      <c r="AG336" s="72">
        <f t="shared" si="107"/>
        <v>0</v>
      </c>
      <c r="AH336" s="72">
        <f t="shared" si="107"/>
        <v>0</v>
      </c>
      <c r="AI336" s="72">
        <f t="shared" si="107"/>
        <v>0</v>
      </c>
      <c r="AJ336" s="68"/>
      <c r="AK336" s="68"/>
    </row>
    <row r="337" spans="18:48" ht="15.4" x14ac:dyDescent="0.45">
      <c r="R337" s="97"/>
      <c r="S337" s="50"/>
      <c r="T337" s="48"/>
      <c r="U337" s="48"/>
      <c r="Y337" s="80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68"/>
      <c r="AK337" s="68"/>
    </row>
    <row r="338" spans="18:48" ht="15" x14ac:dyDescent="0.4">
      <c r="R338" s="97"/>
      <c r="S338" s="51" t="s">
        <v>61</v>
      </c>
      <c r="T338" s="48"/>
      <c r="U338" s="48"/>
      <c r="Y338" s="80" t="s">
        <v>59</v>
      </c>
      <c r="Z338" s="72">
        <f>IF(pp=2,$AC$315,0)</f>
        <v>0</v>
      </c>
      <c r="AA338" s="72">
        <v>0</v>
      </c>
      <c r="AB338" s="72">
        <v>0</v>
      </c>
      <c r="AC338" s="72">
        <v>0</v>
      </c>
      <c r="AD338" s="72">
        <v>0</v>
      </c>
      <c r="AE338" s="72">
        <v>0</v>
      </c>
      <c r="AF338" s="72">
        <v>0</v>
      </c>
      <c r="AG338" s="72">
        <v>0</v>
      </c>
      <c r="AH338" s="72">
        <v>0</v>
      </c>
      <c r="AI338" s="72">
        <v>0</v>
      </c>
      <c r="AJ338" s="68"/>
      <c r="AK338" s="68"/>
      <c r="AL338" s="32"/>
    </row>
    <row r="339" spans="18:48" ht="15" x14ac:dyDescent="0.4">
      <c r="R339" s="97"/>
      <c r="S339" s="48"/>
      <c r="T339" s="48"/>
      <c r="U339" s="48"/>
      <c r="Y339" s="80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68"/>
      <c r="AK339" s="68"/>
      <c r="AL339" s="31"/>
    </row>
    <row r="340" spans="18:48" ht="15" x14ac:dyDescent="0.4">
      <c r="R340" s="97"/>
      <c r="S340" s="51" t="s">
        <v>62</v>
      </c>
      <c r="T340" s="48"/>
      <c r="U340" s="48"/>
      <c r="Y340" s="80" t="s">
        <v>59</v>
      </c>
      <c r="Z340" s="72">
        <f t="shared" ref="Z340:AI340" si="108">IF(pp=3,$AA$298*(Z334-Z336),0)</f>
        <v>0</v>
      </c>
      <c r="AA340" s="72">
        <f t="shared" si="108"/>
        <v>0</v>
      </c>
      <c r="AB340" s="72">
        <f t="shared" si="108"/>
        <v>0</v>
      </c>
      <c r="AC340" s="72">
        <f t="shared" si="108"/>
        <v>0</v>
      </c>
      <c r="AD340" s="72">
        <f t="shared" si="108"/>
        <v>0</v>
      </c>
      <c r="AE340" s="72">
        <f t="shared" si="108"/>
        <v>0</v>
      </c>
      <c r="AF340" s="72">
        <f t="shared" si="108"/>
        <v>0</v>
      </c>
      <c r="AG340" s="72">
        <f t="shared" si="108"/>
        <v>0</v>
      </c>
      <c r="AH340" s="72">
        <f t="shared" si="108"/>
        <v>0</v>
      </c>
      <c r="AI340" s="72">
        <f t="shared" si="108"/>
        <v>0</v>
      </c>
      <c r="AJ340" s="68"/>
      <c r="AK340" s="68"/>
      <c r="AL340" s="31"/>
    </row>
    <row r="341" spans="18:48" ht="15" x14ac:dyDescent="0.4">
      <c r="R341" s="97"/>
      <c r="S341" s="51" t="s">
        <v>63</v>
      </c>
      <c r="T341" s="48"/>
      <c r="U341" s="48"/>
      <c r="Y341" s="80" t="s">
        <v>59</v>
      </c>
      <c r="Z341" s="72">
        <f t="shared" ref="Z341:AI341" si="109">$AA$299*(Z334)</f>
        <v>42.14</v>
      </c>
      <c r="AA341" s="72">
        <f t="shared" si="109"/>
        <v>43.657040000000002</v>
      </c>
      <c r="AB341" s="72">
        <f t="shared" si="109"/>
        <v>45.228693440000001</v>
      </c>
      <c r="AC341" s="72">
        <f t="shared" si="109"/>
        <v>46.856926403839999</v>
      </c>
      <c r="AD341" s="72">
        <f t="shared" si="109"/>
        <v>48.543775754378245</v>
      </c>
      <c r="AE341" s="72">
        <f t="shared" si="109"/>
        <v>50.291351681535858</v>
      </c>
      <c r="AF341" s="72">
        <f t="shared" si="109"/>
        <v>52.101840342071156</v>
      </c>
      <c r="AG341" s="72">
        <f t="shared" si="109"/>
        <v>53.97750659438573</v>
      </c>
      <c r="AH341" s="72">
        <f t="shared" si="109"/>
        <v>55.920696831783616</v>
      </c>
      <c r="AI341" s="72">
        <f t="shared" si="109"/>
        <v>57.933841917727818</v>
      </c>
      <c r="AJ341" s="68"/>
      <c r="AK341" s="68"/>
      <c r="AL341" s="31"/>
    </row>
    <row r="342" spans="18:48" ht="15" x14ac:dyDescent="0.4">
      <c r="R342" s="97"/>
      <c r="S342" s="48"/>
      <c r="T342" s="48"/>
      <c r="U342" s="48"/>
      <c r="Y342" s="80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68"/>
      <c r="AK342" s="68"/>
      <c r="AL342" s="31"/>
    </row>
    <row r="343" spans="18:48" ht="15" x14ac:dyDescent="0.4">
      <c r="R343" s="97"/>
      <c r="S343" s="51" t="s">
        <v>64</v>
      </c>
      <c r="T343" s="48"/>
      <c r="U343" s="48"/>
      <c r="Y343" s="80" t="s">
        <v>59</v>
      </c>
      <c r="Z343" s="72">
        <f t="shared" ref="Z343:AI343" si="110">IF(pp=1,Z334-Z336,IF(pp=2,Z334-Z336-Z338,IF(pp=3,Z334-Z336-Z340,IF(pp=4,Z334-Z336-Z341,"error"))))</f>
        <v>0.85999999999999943</v>
      </c>
      <c r="AA343" s="72">
        <f t="shared" si="110"/>
        <v>0.89095999999999975</v>
      </c>
      <c r="AB343" s="72">
        <f t="shared" si="110"/>
        <v>0.92303455999999784</v>
      </c>
      <c r="AC343" s="72">
        <f t="shared" si="110"/>
        <v>0.95626380416000245</v>
      </c>
      <c r="AD343" s="72">
        <f t="shared" si="110"/>
        <v>0.99068930110976083</v>
      </c>
      <c r="AE343" s="72">
        <f t="shared" si="110"/>
        <v>1.0263541159497152</v>
      </c>
      <c r="AF343" s="72">
        <f t="shared" si="110"/>
        <v>1.0633028641239051</v>
      </c>
      <c r="AG343" s="72">
        <f t="shared" si="110"/>
        <v>1.1015817672323607</v>
      </c>
      <c r="AH343" s="72">
        <f t="shared" si="110"/>
        <v>1.1412387108527255</v>
      </c>
      <c r="AI343" s="72">
        <f t="shared" si="110"/>
        <v>1.1823233044434289</v>
      </c>
      <c r="AJ343" s="68"/>
      <c r="AK343" s="68"/>
      <c r="AL343" s="31"/>
    </row>
    <row r="344" spans="18:48" ht="15" x14ac:dyDescent="0.4">
      <c r="R344" s="97"/>
      <c r="S344" s="48"/>
      <c r="T344" s="48"/>
      <c r="U344" s="48"/>
      <c r="Y344" s="80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68"/>
      <c r="AK344" s="68"/>
      <c r="AL344" s="31"/>
    </row>
    <row r="345" spans="18:48" ht="15" x14ac:dyDescent="0.4">
      <c r="R345" s="97"/>
      <c r="S345" s="51" t="s">
        <v>65</v>
      </c>
      <c r="T345" s="48"/>
      <c r="U345" s="48"/>
      <c r="Y345" s="80" t="s">
        <v>59</v>
      </c>
      <c r="Z345" s="72">
        <f t="shared" ref="Z345:AI345" si="111">y*Z343</f>
        <v>0.32679999999999981</v>
      </c>
      <c r="AA345" s="72">
        <f t="shared" si="111"/>
        <v>0.33856479999999989</v>
      </c>
      <c r="AB345" s="72">
        <f t="shared" si="111"/>
        <v>0.3507531327999992</v>
      </c>
      <c r="AC345" s="72">
        <f t="shared" si="111"/>
        <v>0.36338024558080095</v>
      </c>
      <c r="AD345" s="72">
        <f t="shared" si="111"/>
        <v>0.37646193442170911</v>
      </c>
      <c r="AE345" s="72">
        <f t="shared" si="111"/>
        <v>0.39001456406089174</v>
      </c>
      <c r="AF345" s="72">
        <f t="shared" si="111"/>
        <v>0.40405508836708393</v>
      </c>
      <c r="AG345" s="72">
        <f t="shared" si="111"/>
        <v>0.41860107154829707</v>
      </c>
      <c r="AH345" s="72">
        <f t="shared" si="111"/>
        <v>0.43367071012403569</v>
      </c>
      <c r="AI345" s="72">
        <f t="shared" si="111"/>
        <v>0.44928285568850301</v>
      </c>
      <c r="AJ345" s="68"/>
      <c r="AK345" s="68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</row>
    <row r="346" spans="18:48" ht="15" x14ac:dyDescent="0.4">
      <c r="R346" s="97"/>
      <c r="S346" s="51" t="s">
        <v>66</v>
      </c>
      <c r="T346" s="48"/>
      <c r="U346" s="48"/>
      <c r="Y346" s="80" t="s">
        <v>59</v>
      </c>
      <c r="Z346" s="72">
        <f>IF(Z345&lt;0,ABS(Z345),0)</f>
        <v>0</v>
      </c>
      <c r="AA346" s="72">
        <f t="shared" ref="AA346:AI346" si="112">IF((AA345-Z346)&lt;0,ABS(Z346-AA345),0)</f>
        <v>0</v>
      </c>
      <c r="AB346" s="72">
        <f t="shared" si="112"/>
        <v>0</v>
      </c>
      <c r="AC346" s="72">
        <f t="shared" si="112"/>
        <v>0</v>
      </c>
      <c r="AD346" s="72">
        <f t="shared" si="112"/>
        <v>0</v>
      </c>
      <c r="AE346" s="72">
        <f t="shared" si="112"/>
        <v>0</v>
      </c>
      <c r="AF346" s="72">
        <f t="shared" si="112"/>
        <v>0</v>
      </c>
      <c r="AG346" s="72">
        <f t="shared" si="112"/>
        <v>0</v>
      </c>
      <c r="AH346" s="72">
        <f t="shared" si="112"/>
        <v>0</v>
      </c>
      <c r="AI346" s="72">
        <f t="shared" si="112"/>
        <v>0</v>
      </c>
      <c r="AJ346" s="68"/>
      <c r="AK346" s="68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</row>
    <row r="347" spans="18:48" ht="15" x14ac:dyDescent="0.4">
      <c r="R347" s="97"/>
      <c r="S347" s="51" t="s">
        <v>67</v>
      </c>
      <c r="T347" s="48"/>
      <c r="U347" s="48"/>
      <c r="Y347" s="80" t="s">
        <v>59</v>
      </c>
      <c r="Z347" s="72">
        <f>IF(Z345&lt;0,0,Z345)</f>
        <v>0.32679999999999981</v>
      </c>
      <c r="AA347" s="72">
        <f t="shared" ref="AA347:AI347" si="113">IF(AA345&lt;0,0,IF((AA345-Z346)&lt;0,0,(AA345-Z346)))</f>
        <v>0.33856479999999989</v>
      </c>
      <c r="AB347" s="72">
        <f t="shared" si="113"/>
        <v>0.3507531327999992</v>
      </c>
      <c r="AC347" s="72">
        <f t="shared" si="113"/>
        <v>0.36338024558080095</v>
      </c>
      <c r="AD347" s="72">
        <f t="shared" si="113"/>
        <v>0.37646193442170911</v>
      </c>
      <c r="AE347" s="72">
        <f t="shared" si="113"/>
        <v>0.39001456406089174</v>
      </c>
      <c r="AF347" s="72">
        <f t="shared" si="113"/>
        <v>0.40405508836708393</v>
      </c>
      <c r="AG347" s="72">
        <f t="shared" si="113"/>
        <v>0.41860107154829707</v>
      </c>
      <c r="AH347" s="72">
        <f t="shared" si="113"/>
        <v>0.43367071012403569</v>
      </c>
      <c r="AI347" s="72">
        <f t="shared" si="113"/>
        <v>0.44928285568850301</v>
      </c>
      <c r="AJ347" s="68"/>
      <c r="AK347" s="68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</row>
    <row r="348" spans="18:48" ht="15" x14ac:dyDescent="0.4">
      <c r="R348" s="97"/>
      <c r="S348" s="48"/>
      <c r="T348" s="48"/>
      <c r="U348" s="48"/>
      <c r="Y348" s="80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3"/>
      <c r="AK348" s="73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</row>
    <row r="349" spans="18:48" ht="15" x14ac:dyDescent="0.4">
      <c r="R349" s="97"/>
      <c r="S349" s="51" t="s">
        <v>68</v>
      </c>
      <c r="Y349" s="80" t="s">
        <v>69</v>
      </c>
      <c r="Z349" s="74">
        <f t="shared" ref="Z349:AI349" si="114">Z343-Z347</f>
        <v>0.53319999999999967</v>
      </c>
      <c r="AA349" s="74">
        <f t="shared" si="114"/>
        <v>0.55239519999999986</v>
      </c>
      <c r="AB349" s="74">
        <f t="shared" si="114"/>
        <v>0.57228142719999864</v>
      </c>
      <c r="AC349" s="74">
        <f t="shared" si="114"/>
        <v>0.5928835585792015</v>
      </c>
      <c r="AD349" s="74">
        <f t="shared" si="114"/>
        <v>0.61422736668805178</v>
      </c>
      <c r="AE349" s="74">
        <f t="shared" si="114"/>
        <v>0.63633955188882341</v>
      </c>
      <c r="AF349" s="74">
        <f t="shared" si="114"/>
        <v>0.65924777575682114</v>
      </c>
      <c r="AG349" s="74">
        <f t="shared" si="114"/>
        <v>0.68298069568406361</v>
      </c>
      <c r="AH349" s="74">
        <f t="shared" si="114"/>
        <v>0.70756800072868986</v>
      </c>
      <c r="AI349" s="74">
        <f t="shared" si="114"/>
        <v>0.73304044875492591</v>
      </c>
      <c r="AJ349" s="75"/>
      <c r="AK349" s="75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</row>
    <row r="350" spans="18:48" x14ac:dyDescent="0.35">
      <c r="R350" s="97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</row>
    <row r="351" spans="18:48" ht="15" x14ac:dyDescent="0.4">
      <c r="R351" s="97"/>
      <c r="S351" s="51" t="s">
        <v>70</v>
      </c>
      <c r="T351" s="48"/>
      <c r="U351" s="48"/>
      <c r="Y351" s="80" t="s">
        <v>71</v>
      </c>
      <c r="Z351" s="93">
        <f>Z349+NPV(p,AA349,AB349,AC349,AD349,AE349,AF349,AG349,AH349,AI349)</f>
        <v>4.4534539649995466</v>
      </c>
      <c r="AA351" s="92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</row>
    <row r="352" spans="18:48" x14ac:dyDescent="0.35">
      <c r="R352" s="97"/>
      <c r="S352" s="2"/>
    </row>
    <row r="353" spans="18:48" x14ac:dyDescent="0.35">
      <c r="R353" s="97"/>
      <c r="T353" s="13"/>
      <c r="Z353" s="33"/>
      <c r="AA353" s="33"/>
      <c r="AB353" s="33"/>
    </row>
    <row r="354" spans="18:48" x14ac:dyDescent="0.35">
      <c r="R354" s="97"/>
      <c r="S354" s="13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</row>
  </sheetData>
  <mergeCells count="44">
    <mergeCell ref="F245:H245"/>
    <mergeCell ref="K251:L251"/>
    <mergeCell ref="K200:L200"/>
    <mergeCell ref="M207:N207"/>
    <mergeCell ref="M217:N217"/>
    <mergeCell ref="K231:L231"/>
    <mergeCell ref="I234:J234"/>
    <mergeCell ref="K241:L241"/>
    <mergeCell ref="M197:N197"/>
    <mergeCell ref="K138:L138"/>
    <mergeCell ref="B145:E145"/>
    <mergeCell ref="M145:N145"/>
    <mergeCell ref="I148:J148"/>
    <mergeCell ref="M155:N155"/>
    <mergeCell ref="K164:L164"/>
    <mergeCell ref="M166:N166"/>
    <mergeCell ref="K169:L169"/>
    <mergeCell ref="M176:N176"/>
    <mergeCell ref="F180:H180"/>
    <mergeCell ref="M186:N186"/>
    <mergeCell ref="M135:N135"/>
    <mergeCell ref="F50:H50"/>
    <mergeCell ref="M56:N56"/>
    <mergeCell ref="M67:N67"/>
    <mergeCell ref="K70:L70"/>
    <mergeCell ref="M77:N77"/>
    <mergeCell ref="M87:N87"/>
    <mergeCell ref="K101:L101"/>
    <mergeCell ref="I104:J104"/>
    <mergeCell ref="K111:L111"/>
    <mergeCell ref="F115:H115"/>
    <mergeCell ref="K121:L121"/>
    <mergeCell ref="M46:N46"/>
    <mergeCell ref="C1:D1"/>
    <mergeCell ref="C2:D2"/>
    <mergeCell ref="B5:C5"/>
    <mergeCell ref="M5:N5"/>
    <mergeCell ref="K8:L8"/>
    <mergeCell ref="M15:N15"/>
    <mergeCell ref="I18:J18"/>
    <mergeCell ref="M25:N25"/>
    <mergeCell ref="K34:L34"/>
    <mergeCell ref="M36:N36"/>
    <mergeCell ref="K39:L39"/>
  </mergeCells>
  <pageMargins left="0.75" right="0.75" top="1" bottom="1" header="0.5" footer="0.5"/>
  <pageSetup scale="80" orientation="landscape" horizontalDpi="300" verticalDpi="300" copies="0"/>
  <headerFooter alignWithMargins="0">
    <oddFooter>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B1D-6D9B-4D61-8EE8-65340EA39EDB}">
  <sheetPr>
    <pageSetUpPr fitToPage="1"/>
  </sheetPr>
  <dimension ref="A1:CG354"/>
  <sheetViews>
    <sheetView showGridLines="0" zoomScale="65" workbookViewId="0">
      <selection activeCell="AE309" sqref="AE309:AG309"/>
    </sheetView>
  </sheetViews>
  <sheetFormatPr defaultColWidth="11.46484375" defaultRowHeight="12.75" outlineLevelCol="1" x14ac:dyDescent="0.35"/>
  <cols>
    <col min="1" max="1" width="8" bestFit="1" customWidth="1"/>
    <col min="2" max="2" width="25.33203125" bestFit="1" customWidth="1"/>
    <col min="3" max="3" width="7.53125" bestFit="1" customWidth="1"/>
    <col min="4" max="4" width="6" customWidth="1"/>
    <col min="5" max="5" width="9.86328125" customWidth="1"/>
    <col min="6" max="6" width="16" customWidth="1"/>
    <col min="7" max="7" width="12.86328125" customWidth="1" outlineLevel="1"/>
    <col min="8" max="8" width="11" customWidth="1" outlineLevel="1"/>
    <col min="9" max="9" width="9.86328125" customWidth="1" outlineLevel="1"/>
    <col min="10" max="10" width="14" customWidth="1" outlineLevel="1"/>
    <col min="11" max="11" width="9.86328125" customWidth="1" outlineLevel="1"/>
    <col min="12" max="12" width="12.1328125" customWidth="1" outlineLevel="1"/>
    <col min="13" max="41" width="9.86328125" customWidth="1"/>
  </cols>
  <sheetData>
    <row r="1" spans="1:80" ht="19.149999999999999" x14ac:dyDescent="0.65">
      <c r="A1" s="97"/>
      <c r="B1" s="97"/>
      <c r="C1" s="155" t="s">
        <v>80</v>
      </c>
      <c r="D1" s="155"/>
      <c r="E1" s="97">
        <v>30</v>
      </c>
      <c r="F1" s="97"/>
      <c r="G1" s="127" t="s">
        <v>91</v>
      </c>
      <c r="H1" s="144">
        <v>0.08</v>
      </c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38" t="s">
        <v>0</v>
      </c>
      <c r="AP1" s="38" t="s">
        <v>0</v>
      </c>
      <c r="BL1" s="38" t="s">
        <v>0</v>
      </c>
    </row>
    <row r="2" spans="1:80" ht="13.15" thickBot="1" x14ac:dyDescent="0.4">
      <c r="A2" s="97"/>
      <c r="B2" s="97"/>
      <c r="C2" s="155" t="s">
        <v>81</v>
      </c>
      <c r="D2" s="155"/>
      <c r="E2" s="97">
        <f>1/E1</f>
        <v>3.3333333333333333E-2</v>
      </c>
      <c r="F2" s="97"/>
      <c r="G2" s="127" t="s">
        <v>92</v>
      </c>
      <c r="H2" s="144">
        <v>0.38</v>
      </c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 spans="1:80" ht="15.4" x14ac:dyDescent="0.45">
      <c r="A3" s="97"/>
      <c r="B3" s="97"/>
      <c r="C3" s="97"/>
      <c r="D3" s="97"/>
      <c r="E3" s="97"/>
      <c r="F3" s="97"/>
      <c r="G3" s="13" t="s">
        <v>24</v>
      </c>
      <c r="H3" s="147">
        <v>0.98</v>
      </c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53" t="s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53" t="s">
        <v>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L3" s="53" t="s">
        <v>1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x14ac:dyDescent="0.3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127" t="s">
        <v>84</v>
      </c>
      <c r="P4" s="127" t="s">
        <v>85</v>
      </c>
      <c r="Q4" s="97"/>
      <c r="R4" s="97"/>
      <c r="S4" s="97"/>
      <c r="T4" s="2"/>
      <c r="AP4" s="2"/>
      <c r="BL4" s="2"/>
    </row>
    <row r="5" spans="1:80" x14ac:dyDescent="0.35">
      <c r="A5" s="97"/>
      <c r="B5" s="160" t="s">
        <v>86</v>
      </c>
      <c r="C5" s="160"/>
      <c r="D5" s="97"/>
      <c r="E5" s="97"/>
      <c r="F5" s="97"/>
      <c r="G5" s="97"/>
      <c r="H5" s="97"/>
      <c r="I5" s="97"/>
      <c r="J5" s="97"/>
      <c r="K5" s="97"/>
      <c r="L5" s="97"/>
      <c r="M5" s="155" t="s">
        <v>42</v>
      </c>
      <c r="N5" s="155"/>
      <c r="O5" s="97"/>
      <c r="P5" s="97"/>
      <c r="Q5" s="97"/>
      <c r="R5" s="97"/>
      <c r="S5" s="97"/>
      <c r="T5" s="3"/>
      <c r="X5" s="4" t="s">
        <v>2</v>
      </c>
      <c r="Y5" s="5"/>
      <c r="Z5" s="5"/>
      <c r="AA5" s="5"/>
      <c r="AB5" s="5"/>
      <c r="AC5" s="5"/>
      <c r="AD5" s="6">
        <v>1</v>
      </c>
      <c r="AE5" s="7" t="s">
        <v>3</v>
      </c>
      <c r="AP5" s="3"/>
      <c r="AT5" s="4" t="s">
        <v>2</v>
      </c>
      <c r="AU5" s="5"/>
      <c r="AV5" s="5"/>
      <c r="AW5" s="5"/>
      <c r="AX5" s="5"/>
      <c r="AY5" s="5"/>
      <c r="AZ5" s="6">
        <v>1</v>
      </c>
      <c r="BA5" s="7" t="s">
        <v>3</v>
      </c>
      <c r="BL5" s="3"/>
      <c r="BP5" s="4" t="s">
        <v>2</v>
      </c>
      <c r="BQ5" s="5"/>
      <c r="BR5" s="5"/>
      <c r="BS5" s="5"/>
      <c r="BT5" s="5"/>
      <c r="BU5" s="5"/>
      <c r="BV5" s="6">
        <v>1</v>
      </c>
      <c r="BW5" s="7" t="s">
        <v>3</v>
      </c>
    </row>
    <row r="6" spans="1:80" x14ac:dyDescent="0.35">
      <c r="A6" s="97"/>
      <c r="B6" s="102" t="s">
        <v>83</v>
      </c>
      <c r="C6" s="102" t="s">
        <v>87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X6" s="8" t="s">
        <v>4</v>
      </c>
      <c r="Y6" s="9"/>
      <c r="Z6" s="9"/>
      <c r="AA6" s="9"/>
      <c r="AB6" s="9"/>
      <c r="AC6" s="9"/>
      <c r="AD6" s="10" t="str">
        <f>INDEX(Y9:Y12,AD5)</f>
        <v>No Partnership / No Expansion</v>
      </c>
      <c r="AE6" s="7" t="s">
        <v>5</v>
      </c>
      <c r="AT6" s="8" t="s">
        <v>4</v>
      </c>
      <c r="AU6" s="9"/>
      <c r="AV6" s="9"/>
      <c r="AW6" s="9"/>
      <c r="AX6" s="9"/>
      <c r="AY6" s="9"/>
      <c r="AZ6" s="10" t="str">
        <f>INDEX(AU9:AU12,AZ5)</f>
        <v>No Partnership / No Expansion</v>
      </c>
      <c r="BA6" s="7" t="s">
        <v>5</v>
      </c>
      <c r="BP6" s="8" t="s">
        <v>4</v>
      </c>
      <c r="BQ6" s="9"/>
      <c r="BR6" s="9"/>
      <c r="BS6" s="9"/>
      <c r="BT6" s="9"/>
      <c r="BU6" s="9"/>
      <c r="BV6" s="10" t="str">
        <f>INDEX(BQ9:BQ12,BV5)</f>
        <v>No Partnership / No Expansion</v>
      </c>
      <c r="BW6" s="7" t="s">
        <v>5</v>
      </c>
    </row>
    <row r="7" spans="1:80" x14ac:dyDescent="0.35">
      <c r="A7" s="97"/>
      <c r="B7" s="102" t="s">
        <v>7</v>
      </c>
      <c r="C7" s="131">
        <f>G52</f>
        <v>10.840479388120144</v>
      </c>
      <c r="D7" s="97"/>
      <c r="E7" s="97"/>
      <c r="F7" s="97"/>
      <c r="G7" s="97"/>
      <c r="H7" s="97"/>
      <c r="I7" s="97"/>
      <c r="J7" s="97"/>
      <c r="K7" s="97"/>
      <c r="L7" s="97"/>
      <c r="M7" s="120" t="s">
        <v>31</v>
      </c>
      <c r="N7" s="122">
        <v>0.25</v>
      </c>
      <c r="O7" s="128">
        <f>1-EXP(-P7*$E$2)</f>
        <v>0.4806823022009824</v>
      </c>
      <c r="P7" s="126">
        <f>AO33</f>
        <v>19.657183458198954</v>
      </c>
      <c r="Q7" s="97"/>
      <c r="R7" s="97"/>
      <c r="S7" s="97"/>
    </row>
    <row r="8" spans="1:80" x14ac:dyDescent="0.35">
      <c r="A8" s="97"/>
      <c r="B8" s="102" t="s">
        <v>8</v>
      </c>
      <c r="C8" s="131">
        <f>G117</f>
        <v>6.2188047440398453</v>
      </c>
      <c r="D8" s="97"/>
      <c r="E8" s="97"/>
      <c r="F8" s="97"/>
      <c r="G8" s="97"/>
      <c r="H8" s="97"/>
      <c r="I8" s="97"/>
      <c r="J8" s="97"/>
      <c r="K8" s="155" t="s">
        <v>33</v>
      </c>
      <c r="L8" s="164"/>
      <c r="M8" s="117"/>
      <c r="N8" s="97"/>
      <c r="O8" s="128"/>
      <c r="P8" s="126"/>
      <c r="Q8" s="97"/>
      <c r="R8" s="97"/>
      <c r="S8" s="97"/>
      <c r="X8" t="s">
        <v>6</v>
      </c>
      <c r="AT8" t="s">
        <v>6</v>
      </c>
      <c r="BP8" t="s">
        <v>6</v>
      </c>
    </row>
    <row r="9" spans="1:80" x14ac:dyDescent="0.35">
      <c r="A9" s="97"/>
      <c r="B9" s="102" t="s">
        <v>9</v>
      </c>
      <c r="C9" s="131">
        <f>G182</f>
        <v>10.051619710030698</v>
      </c>
      <c r="D9" s="97"/>
      <c r="E9" s="97"/>
      <c r="F9" s="97"/>
      <c r="G9" s="97"/>
      <c r="H9" s="97"/>
      <c r="I9" s="97"/>
      <c r="J9" s="97"/>
      <c r="K9" s="97"/>
      <c r="L9" s="97"/>
      <c r="M9" s="117"/>
      <c r="N9" s="97"/>
      <c r="O9" s="128"/>
      <c r="P9" s="126"/>
      <c r="Q9" s="97"/>
      <c r="R9" s="97"/>
      <c r="S9" s="97"/>
      <c r="X9">
        <v>1</v>
      </c>
      <c r="Y9" s="37" t="s">
        <v>7</v>
      </c>
      <c r="AT9">
        <v>1</v>
      </c>
      <c r="AU9" s="37" t="s">
        <v>7</v>
      </c>
      <c r="BP9">
        <v>1</v>
      </c>
      <c r="BQ9" s="37" t="s">
        <v>7</v>
      </c>
    </row>
    <row r="10" spans="1:80" x14ac:dyDescent="0.35">
      <c r="A10" s="97"/>
      <c r="B10" s="102" t="s">
        <v>10</v>
      </c>
      <c r="C10" s="131">
        <f>G247</f>
        <v>5.4536248890453543</v>
      </c>
      <c r="D10" s="97"/>
      <c r="E10" s="97"/>
      <c r="F10" s="97"/>
      <c r="G10" s="97"/>
      <c r="H10" s="97"/>
      <c r="I10" s="97"/>
      <c r="J10" s="97"/>
      <c r="K10" s="120" t="s">
        <v>31</v>
      </c>
      <c r="L10" s="122">
        <v>0.25</v>
      </c>
      <c r="M10" s="120" t="s">
        <v>30</v>
      </c>
      <c r="N10" s="122">
        <v>0.5</v>
      </c>
      <c r="O10" s="128">
        <f>1-EXP(-P10*$E$2)</f>
        <v>0.3123137259455524</v>
      </c>
      <c r="P10" s="126">
        <f>AO32</f>
        <v>11.232676261827974</v>
      </c>
      <c r="Q10" s="97"/>
      <c r="R10" s="97"/>
      <c r="S10" s="97"/>
      <c r="X10">
        <v>2</v>
      </c>
      <c r="Y10" s="37" t="s">
        <v>8</v>
      </c>
      <c r="AF10" s="11"/>
      <c r="AT10">
        <v>2</v>
      </c>
      <c r="AU10" s="37" t="s">
        <v>8</v>
      </c>
      <c r="BB10" s="11"/>
      <c r="BP10">
        <v>2</v>
      </c>
      <c r="BQ10" s="37" t="s">
        <v>8</v>
      </c>
      <c r="BX10" s="11"/>
    </row>
    <row r="11" spans="1:80" x14ac:dyDescent="0.35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117">
        <f>O7*N7+O10*N10+O13*N13</f>
        <v>0.27632743852302177</v>
      </c>
      <c r="L11" s="97"/>
      <c r="M11" s="117"/>
      <c r="N11" s="97"/>
      <c r="O11" s="128"/>
      <c r="P11" s="126"/>
      <c r="Q11" s="97"/>
      <c r="R11" s="97"/>
      <c r="S11" s="97"/>
      <c r="X11">
        <v>3</v>
      </c>
      <c r="Y11" s="37" t="s">
        <v>9</v>
      </c>
      <c r="AF11" s="11"/>
      <c r="AT11">
        <v>3</v>
      </c>
      <c r="AU11" s="37" t="s">
        <v>9</v>
      </c>
      <c r="BB11" s="11"/>
      <c r="BP11">
        <v>3</v>
      </c>
      <c r="BQ11" s="37" t="s">
        <v>9</v>
      </c>
      <c r="BX11" s="11"/>
    </row>
    <row r="12" spans="1:80" x14ac:dyDescent="0.35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117"/>
      <c r="L12" s="97"/>
      <c r="M12" s="123"/>
      <c r="N12" s="97"/>
      <c r="O12" s="128"/>
      <c r="P12" s="126"/>
      <c r="Q12" s="97"/>
      <c r="R12" s="97"/>
      <c r="S12" s="97"/>
      <c r="X12">
        <v>4</v>
      </c>
      <c r="Y12" s="37" t="s">
        <v>10</v>
      </c>
      <c r="AT12">
        <v>4</v>
      </c>
      <c r="AU12" s="37" t="s">
        <v>10</v>
      </c>
      <c r="BP12">
        <v>4</v>
      </c>
      <c r="BQ12" s="37" t="s">
        <v>10</v>
      </c>
    </row>
    <row r="13" spans="1:80" ht="13.15" thickBot="1" x14ac:dyDescent="0.4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117"/>
      <c r="L13" s="97"/>
      <c r="M13" s="122" t="s">
        <v>29</v>
      </c>
      <c r="N13" s="122">
        <v>0.25</v>
      </c>
      <c r="O13" s="128">
        <f>1-EXP(-P13*$E$2)</f>
        <v>0</v>
      </c>
      <c r="P13" s="126">
        <f>AO31</f>
        <v>0</v>
      </c>
      <c r="Q13" s="97"/>
      <c r="R13" s="97"/>
      <c r="S13" s="97"/>
    </row>
    <row r="14" spans="1:80" ht="15.4" x14ac:dyDescent="0.45">
      <c r="A14" s="97"/>
      <c r="B14" s="97"/>
      <c r="C14" s="97"/>
      <c r="D14" s="97"/>
      <c r="E14" s="97" t="s">
        <v>20</v>
      </c>
      <c r="F14" s="134" t="s">
        <v>82</v>
      </c>
      <c r="G14" s="134" t="s">
        <v>83</v>
      </c>
      <c r="H14" s="97"/>
      <c r="I14" s="97"/>
      <c r="J14" s="97"/>
      <c r="K14" s="117"/>
      <c r="L14" s="97"/>
      <c r="M14" s="97"/>
      <c r="N14" s="97"/>
      <c r="O14" s="128"/>
      <c r="P14" s="126"/>
      <c r="Q14" s="97"/>
      <c r="R14" s="97"/>
      <c r="S14" s="97"/>
      <c r="T14" s="53" t="s">
        <v>11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53" t="s">
        <v>11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L14" s="53" t="s">
        <v>11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5">
      <c r="A15" s="134" t="s">
        <v>82</v>
      </c>
      <c r="B15" s="134" t="s">
        <v>83</v>
      </c>
      <c r="C15" s="97"/>
      <c r="D15" s="97"/>
      <c r="E15" s="147">
        <v>0.05</v>
      </c>
      <c r="F15" s="97">
        <v>16.092393909117728</v>
      </c>
      <c r="G15" s="97" t="s">
        <v>7</v>
      </c>
      <c r="H15" s="97"/>
      <c r="I15" s="97"/>
      <c r="J15" s="97"/>
      <c r="K15" s="117"/>
      <c r="L15" s="97"/>
      <c r="M15" s="155" t="s">
        <v>42</v>
      </c>
      <c r="N15" s="155"/>
      <c r="O15" s="128"/>
      <c r="P15" s="126"/>
      <c r="Q15" s="97"/>
      <c r="R15" s="97"/>
      <c r="S15" s="97"/>
    </row>
    <row r="16" spans="1:80" s="51" customFormat="1" ht="15.4" x14ac:dyDescent="0.45">
      <c r="A16" s="131">
        <f>MAX(G52,G117,G182,G247)</f>
        <v>10.840479388120144</v>
      </c>
      <c r="B16" s="102" t="str">
        <f>_xlfn.XLOOKUP(C146,C7:C10,B7:B10)</f>
        <v>No Partnership / No Expansion</v>
      </c>
      <c r="C16" s="97"/>
      <c r="D16" s="97"/>
      <c r="E16" s="147">
        <v>0.1</v>
      </c>
      <c r="F16" s="97">
        <v>15.33961882624823</v>
      </c>
      <c r="G16" s="97" t="s">
        <v>7</v>
      </c>
      <c r="H16" s="97"/>
      <c r="I16" s="97"/>
      <c r="J16" s="97"/>
      <c r="K16" s="117"/>
      <c r="L16" s="97"/>
      <c r="M16" s="97"/>
      <c r="N16" s="97"/>
      <c r="O16" s="128"/>
      <c r="P16" s="126"/>
      <c r="Q16" s="97"/>
      <c r="R16" s="97"/>
      <c r="S16" s="97"/>
      <c r="T16" s="49"/>
      <c r="U16" s="49" t="s">
        <v>12</v>
      </c>
      <c r="V16" s="49"/>
      <c r="W16" s="49"/>
      <c r="X16" s="49"/>
      <c r="Y16" s="49"/>
      <c r="Z16" s="49"/>
      <c r="AA16" s="55" t="s">
        <v>13</v>
      </c>
      <c r="AB16" s="55" t="s">
        <v>14</v>
      </c>
      <c r="AC16" s="56" t="s">
        <v>15</v>
      </c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P16" s="49"/>
      <c r="AQ16" s="49" t="s">
        <v>12</v>
      </c>
      <c r="AR16" s="49"/>
      <c r="AS16" s="49"/>
      <c r="AT16" s="49"/>
      <c r="AU16" s="49"/>
      <c r="AV16" s="49"/>
      <c r="AW16" s="55" t="s">
        <v>13</v>
      </c>
      <c r="AX16" s="55" t="s">
        <v>14</v>
      </c>
      <c r="AY16" s="56" t="s">
        <v>15</v>
      </c>
      <c r="AZ16" s="55"/>
      <c r="BA16" s="55"/>
      <c r="BB16" s="55"/>
      <c r="BC16" s="55"/>
      <c r="BD16" s="55"/>
      <c r="BE16" s="55"/>
      <c r="BF16" s="55"/>
      <c r="BG16" s="55"/>
      <c r="BH16" s="55"/>
      <c r="BL16" s="49"/>
      <c r="BM16" s="49" t="s">
        <v>12</v>
      </c>
      <c r="BN16" s="49"/>
      <c r="BO16" s="49"/>
      <c r="BP16" s="49"/>
      <c r="BQ16" s="49"/>
      <c r="BR16" s="49"/>
      <c r="BS16" s="55" t="s">
        <v>13</v>
      </c>
      <c r="BT16" s="55" t="s">
        <v>14</v>
      </c>
      <c r="BU16" s="56" t="s">
        <v>15</v>
      </c>
      <c r="BV16" s="55"/>
      <c r="BW16" s="55"/>
      <c r="BX16" s="55"/>
      <c r="BY16" s="55"/>
      <c r="BZ16" s="55"/>
      <c r="CA16" s="55"/>
      <c r="CB16" s="55"/>
    </row>
    <row r="17" spans="1:85" x14ac:dyDescent="0.35">
      <c r="A17" s="97"/>
      <c r="B17" s="97"/>
      <c r="C17" s="97"/>
      <c r="D17" s="97"/>
      <c r="E17" s="147">
        <v>0.15</v>
      </c>
      <c r="F17" s="97">
        <v>14.576728972535221</v>
      </c>
      <c r="G17" s="97" t="s">
        <v>7</v>
      </c>
      <c r="H17" s="97"/>
      <c r="I17" s="97"/>
      <c r="J17" s="97"/>
      <c r="K17" s="117"/>
      <c r="L17" s="97"/>
      <c r="M17" s="120" t="s">
        <v>31</v>
      </c>
      <c r="N17" s="122">
        <v>0.25</v>
      </c>
      <c r="O17" s="128">
        <f>1-EXP(-P17*$E$2)</f>
        <v>0.4806823022009824</v>
      </c>
      <c r="P17" s="126">
        <f>AN33</f>
        <v>19.657183458198954</v>
      </c>
      <c r="Q17" s="97"/>
      <c r="R17" s="97"/>
      <c r="S17" s="97"/>
      <c r="T17" s="2"/>
      <c r="U17" s="4"/>
      <c r="V17" s="5"/>
      <c r="W17" s="5"/>
      <c r="X17" s="5"/>
      <c r="Y17" s="5"/>
      <c r="Z17" s="5"/>
      <c r="AA17" s="5"/>
      <c r="AB17" s="5"/>
      <c r="AC17" s="15"/>
      <c r="AD17" s="23"/>
      <c r="AE17" s="3"/>
      <c r="AF17" s="3"/>
      <c r="AG17" s="3"/>
      <c r="AH17" s="3"/>
      <c r="AI17" s="3"/>
      <c r="AJ17" s="3"/>
      <c r="AK17" s="3"/>
      <c r="AL17" s="3"/>
      <c r="AM17" s="3"/>
      <c r="AP17" s="2"/>
      <c r="AQ17" s="4"/>
      <c r="AR17" s="5"/>
      <c r="AS17" s="5"/>
      <c r="AT17" s="5"/>
      <c r="AU17" s="5"/>
      <c r="AV17" s="5"/>
      <c r="AW17" s="5"/>
      <c r="AX17" s="5"/>
      <c r="AY17" s="15"/>
      <c r="AZ17" s="23"/>
      <c r="BA17" s="3"/>
      <c r="BB17" s="3"/>
      <c r="BC17" s="3"/>
      <c r="BD17" s="3"/>
      <c r="BE17" s="3"/>
      <c r="BF17" s="3"/>
      <c r="BG17" s="3"/>
      <c r="BH17" s="3"/>
      <c r="BL17" s="2"/>
      <c r="BM17" s="4"/>
      <c r="BN17" s="5"/>
      <c r="BO17" s="5"/>
      <c r="BP17" s="5"/>
      <c r="BQ17" s="5"/>
      <c r="BR17" s="5"/>
      <c r="BS17" s="5"/>
      <c r="BT17" s="5"/>
      <c r="BU17" s="15"/>
      <c r="BV17" s="23"/>
      <c r="BW17" s="3"/>
      <c r="BX17" s="3"/>
      <c r="BY17" s="3"/>
      <c r="BZ17" s="3"/>
      <c r="CA17" s="3"/>
      <c r="CB17" s="3"/>
    </row>
    <row r="18" spans="1:85" x14ac:dyDescent="0.35">
      <c r="A18" s="97"/>
      <c r="B18" s="97"/>
      <c r="C18" s="97"/>
      <c r="D18" s="97"/>
      <c r="E18" s="147">
        <v>0.2</v>
      </c>
      <c r="F18" s="97">
        <v>13.803651088833968</v>
      </c>
      <c r="G18" s="97" t="s">
        <v>7</v>
      </c>
      <c r="H18" s="97"/>
      <c r="I18" s="155" t="s">
        <v>45</v>
      </c>
      <c r="J18" s="164"/>
      <c r="K18" s="117"/>
      <c r="L18" s="97"/>
      <c r="M18" s="117"/>
      <c r="N18" s="97"/>
      <c r="O18" s="128"/>
      <c r="P18" s="126"/>
      <c r="Q18" s="97"/>
      <c r="R18" s="97"/>
      <c r="S18" s="97"/>
      <c r="T18" s="24" t="s">
        <v>16</v>
      </c>
      <c r="U18" s="16" t="s">
        <v>17</v>
      </c>
      <c r="V18" s="3"/>
      <c r="W18" s="3"/>
      <c r="X18" s="3"/>
      <c r="Y18" s="3"/>
      <c r="Z18" s="3"/>
      <c r="AA18" s="17" t="s">
        <v>18</v>
      </c>
      <c r="AB18" s="27">
        <f>$H$1</f>
        <v>0.08</v>
      </c>
      <c r="AC18" s="25" t="s">
        <v>19</v>
      </c>
      <c r="AF18" s="26"/>
      <c r="AG18" s="26"/>
      <c r="AH18" s="26"/>
      <c r="AI18" s="26"/>
      <c r="AJ18" s="26"/>
      <c r="AK18" s="26"/>
      <c r="AL18" s="3"/>
      <c r="AM18" s="57"/>
      <c r="AP18" s="24" t="s">
        <v>16</v>
      </c>
      <c r="AQ18" s="16" t="s">
        <v>17</v>
      </c>
      <c r="AR18" s="3"/>
      <c r="AS18" s="3"/>
      <c r="AT18" s="3"/>
      <c r="AU18" s="3"/>
      <c r="AV18" s="3"/>
      <c r="AW18" s="17" t="s">
        <v>18</v>
      </c>
      <c r="AX18" s="27">
        <f>$H$1</f>
        <v>0.08</v>
      </c>
      <c r="AY18" s="25" t="s">
        <v>19</v>
      </c>
      <c r="BB18" s="26"/>
      <c r="BC18" s="26"/>
      <c r="BD18" s="26"/>
      <c r="BE18" s="26"/>
      <c r="BF18" s="26"/>
      <c r="BG18" s="26"/>
      <c r="BH18" s="3"/>
      <c r="BL18" s="24" t="s">
        <v>16</v>
      </c>
      <c r="BM18" s="16" t="s">
        <v>17</v>
      </c>
      <c r="BN18" s="3"/>
      <c r="BO18" s="3"/>
      <c r="BP18" s="3"/>
      <c r="BQ18" s="3"/>
      <c r="BR18" s="3"/>
      <c r="BS18" s="17" t="s">
        <v>18</v>
      </c>
      <c r="BT18" s="27">
        <f>$H$1</f>
        <v>0.08</v>
      </c>
      <c r="BU18" s="25" t="s">
        <v>19</v>
      </c>
      <c r="BX18" s="26"/>
      <c r="BY18" s="26"/>
      <c r="BZ18" s="26"/>
      <c r="CA18" s="26"/>
      <c r="CB18" s="26"/>
    </row>
    <row r="19" spans="1:85" x14ac:dyDescent="0.35">
      <c r="A19" s="97" t="s">
        <v>24</v>
      </c>
      <c r="B19" s="97" t="s">
        <v>82</v>
      </c>
      <c r="C19" s="97" t="s">
        <v>83</v>
      </c>
      <c r="D19" s="97"/>
      <c r="E19" s="147">
        <v>0.25</v>
      </c>
      <c r="F19" s="97">
        <v>13.020314494358155</v>
      </c>
      <c r="G19" s="97" t="s">
        <v>7</v>
      </c>
      <c r="H19" s="97"/>
      <c r="I19" s="97"/>
      <c r="J19" s="97"/>
      <c r="K19" s="117"/>
      <c r="L19" s="97"/>
      <c r="M19" s="117"/>
      <c r="N19" s="97"/>
      <c r="O19" s="128"/>
      <c r="P19" s="126"/>
      <c r="Q19" s="97"/>
      <c r="R19" s="97"/>
      <c r="S19" s="97"/>
      <c r="T19" s="24" t="s">
        <v>16</v>
      </c>
      <c r="U19" s="16" t="s">
        <v>20</v>
      </c>
      <c r="V19" s="3"/>
      <c r="W19" s="3"/>
      <c r="X19" s="3"/>
      <c r="Y19" s="3"/>
      <c r="Z19" s="3"/>
      <c r="AA19" s="17" t="s">
        <v>18</v>
      </c>
      <c r="AB19" s="91">
        <f>$H$2</f>
        <v>0.38</v>
      </c>
      <c r="AC19" s="25" t="s">
        <v>21</v>
      </c>
      <c r="AF19" s="26"/>
      <c r="AG19" s="26"/>
      <c r="AH19" s="26"/>
      <c r="AI19" s="26"/>
      <c r="AJ19" s="26"/>
      <c r="AK19" s="26"/>
      <c r="AL19" s="3"/>
      <c r="AM19" s="57"/>
      <c r="AP19" s="24" t="s">
        <v>16</v>
      </c>
      <c r="AQ19" s="16" t="s">
        <v>20</v>
      </c>
      <c r="AR19" s="3"/>
      <c r="AS19" s="3"/>
      <c r="AT19" s="3"/>
      <c r="AU19" s="3"/>
      <c r="AV19" s="3"/>
      <c r="AW19" s="17" t="s">
        <v>18</v>
      </c>
      <c r="AX19" s="91">
        <f>$H$2</f>
        <v>0.38</v>
      </c>
      <c r="AY19" s="25" t="s">
        <v>21</v>
      </c>
      <c r="BB19" s="26"/>
      <c r="BC19" s="26"/>
      <c r="BD19" s="26"/>
      <c r="BE19" s="26"/>
      <c r="BF19" s="26"/>
      <c r="BG19" s="26"/>
      <c r="BH19" s="3"/>
      <c r="BL19" s="24" t="s">
        <v>16</v>
      </c>
      <c r="BM19" s="16" t="s">
        <v>20</v>
      </c>
      <c r="BN19" s="3"/>
      <c r="BO19" s="3"/>
      <c r="BP19" s="3"/>
      <c r="BQ19" s="3"/>
      <c r="BR19" s="3"/>
      <c r="BS19" s="17" t="s">
        <v>18</v>
      </c>
      <c r="BT19" s="91">
        <f>$H$2</f>
        <v>0.38</v>
      </c>
      <c r="BU19" s="25" t="s">
        <v>21</v>
      </c>
      <c r="BX19" s="26"/>
      <c r="BY19" s="26"/>
      <c r="BZ19" s="26"/>
      <c r="CA19" s="26"/>
      <c r="CB19" s="26"/>
    </row>
    <row r="20" spans="1:85" x14ac:dyDescent="0.35">
      <c r="A20" s="144">
        <v>0.85</v>
      </c>
      <c r="B20" s="97">
        <v>32.877567022006247</v>
      </c>
      <c r="C20" s="97" t="s">
        <v>10</v>
      </c>
      <c r="D20" s="147"/>
      <c r="E20" s="147">
        <v>0.3</v>
      </c>
      <c r="F20" s="97">
        <v>12.226651176120383</v>
      </c>
      <c r="G20" s="97" t="s">
        <v>7</v>
      </c>
      <c r="H20" s="97"/>
      <c r="I20" s="120" t="s">
        <v>31</v>
      </c>
      <c r="J20" s="122">
        <v>0.25</v>
      </c>
      <c r="K20" s="120" t="s">
        <v>30</v>
      </c>
      <c r="L20" s="122">
        <v>0.5</v>
      </c>
      <c r="M20" s="120" t="s">
        <v>30</v>
      </c>
      <c r="N20" s="122">
        <v>0.5</v>
      </c>
      <c r="O20" s="128">
        <f>1-EXP(-P20*$E$2)</f>
        <v>0.3123137259455524</v>
      </c>
      <c r="P20" s="126">
        <f>AN32</f>
        <v>11.232676261827974</v>
      </c>
      <c r="Q20" s="97"/>
      <c r="R20" s="97"/>
      <c r="S20" s="97"/>
      <c r="T20" s="24"/>
      <c r="U20" s="16" t="s">
        <v>22</v>
      </c>
      <c r="V20" s="3"/>
      <c r="W20" s="3"/>
      <c r="X20" s="3"/>
      <c r="Y20" s="3"/>
      <c r="Z20" s="3"/>
      <c r="AA20" s="17" t="s">
        <v>18</v>
      </c>
      <c r="AB20" s="91">
        <v>0.6</v>
      </c>
      <c r="AC20" s="25" t="s">
        <v>23</v>
      </c>
      <c r="AF20" s="26"/>
      <c r="AG20" s="26"/>
      <c r="AH20" s="26"/>
      <c r="AI20" s="26"/>
      <c r="AJ20" s="26"/>
      <c r="AK20" s="26"/>
      <c r="AL20" s="3"/>
      <c r="AM20" s="57"/>
      <c r="AP20" s="24"/>
      <c r="AQ20" s="16" t="s">
        <v>22</v>
      </c>
      <c r="AR20" s="3"/>
      <c r="AS20" s="3"/>
      <c r="AT20" s="3"/>
      <c r="AU20" s="3"/>
      <c r="AV20" s="3"/>
      <c r="AW20" s="17" t="s">
        <v>18</v>
      </c>
      <c r="AX20" s="91">
        <v>0.6</v>
      </c>
      <c r="AY20" s="25" t="s">
        <v>23</v>
      </c>
      <c r="BB20" s="26"/>
      <c r="BC20" s="26"/>
      <c r="BD20" s="26"/>
      <c r="BE20" s="26"/>
      <c r="BF20" s="26"/>
      <c r="BG20" s="26"/>
      <c r="BH20" s="3"/>
      <c r="BL20" s="24"/>
      <c r="BM20" s="16" t="s">
        <v>22</v>
      </c>
      <c r="BN20" s="3"/>
      <c r="BO20" s="3"/>
      <c r="BP20" s="3"/>
      <c r="BQ20" s="3"/>
      <c r="BR20" s="3"/>
      <c r="BS20" s="17" t="s">
        <v>18</v>
      </c>
      <c r="BT20" s="91">
        <v>0.6</v>
      </c>
      <c r="BU20" s="25" t="s">
        <v>23</v>
      </c>
      <c r="BX20" s="26"/>
      <c r="BY20" s="26"/>
      <c r="BZ20" s="26"/>
      <c r="CA20" s="26"/>
      <c r="CB20" s="26"/>
    </row>
    <row r="21" spans="1:85" x14ac:dyDescent="0.35">
      <c r="A21" s="144">
        <v>0.86</v>
      </c>
      <c r="B21" s="97">
        <v>31.068471171329776</v>
      </c>
      <c r="C21" s="97" t="s">
        <v>10</v>
      </c>
      <c r="D21" s="147"/>
      <c r="E21" s="147">
        <v>0.35</v>
      </c>
      <c r="F21" s="97">
        <v>11.422595875599235</v>
      </c>
      <c r="G21" s="97" t="s">
        <v>7</v>
      </c>
      <c r="H21" s="97"/>
      <c r="I21" s="117">
        <f>L10*K11+L20*K21+L30*K31</f>
        <v>0.24625511664711777</v>
      </c>
      <c r="J21" s="97"/>
      <c r="K21" s="117">
        <f>O17*N17+O20*N20+O23*N23</f>
        <v>0.27632743852302177</v>
      </c>
      <c r="L21" s="97"/>
      <c r="M21" s="117"/>
      <c r="N21" s="97"/>
      <c r="O21" s="128"/>
      <c r="P21" s="126"/>
      <c r="Q21" s="97"/>
      <c r="R21" s="97"/>
      <c r="S21" s="97"/>
      <c r="T21" s="24"/>
      <c r="U21" s="16" t="s">
        <v>24</v>
      </c>
      <c r="V21" s="3"/>
      <c r="W21" s="3"/>
      <c r="X21" s="3"/>
      <c r="Y21" s="3"/>
      <c r="Z21" s="3"/>
      <c r="AA21" s="17" t="s">
        <v>18</v>
      </c>
      <c r="AB21" s="28">
        <f>$H$3</f>
        <v>0.98</v>
      </c>
      <c r="AC21" s="25" t="s">
        <v>25</v>
      </c>
      <c r="AF21" s="40"/>
      <c r="AG21" s="40"/>
      <c r="AH21" s="40"/>
      <c r="AI21" s="40"/>
      <c r="AJ21" s="40"/>
      <c r="AK21" s="40"/>
      <c r="AL21" s="3"/>
      <c r="AM21" s="57"/>
      <c r="AP21" s="24"/>
      <c r="AQ21" s="16" t="s">
        <v>24</v>
      </c>
      <c r="AR21" s="3"/>
      <c r="AS21" s="3"/>
      <c r="AT21" s="3"/>
      <c r="AU21" s="3"/>
      <c r="AV21" s="3"/>
      <c r="AW21" s="17" t="s">
        <v>18</v>
      </c>
      <c r="AX21" s="28">
        <f>$H$3</f>
        <v>0.98</v>
      </c>
      <c r="AY21" s="25" t="s">
        <v>25</v>
      </c>
      <c r="BB21" s="40"/>
      <c r="BC21" s="40"/>
      <c r="BD21" s="40"/>
      <c r="BE21" s="40"/>
      <c r="BF21" s="40"/>
      <c r="BG21" s="40"/>
      <c r="BH21" s="3"/>
      <c r="BL21" s="24"/>
      <c r="BM21" s="16" t="s">
        <v>24</v>
      </c>
      <c r="BN21" s="3"/>
      <c r="BO21" s="3"/>
      <c r="BP21" s="3"/>
      <c r="BQ21" s="3"/>
      <c r="BR21" s="3"/>
      <c r="BS21" s="17" t="s">
        <v>18</v>
      </c>
      <c r="BT21" s="28">
        <f>$H$3</f>
        <v>0.98</v>
      </c>
      <c r="BU21" s="25" t="s">
        <v>25</v>
      </c>
      <c r="BX21" s="40"/>
      <c r="BY21" s="40"/>
      <c r="BZ21" s="40"/>
      <c r="CA21" s="40"/>
      <c r="CB21" s="40"/>
    </row>
    <row r="22" spans="1:85" x14ac:dyDescent="0.35">
      <c r="A22" s="144">
        <v>0.87</v>
      </c>
      <c r="B22" s="97">
        <v>29.218000920216607</v>
      </c>
      <c r="C22" s="97" t="s">
        <v>10</v>
      </c>
      <c r="D22" s="147"/>
      <c r="E22" s="147">
        <v>0.4</v>
      </c>
      <c r="F22" s="97">
        <v>10.608086172385836</v>
      </c>
      <c r="G22" s="97" t="s">
        <v>7</v>
      </c>
      <c r="H22" s="97"/>
      <c r="I22" s="117"/>
      <c r="J22" s="97"/>
      <c r="K22" s="117"/>
      <c r="L22" s="97"/>
      <c r="M22" s="123"/>
      <c r="N22" s="97"/>
      <c r="O22" s="128"/>
      <c r="P22" s="126"/>
      <c r="Q22" s="97"/>
      <c r="R22" s="97"/>
      <c r="S22" s="97"/>
      <c r="T22" s="24"/>
      <c r="U22" s="16"/>
      <c r="V22" s="3"/>
      <c r="W22" s="3"/>
      <c r="X22" s="3"/>
      <c r="Y22" s="3"/>
      <c r="Z22" s="3"/>
      <c r="AA22" s="17"/>
      <c r="AB22" s="40"/>
      <c r="AC22" s="25"/>
      <c r="AF22" s="40"/>
      <c r="AG22" s="40"/>
      <c r="AH22" s="40"/>
      <c r="AI22" s="40"/>
      <c r="AJ22" s="40"/>
      <c r="AK22" s="40"/>
      <c r="AL22" s="3"/>
      <c r="AM22" s="57"/>
      <c r="AP22" s="24"/>
      <c r="AQ22" s="16"/>
      <c r="AR22" s="3"/>
      <c r="AS22" s="3"/>
      <c r="AT22" s="3"/>
      <c r="AU22" s="3"/>
      <c r="AV22" s="3"/>
      <c r="AW22" s="17"/>
      <c r="AX22" s="40"/>
      <c r="AY22" s="25"/>
      <c r="BB22" s="40"/>
      <c r="BC22" s="40"/>
      <c r="BD22" s="40"/>
      <c r="BE22" s="40"/>
      <c r="BF22" s="40"/>
      <c r="BG22" s="40"/>
      <c r="BH22" s="3"/>
      <c r="BL22" s="24"/>
      <c r="BM22" s="16"/>
      <c r="BN22" s="3"/>
      <c r="BO22" s="3"/>
      <c r="BP22" s="3"/>
      <c r="BQ22" s="3"/>
      <c r="BR22" s="3"/>
      <c r="BS22" s="17"/>
      <c r="BT22" s="40"/>
      <c r="BU22" s="25"/>
      <c r="BX22" s="40"/>
      <c r="BY22" s="40"/>
      <c r="BZ22" s="40"/>
      <c r="CA22" s="40"/>
      <c r="CB22" s="40"/>
    </row>
    <row r="23" spans="1:85" x14ac:dyDescent="0.35">
      <c r="A23" s="144">
        <v>0.88</v>
      </c>
      <c r="B23" s="97">
        <v>27.32367472002289</v>
      </c>
      <c r="C23" s="97" t="s">
        <v>10</v>
      </c>
      <c r="D23" s="147"/>
      <c r="E23" s="147">
        <v>0.45</v>
      </c>
      <c r="F23" s="97">
        <v>9.7830625645687768</v>
      </c>
      <c r="G23" s="97" t="s">
        <v>7</v>
      </c>
      <c r="H23" s="97"/>
      <c r="I23" s="117"/>
      <c r="J23" s="97"/>
      <c r="K23" s="117"/>
      <c r="L23" s="97"/>
      <c r="M23" s="122" t="s">
        <v>29</v>
      </c>
      <c r="N23" s="122">
        <v>0.25</v>
      </c>
      <c r="O23" s="128">
        <f>1-EXP(-P23*$E$2)</f>
        <v>0</v>
      </c>
      <c r="P23" s="126">
        <f>AN31</f>
        <v>0</v>
      </c>
      <c r="Q23" s="97"/>
      <c r="R23" s="97"/>
      <c r="S23" s="97"/>
      <c r="T23" s="24"/>
      <c r="U23" s="16"/>
      <c r="V23" s="3"/>
      <c r="W23" s="3"/>
      <c r="X23" s="3"/>
      <c r="Y23" s="3"/>
      <c r="Z23" s="3"/>
      <c r="AA23" s="17"/>
      <c r="AB23" s="39"/>
      <c r="AC23" s="25"/>
      <c r="AF23" s="39"/>
      <c r="AG23" s="39"/>
      <c r="AH23" s="39"/>
      <c r="AI23" s="39"/>
      <c r="AJ23" s="39"/>
      <c r="AK23" s="39"/>
      <c r="AL23" s="3"/>
      <c r="AM23" s="57"/>
      <c r="AP23" s="24"/>
      <c r="AQ23" s="16"/>
      <c r="AR23" s="3"/>
      <c r="AS23" s="3"/>
      <c r="AT23" s="3"/>
      <c r="AU23" s="3"/>
      <c r="AV23" s="3"/>
      <c r="AW23" s="17"/>
      <c r="AX23" s="39"/>
      <c r="AY23" s="25"/>
      <c r="BB23" s="39"/>
      <c r="BC23" s="39"/>
      <c r="BD23" s="39"/>
      <c r="BE23" s="39"/>
      <c r="BF23" s="39"/>
      <c r="BG23" s="39"/>
      <c r="BH23" s="3"/>
      <c r="BL23" s="24"/>
      <c r="BM23" s="16"/>
      <c r="BN23" s="3"/>
      <c r="BO23" s="3"/>
      <c r="BP23" s="3"/>
      <c r="BQ23" s="3"/>
      <c r="BR23" s="3"/>
      <c r="BS23" s="17"/>
      <c r="BT23" s="39"/>
      <c r="BU23" s="25"/>
      <c r="BX23" s="39"/>
      <c r="BY23" s="39"/>
      <c r="BZ23" s="39"/>
      <c r="CA23" s="39"/>
      <c r="CB23" s="39"/>
    </row>
    <row r="24" spans="1:85" x14ac:dyDescent="0.35">
      <c r="A24" s="144">
        <v>0.89</v>
      </c>
      <c r="B24" s="97">
        <v>25.382820018603589</v>
      </c>
      <c r="C24" s="97" t="s">
        <v>10</v>
      </c>
      <c r="D24" s="147"/>
      <c r="E24" s="147">
        <v>0.5</v>
      </c>
      <c r="F24" s="97">
        <v>8.9474685456232912</v>
      </c>
      <c r="G24" s="97" t="s">
        <v>7</v>
      </c>
      <c r="H24" s="97"/>
      <c r="I24" s="117"/>
      <c r="J24" s="97"/>
      <c r="K24" s="117"/>
      <c r="L24" s="97"/>
      <c r="M24" s="97"/>
      <c r="N24" s="97"/>
      <c r="O24" s="128"/>
      <c r="P24" s="126"/>
      <c r="Q24" s="97"/>
      <c r="R24" s="97"/>
      <c r="S24" s="97"/>
      <c r="T24" s="24"/>
      <c r="U24" s="16"/>
      <c r="V24" s="3"/>
      <c r="W24" s="3"/>
      <c r="X24" s="3"/>
      <c r="Y24" s="3"/>
      <c r="Z24" s="3"/>
      <c r="AA24" s="17"/>
      <c r="AB24" s="39"/>
      <c r="AC24" s="25"/>
      <c r="AF24" s="39"/>
      <c r="AG24" s="39"/>
      <c r="AH24" s="39"/>
      <c r="AI24" s="39"/>
      <c r="AJ24" s="39"/>
      <c r="AK24" s="39"/>
      <c r="AL24" s="3"/>
      <c r="AM24" s="57"/>
      <c r="AP24" s="24"/>
      <c r="AQ24" s="16"/>
      <c r="AR24" s="3"/>
      <c r="AS24" s="3"/>
      <c r="AT24" s="3"/>
      <c r="AU24" s="3"/>
      <c r="AV24" s="3"/>
      <c r="AW24" s="17"/>
      <c r="AX24" s="39"/>
      <c r="AY24" s="25"/>
      <c r="BB24" s="39"/>
      <c r="BC24" s="39"/>
      <c r="BD24" s="39"/>
      <c r="BE24" s="39"/>
      <c r="BF24" s="39"/>
      <c r="BG24" s="39"/>
      <c r="BH24" s="3"/>
      <c r="BL24" s="24"/>
      <c r="BM24" s="16"/>
      <c r="BN24" s="3"/>
      <c r="BO24" s="3"/>
      <c r="BP24" s="3"/>
      <c r="BQ24" s="3"/>
      <c r="BR24" s="3"/>
      <c r="BS24" s="17"/>
      <c r="BT24" s="39"/>
      <c r="BU24" s="25"/>
      <c r="BX24" s="39"/>
      <c r="BY24" s="39"/>
      <c r="BZ24" s="39"/>
      <c r="CA24" s="39"/>
      <c r="CB24" s="39"/>
    </row>
    <row r="25" spans="1:85" x14ac:dyDescent="0.35">
      <c r="A25" s="144">
        <v>0.9</v>
      </c>
      <c r="B25" s="97">
        <v>23.392565334944138</v>
      </c>
      <c r="C25" s="97" t="s">
        <v>10</v>
      </c>
      <c r="D25" s="147"/>
      <c r="E25" s="147">
        <v>0.55000000000000004</v>
      </c>
      <c r="F25" s="97">
        <v>8.101250677579106</v>
      </c>
      <c r="G25" s="97" t="s">
        <v>7</v>
      </c>
      <c r="H25" s="97"/>
      <c r="I25" s="117"/>
      <c r="J25" s="97"/>
      <c r="K25" s="117"/>
      <c r="L25" s="97"/>
      <c r="M25" s="155" t="s">
        <v>42</v>
      </c>
      <c r="N25" s="155"/>
      <c r="O25" s="128"/>
      <c r="P25" s="126"/>
      <c r="Q25" s="97"/>
      <c r="R25" s="97"/>
      <c r="S25" s="97"/>
      <c r="T25" s="24" t="s">
        <v>16</v>
      </c>
      <c r="U25" s="18"/>
      <c r="V25" s="19"/>
      <c r="W25" s="19"/>
      <c r="X25" s="19"/>
      <c r="Y25" s="19"/>
      <c r="Z25" s="19"/>
      <c r="AA25" s="19"/>
      <c r="AB25" s="19"/>
      <c r="AC25" s="59"/>
      <c r="AD25" s="23"/>
      <c r="AE25" s="3"/>
      <c r="AF25" s="3"/>
      <c r="AG25" s="3"/>
      <c r="AH25" s="3"/>
      <c r="AI25" s="3"/>
      <c r="AJ25" s="3"/>
      <c r="AK25" s="3"/>
      <c r="AL25" s="3"/>
      <c r="AM25" s="57"/>
      <c r="AP25" s="24" t="s">
        <v>16</v>
      </c>
      <c r="AQ25" s="18"/>
      <c r="AR25" s="19"/>
      <c r="AS25" s="19"/>
      <c r="AT25" s="19"/>
      <c r="AU25" s="19"/>
      <c r="AV25" s="19"/>
      <c r="AW25" s="19"/>
      <c r="AX25" s="19"/>
      <c r="AY25" s="59"/>
      <c r="AZ25" s="23"/>
      <c r="BA25" s="3"/>
      <c r="BB25" s="3"/>
      <c r="BC25" s="3"/>
      <c r="BD25" s="3"/>
      <c r="BE25" s="3"/>
      <c r="BF25" s="3"/>
      <c r="BG25" s="3"/>
      <c r="BH25" s="3"/>
      <c r="BL25" s="24" t="s">
        <v>16</v>
      </c>
      <c r="BM25" s="18"/>
      <c r="BN25" s="19"/>
      <c r="BO25" s="19"/>
      <c r="BP25" s="19"/>
      <c r="BQ25" s="19"/>
      <c r="BR25" s="19"/>
      <c r="BS25" s="19"/>
      <c r="BT25" s="19"/>
      <c r="BU25" s="59"/>
      <c r="BV25" s="23"/>
      <c r="BW25" s="3"/>
      <c r="BX25" s="3"/>
      <c r="BY25" s="3"/>
      <c r="BZ25" s="3"/>
      <c r="CA25" s="3"/>
      <c r="CB25" s="3"/>
    </row>
    <row r="26" spans="1:85" ht="13.15" thickBot="1" x14ac:dyDescent="0.4">
      <c r="A26" s="144">
        <v>0.91</v>
      </c>
      <c r="B26" s="97">
        <v>21.349834628485446</v>
      </c>
      <c r="C26" s="97" t="s">
        <v>10</v>
      </c>
      <c r="D26" s="147"/>
      <c r="E26" s="97"/>
      <c r="F26" s="97"/>
      <c r="G26" s="97"/>
      <c r="H26" s="97"/>
      <c r="I26" s="117"/>
      <c r="J26" s="97"/>
      <c r="K26" s="117"/>
      <c r="L26" s="97"/>
      <c r="M26" s="97"/>
      <c r="N26" s="97"/>
      <c r="O26" s="128"/>
      <c r="P26" s="126"/>
      <c r="Q26" s="97"/>
      <c r="R26" s="97"/>
      <c r="S26" s="97"/>
      <c r="T26" s="24"/>
      <c r="U26" s="3"/>
      <c r="V26" s="3"/>
      <c r="W26" s="3"/>
      <c r="X26" s="3"/>
      <c r="Y26" s="3"/>
      <c r="Z26" s="3"/>
      <c r="AA26" s="3"/>
      <c r="AB26" s="3"/>
      <c r="AD26" s="23"/>
      <c r="AE26" s="3"/>
      <c r="AF26" s="3"/>
      <c r="AG26" s="3"/>
      <c r="AH26" s="3"/>
      <c r="AI26" s="3"/>
      <c r="AJ26" s="3"/>
      <c r="AK26" s="3"/>
      <c r="AL26" s="3"/>
      <c r="AM26" s="57"/>
      <c r="AP26" s="24"/>
      <c r="AQ26" s="3"/>
      <c r="AR26" s="3"/>
      <c r="AS26" s="3"/>
      <c r="AT26" s="3"/>
      <c r="AU26" s="3"/>
      <c r="AV26" s="3"/>
      <c r="AW26" s="3"/>
      <c r="AX26" s="3"/>
      <c r="AZ26" s="23"/>
      <c r="BA26" s="3"/>
      <c r="BB26" s="3"/>
      <c r="BC26" s="3"/>
      <c r="BD26" s="3"/>
      <c r="BE26" s="3"/>
      <c r="BF26" s="3"/>
      <c r="BG26" s="3"/>
      <c r="BH26" s="3"/>
      <c r="BL26" s="24"/>
      <c r="BM26" s="3"/>
      <c r="BN26" s="3"/>
      <c r="BO26" s="3"/>
      <c r="BP26" s="3"/>
      <c r="BQ26" s="3"/>
      <c r="BR26" s="3"/>
      <c r="BS26" s="3"/>
      <c r="BT26" s="3"/>
      <c r="BV26" s="23"/>
      <c r="BW26" s="3"/>
      <c r="BX26" s="3"/>
      <c r="BY26" s="3"/>
      <c r="BZ26" s="3"/>
      <c r="CA26" s="3"/>
      <c r="CB26" s="3"/>
    </row>
    <row r="27" spans="1:85" ht="15.4" x14ac:dyDescent="0.45">
      <c r="A27" s="144">
        <v>0.92</v>
      </c>
      <c r="B27" s="97">
        <v>19.251344722806497</v>
      </c>
      <c r="C27" s="97" t="s">
        <v>10</v>
      </c>
      <c r="D27" s="147"/>
      <c r="E27" s="97"/>
      <c r="F27" s="97"/>
      <c r="G27" s="97"/>
      <c r="H27" s="97"/>
      <c r="I27" s="117"/>
      <c r="J27" s="97"/>
      <c r="K27" s="117"/>
      <c r="L27" s="97"/>
      <c r="M27" s="120" t="s">
        <v>31</v>
      </c>
      <c r="N27" s="122">
        <v>0.25</v>
      </c>
      <c r="O27" s="128">
        <f>1-EXP(-P27*$E$2)</f>
        <v>0.28079955520094135</v>
      </c>
      <c r="P27" s="126">
        <f>AM33</f>
        <v>9.8884553208379664</v>
      </c>
      <c r="Q27" s="97"/>
      <c r="R27" s="97"/>
      <c r="S27" s="97"/>
      <c r="T27" s="53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53" t="s">
        <v>26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L27" s="53" t="s">
        <v>26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5" ht="15.4" x14ac:dyDescent="0.45">
      <c r="A28" s="144">
        <v>0.93</v>
      </c>
      <c r="B28" s="97">
        <v>17.093606632046292</v>
      </c>
      <c r="C28" s="97" t="s">
        <v>10</v>
      </c>
      <c r="D28" s="147"/>
      <c r="E28" s="97"/>
      <c r="F28" s="97"/>
      <c r="G28" s="97"/>
      <c r="H28" s="97"/>
      <c r="I28" s="117"/>
      <c r="J28" s="97"/>
      <c r="K28" s="117"/>
      <c r="L28" s="97"/>
      <c r="M28" s="117"/>
      <c r="N28" s="97"/>
      <c r="O28" s="128"/>
      <c r="P28" s="126"/>
      <c r="Q28" s="97"/>
      <c r="R28" s="97"/>
      <c r="S28" s="97"/>
      <c r="T28" s="54"/>
      <c r="AM28" s="140" t="s">
        <v>33</v>
      </c>
      <c r="AP28" s="54"/>
      <c r="BL28" s="54"/>
    </row>
    <row r="29" spans="1:85" s="51" customFormat="1" ht="15.4" x14ac:dyDescent="0.45">
      <c r="A29" s="144">
        <v>0.94</v>
      </c>
      <c r="B29" s="97">
        <v>14.872931707668165</v>
      </c>
      <c r="C29" s="97" t="s">
        <v>10</v>
      </c>
      <c r="D29" s="147"/>
      <c r="E29" s="97"/>
      <c r="F29" s="97"/>
      <c r="G29" s="97"/>
      <c r="H29" s="97"/>
      <c r="I29" s="117"/>
      <c r="J29" s="97"/>
      <c r="K29" s="123"/>
      <c r="L29" s="97"/>
      <c r="M29" s="117"/>
      <c r="N29" s="97"/>
      <c r="O29" s="128"/>
      <c r="P29" s="126"/>
      <c r="Q29" s="97"/>
      <c r="R29" s="97"/>
      <c r="S29" s="97"/>
      <c r="T29" s="49"/>
      <c r="U29" s="49" t="s">
        <v>12</v>
      </c>
      <c r="V29" s="49"/>
      <c r="W29" s="49"/>
      <c r="X29" s="49"/>
      <c r="Y29" s="49"/>
      <c r="Z29" s="49"/>
      <c r="AA29" s="55" t="s">
        <v>13</v>
      </c>
      <c r="AB29" s="55" t="s">
        <v>27</v>
      </c>
      <c r="AC29" s="56"/>
      <c r="AD29" s="55" t="s">
        <v>28</v>
      </c>
      <c r="AE29" s="55" t="s">
        <v>15</v>
      </c>
      <c r="AF29" s="55" t="s">
        <v>29</v>
      </c>
      <c r="AG29" s="55" t="s">
        <v>30</v>
      </c>
      <c r="AH29" s="55" t="s">
        <v>31</v>
      </c>
      <c r="AI29" s="9"/>
      <c r="AJ29"/>
      <c r="AK29" s="55"/>
      <c r="AM29" s="55" t="s">
        <v>29</v>
      </c>
      <c r="AN29" s="55" t="s">
        <v>30</v>
      </c>
      <c r="AO29" s="55" t="s">
        <v>31</v>
      </c>
      <c r="AP29" s="49"/>
      <c r="AQ29" s="49" t="s">
        <v>12</v>
      </c>
      <c r="AR29" s="49"/>
      <c r="AS29" s="49"/>
      <c r="AT29" s="49"/>
      <c r="AU29" s="49"/>
      <c r="AV29" s="49"/>
      <c r="AW29" s="55" t="s">
        <v>13</v>
      </c>
      <c r="AX29" s="55" t="s">
        <v>27</v>
      </c>
      <c r="AY29" s="56"/>
      <c r="AZ29" s="55" t="s">
        <v>28</v>
      </c>
      <c r="BA29" s="55" t="s">
        <v>15</v>
      </c>
      <c r="BB29" s="55" t="s">
        <v>29</v>
      </c>
      <c r="BC29" s="55" t="s">
        <v>30</v>
      </c>
      <c r="BD29" s="55" t="s">
        <v>31</v>
      </c>
      <c r="BE29" s="9"/>
      <c r="BF29"/>
      <c r="BG29" s="55"/>
      <c r="BH29"/>
      <c r="BL29" s="49"/>
      <c r="BM29" s="49" t="s">
        <v>12</v>
      </c>
      <c r="BN29" s="49"/>
      <c r="BO29" s="49"/>
      <c r="BP29" s="49"/>
      <c r="BQ29" s="49"/>
      <c r="BR29" s="49"/>
      <c r="BS29" s="55" t="s">
        <v>13</v>
      </c>
      <c r="BT29" s="55" t="s">
        <v>27</v>
      </c>
      <c r="BU29" s="56"/>
      <c r="BV29" s="55" t="s">
        <v>28</v>
      </c>
      <c r="BW29" s="55" t="s">
        <v>15</v>
      </c>
      <c r="BX29" s="55" t="s">
        <v>29</v>
      </c>
      <c r="BY29" s="55" t="s">
        <v>30</v>
      </c>
      <c r="BZ29" s="55" t="s">
        <v>31</v>
      </c>
      <c r="CA29" s="9"/>
      <c r="CB29"/>
    </row>
    <row r="30" spans="1:85" x14ac:dyDescent="0.35">
      <c r="A30" s="144">
        <v>0.95</v>
      </c>
      <c r="B30" s="97">
        <v>12.585443560490425</v>
      </c>
      <c r="C30" s="97" t="s">
        <v>10</v>
      </c>
      <c r="D30" s="147"/>
      <c r="E30" s="97"/>
      <c r="F30" s="97"/>
      <c r="G30" s="97"/>
      <c r="H30" s="97"/>
      <c r="I30" s="117"/>
      <c r="J30" s="97"/>
      <c r="K30" s="122" t="s">
        <v>29</v>
      </c>
      <c r="L30" s="122">
        <v>0.25</v>
      </c>
      <c r="M30" s="120" t="s">
        <v>30</v>
      </c>
      <c r="N30" s="122">
        <v>0.5</v>
      </c>
      <c r="O30" s="128">
        <f>1-EXP(-P30*$E$2)</f>
        <v>0.17167652443834081</v>
      </c>
      <c r="P30" s="126">
        <f>AM32</f>
        <v>5.6505458976216971</v>
      </c>
      <c r="Q30" s="97"/>
      <c r="R30" s="97"/>
      <c r="S30" s="97"/>
      <c r="T30" s="24" t="s">
        <v>16</v>
      </c>
      <c r="U30" s="60" t="s">
        <v>32</v>
      </c>
      <c r="V30" s="5"/>
      <c r="W30" s="5"/>
      <c r="X30" s="5"/>
      <c r="Y30" s="5"/>
      <c r="Z30" s="5"/>
      <c r="AA30" s="5"/>
      <c r="AB30" s="5"/>
      <c r="AC30" s="14"/>
      <c r="AD30" s="21"/>
      <c r="AE30" s="5"/>
      <c r="AF30" s="5"/>
      <c r="AG30" s="5"/>
      <c r="AH30" s="5"/>
      <c r="AI30" s="58"/>
      <c r="AK30" s="145"/>
      <c r="AL30" s="142">
        <f>AA73</f>
        <v>11.232676261827974</v>
      </c>
      <c r="AM30" s="150">
        <v>0.95</v>
      </c>
      <c r="AN30" s="150">
        <v>2.75</v>
      </c>
      <c r="AO30" s="150">
        <v>5.4</v>
      </c>
      <c r="AP30" s="24" t="s">
        <v>16</v>
      </c>
      <c r="AQ30" s="60" t="s">
        <v>32</v>
      </c>
      <c r="AR30" s="5"/>
      <c r="AS30" s="5"/>
      <c r="AT30" s="5"/>
      <c r="AU30" s="5"/>
      <c r="AV30" s="5"/>
      <c r="AW30" s="5"/>
      <c r="AX30" s="5"/>
      <c r="AY30" s="14"/>
      <c r="AZ30" s="21"/>
      <c r="BA30" s="5"/>
      <c r="BB30" s="5"/>
      <c r="BC30" s="5"/>
      <c r="BD30" s="5"/>
      <c r="BE30" s="58"/>
      <c r="BI30" s="140" t="s">
        <v>33</v>
      </c>
      <c r="BL30" s="24" t="s">
        <v>16</v>
      </c>
      <c r="BM30" s="60" t="s">
        <v>32</v>
      </c>
      <c r="BN30" s="5"/>
      <c r="BO30" s="5"/>
      <c r="BP30" s="5"/>
      <c r="BQ30" s="5"/>
      <c r="BR30" s="5"/>
      <c r="BS30" s="5"/>
      <c r="BT30" s="5"/>
      <c r="BU30" s="14"/>
      <c r="BV30" s="21"/>
      <c r="BW30" s="5"/>
      <c r="BX30" s="5"/>
      <c r="BY30" s="5"/>
      <c r="BZ30" s="5"/>
      <c r="CA30" s="58"/>
      <c r="CE30" s="140" t="s">
        <v>33</v>
      </c>
    </row>
    <row r="31" spans="1:85" s="45" customFormat="1" ht="15.4" x14ac:dyDescent="0.45">
      <c r="A31" s="144">
        <v>0.96</v>
      </c>
      <c r="B31" s="97">
        <v>10.935148456403384</v>
      </c>
      <c r="C31" s="97" t="s">
        <v>7</v>
      </c>
      <c r="D31" s="147"/>
      <c r="E31" s="127" t="s">
        <v>90</v>
      </c>
      <c r="F31" s="134" t="s">
        <v>82</v>
      </c>
      <c r="G31" s="134" t="s">
        <v>83</v>
      </c>
      <c r="H31" s="97"/>
      <c r="I31" s="117"/>
      <c r="J31" s="97"/>
      <c r="K31" s="97">
        <f>O27*N27+O30*N30+O33*N33</f>
        <v>0.15603815101940574</v>
      </c>
      <c r="L31" s="97"/>
      <c r="M31" s="117"/>
      <c r="N31" s="97"/>
      <c r="O31" s="128"/>
      <c r="P31" s="126"/>
      <c r="Q31" s="97"/>
      <c r="R31" s="97"/>
      <c r="S31" s="97"/>
      <c r="T31" s="46" t="s">
        <v>16</v>
      </c>
      <c r="U31" s="140" t="s">
        <v>33</v>
      </c>
      <c r="V31" s="95"/>
      <c r="W31" s="95"/>
      <c r="X31" s="3"/>
      <c r="Y31" s="3"/>
      <c r="Z31" s="3"/>
      <c r="AA31" s="17" t="s">
        <v>34</v>
      </c>
      <c r="AB31" s="44">
        <v>2</v>
      </c>
      <c r="AC31" s="7"/>
      <c r="AD31" s="41">
        <f>INDEX(AF31:AH31,AB31)</f>
        <v>2.75</v>
      </c>
      <c r="AE31" s="7" t="s">
        <v>35</v>
      </c>
      <c r="AF31" s="150">
        <v>0.95</v>
      </c>
      <c r="AG31" s="150">
        <v>2.75</v>
      </c>
      <c r="AH31" s="150">
        <v>5.4</v>
      </c>
      <c r="AI31" s="58"/>
      <c r="AJ31" s="139" t="s">
        <v>42</v>
      </c>
      <c r="AK31" s="55" t="s">
        <v>29</v>
      </c>
      <c r="AL31" s="85">
        <v>9.75</v>
      </c>
      <c r="AM31">
        <f t="dataTable" ref="AM31:AO33" dt2D="1" dtr="1" r1="AD31" r2="AD35"/>
        <v>0</v>
      </c>
      <c r="AN31" s="95">
        <v>0</v>
      </c>
      <c r="AO31" s="95">
        <v>0</v>
      </c>
      <c r="AP31" s="46" t="s">
        <v>16</v>
      </c>
      <c r="AQ31" s="43" t="s">
        <v>33</v>
      </c>
      <c r="AR31" s="95"/>
      <c r="AS31" s="95"/>
      <c r="AT31" s="3"/>
      <c r="AU31" s="3"/>
      <c r="AV31" s="3"/>
      <c r="AW31" s="17" t="s">
        <v>34</v>
      </c>
      <c r="AX31" s="44">
        <v>2</v>
      </c>
      <c r="AY31" s="7"/>
      <c r="AZ31" s="41">
        <f>INDEX(BB31:BD31,AX31)</f>
        <v>2.75</v>
      </c>
      <c r="BA31" s="7" t="s">
        <v>35</v>
      </c>
      <c r="BB31" s="150">
        <v>0.95</v>
      </c>
      <c r="BC31" s="150">
        <v>2.75</v>
      </c>
      <c r="BD31" s="150">
        <v>5.4</v>
      </c>
      <c r="BE31" s="58"/>
      <c r="BF31"/>
      <c r="BG31" s="55"/>
      <c r="BH31" s="51"/>
      <c r="BI31" s="55" t="s">
        <v>29</v>
      </c>
      <c r="BJ31" s="55" t="s">
        <v>30</v>
      </c>
      <c r="BK31" s="55" t="s">
        <v>31</v>
      </c>
      <c r="BL31" s="46" t="s">
        <v>16</v>
      </c>
      <c r="BM31" s="43" t="s">
        <v>33</v>
      </c>
      <c r="BN31" s="95"/>
      <c r="BO31" s="95"/>
      <c r="BP31" s="3"/>
      <c r="BQ31" s="3"/>
      <c r="BR31" s="3"/>
      <c r="BS31" s="17" t="s">
        <v>34</v>
      </c>
      <c r="BT31" s="44">
        <v>2</v>
      </c>
      <c r="BU31" s="7"/>
      <c r="BV31" s="41">
        <f>INDEX(BX31:BZ31,BT31)</f>
        <v>2.75</v>
      </c>
      <c r="BW31" s="7" t="s">
        <v>35</v>
      </c>
      <c r="BX31" s="150">
        <v>0.95</v>
      </c>
      <c r="BY31" s="150">
        <v>2.75</v>
      </c>
      <c r="BZ31" s="150">
        <v>5.4</v>
      </c>
      <c r="CA31" s="58"/>
      <c r="CB31"/>
      <c r="CC31" s="55"/>
      <c r="CD31" s="51"/>
      <c r="CE31" s="55" t="s">
        <v>29</v>
      </c>
      <c r="CF31" s="55" t="s">
        <v>30</v>
      </c>
      <c r="CG31" s="55" t="s">
        <v>31</v>
      </c>
    </row>
    <row r="32" spans="1:85" s="45" customFormat="1" ht="15.4" x14ac:dyDescent="0.45">
      <c r="A32" s="144">
        <v>0.97</v>
      </c>
      <c r="B32" s="97">
        <v>10.935148456403384</v>
      </c>
      <c r="C32" s="97" t="s">
        <v>7</v>
      </c>
      <c r="D32" s="147"/>
      <c r="E32" s="147">
        <v>0.05</v>
      </c>
      <c r="F32" s="97">
        <v>12.158459389627014</v>
      </c>
      <c r="G32" s="97" t="s">
        <v>7</v>
      </c>
      <c r="H32" s="97"/>
      <c r="I32" s="117"/>
      <c r="J32" s="97"/>
      <c r="K32" s="97"/>
      <c r="L32" s="97"/>
      <c r="M32" s="123"/>
      <c r="N32" s="97"/>
      <c r="O32" s="128"/>
      <c r="P32" s="126"/>
      <c r="Q32" s="97"/>
      <c r="R32" s="97"/>
      <c r="S32" s="97"/>
      <c r="T32" s="46" t="s">
        <v>16</v>
      </c>
      <c r="U32" s="43" t="s">
        <v>36</v>
      </c>
      <c r="V32" s="95"/>
      <c r="W32" s="95"/>
      <c r="X32" s="3"/>
      <c r="Y32" s="3"/>
      <c r="Z32" s="3"/>
      <c r="AA32" s="17" t="s">
        <v>34</v>
      </c>
      <c r="AB32" s="44">
        <v>2</v>
      </c>
      <c r="AC32" s="7"/>
      <c r="AD32" s="41">
        <f t="shared" ref="AD32:AD37" si="0">INDEX(AF32:AH32,AB32)</f>
        <v>1.6</v>
      </c>
      <c r="AE32" s="7" t="s">
        <v>37</v>
      </c>
      <c r="AF32" s="62">
        <v>1.3</v>
      </c>
      <c r="AG32" s="63">
        <v>1.6</v>
      </c>
      <c r="AH32" s="64">
        <v>1.8</v>
      </c>
      <c r="AI32" s="58"/>
      <c r="AJ32"/>
      <c r="AK32" s="55" t="s">
        <v>30</v>
      </c>
      <c r="AL32" s="86">
        <v>10.75</v>
      </c>
      <c r="AM32">
        <v>5.6505458976216971</v>
      </c>
      <c r="AN32" s="95">
        <v>11.232676261827974</v>
      </c>
      <c r="AO32" s="95">
        <v>11.232676261827974</v>
      </c>
      <c r="AP32" s="46" t="s">
        <v>16</v>
      </c>
      <c r="AQ32" s="43" t="s">
        <v>36</v>
      </c>
      <c r="AR32" s="95"/>
      <c r="AS32" s="95"/>
      <c r="AT32" s="3"/>
      <c r="AU32" s="3"/>
      <c r="AV32" s="3"/>
      <c r="AW32" s="17" t="s">
        <v>34</v>
      </c>
      <c r="AX32" s="44">
        <v>2</v>
      </c>
      <c r="AY32" s="7"/>
      <c r="AZ32" s="41">
        <f t="shared" ref="AZ32:AZ37" si="1">INDEX(BB32:BD32,AX32)</f>
        <v>1.6</v>
      </c>
      <c r="BA32" s="7" t="s">
        <v>37</v>
      </c>
      <c r="BB32" s="62">
        <v>1.3</v>
      </c>
      <c r="BC32" s="63">
        <v>1.6</v>
      </c>
      <c r="BD32" s="64">
        <v>1.8</v>
      </c>
      <c r="BE32" s="58"/>
      <c r="BF32"/>
      <c r="BG32" s="145"/>
      <c r="BH32" s="142">
        <f>AW73</f>
        <v>14.040845327284968</v>
      </c>
      <c r="BI32" s="150">
        <v>0.95</v>
      </c>
      <c r="BJ32" s="150">
        <v>2.75</v>
      </c>
      <c r="BK32" s="150">
        <v>5.4</v>
      </c>
      <c r="BL32" s="46" t="s">
        <v>16</v>
      </c>
      <c r="BM32" s="43" t="s">
        <v>36</v>
      </c>
      <c r="BN32" s="95"/>
      <c r="BO32" s="95"/>
      <c r="BP32" s="3"/>
      <c r="BQ32" s="3"/>
      <c r="BR32" s="3"/>
      <c r="BS32" s="17" t="s">
        <v>34</v>
      </c>
      <c r="BT32" s="44">
        <v>2</v>
      </c>
      <c r="BU32" s="7"/>
      <c r="BV32" s="41">
        <f t="shared" ref="BV32:BV37" si="2">INDEX(BX32:BZ32,BT32)</f>
        <v>1.6</v>
      </c>
      <c r="BW32" s="7" t="s">
        <v>37</v>
      </c>
      <c r="BX32" s="62">
        <v>1.3</v>
      </c>
      <c r="BY32" s="63">
        <v>1.6</v>
      </c>
      <c r="BZ32" s="64">
        <v>1.8</v>
      </c>
      <c r="CA32" s="58"/>
      <c r="CB32"/>
      <c r="CC32" s="145"/>
      <c r="CD32" s="142">
        <f>BS73</f>
        <v>16.849014392741964</v>
      </c>
      <c r="CE32" s="150">
        <v>0.95</v>
      </c>
      <c r="CF32" s="150">
        <v>2.75</v>
      </c>
      <c r="CG32" s="150">
        <v>5.4</v>
      </c>
    </row>
    <row r="33" spans="1:85" ht="15.4" x14ac:dyDescent="0.45">
      <c r="A33" s="144">
        <v>0.98</v>
      </c>
      <c r="B33" s="97">
        <v>10.935148456403384</v>
      </c>
      <c r="C33" s="97" t="s">
        <v>7</v>
      </c>
      <c r="D33" s="147"/>
      <c r="E33" s="147">
        <v>0.1</v>
      </c>
      <c r="F33" s="97">
        <v>10.233101563138435</v>
      </c>
      <c r="G33" s="97" t="s">
        <v>7</v>
      </c>
      <c r="H33" s="97"/>
      <c r="I33" s="117"/>
      <c r="J33" s="97"/>
      <c r="K33" s="97"/>
      <c r="L33" s="97"/>
      <c r="M33" s="122" t="s">
        <v>29</v>
      </c>
      <c r="N33" s="122">
        <v>0.25</v>
      </c>
      <c r="O33" s="128">
        <f>1-EXP(-P33*$E$2)</f>
        <v>0</v>
      </c>
      <c r="P33" s="126">
        <f>AM31</f>
        <v>0</v>
      </c>
      <c r="Q33" s="97"/>
      <c r="R33" s="97"/>
      <c r="S33" s="97"/>
      <c r="T33" s="24" t="s">
        <v>16</v>
      </c>
      <c r="U33" s="43" t="s">
        <v>38</v>
      </c>
      <c r="V33" s="3"/>
      <c r="X33" s="3"/>
      <c r="Y33" s="3"/>
      <c r="Z33" s="3"/>
      <c r="AA33" s="17" t="s">
        <v>39</v>
      </c>
      <c r="AB33" s="44">
        <v>2</v>
      </c>
      <c r="AC33" s="7"/>
      <c r="AD33" s="84">
        <f t="shared" si="0"/>
        <v>7.0000000000000007E-2</v>
      </c>
      <c r="AE33" s="7" t="s">
        <v>40</v>
      </c>
      <c r="AF33" s="81">
        <v>-0.05</v>
      </c>
      <c r="AG33" s="82">
        <v>7.0000000000000007E-2</v>
      </c>
      <c r="AH33" s="83">
        <v>0.09</v>
      </c>
      <c r="AI33" s="58"/>
      <c r="AK33" s="55" t="s">
        <v>31</v>
      </c>
      <c r="AL33" s="87">
        <v>11.5</v>
      </c>
      <c r="AM33">
        <v>9.8884553208379664</v>
      </c>
      <c r="AN33">
        <v>19.657183458198954</v>
      </c>
      <c r="AO33">
        <v>19.657183458198954</v>
      </c>
      <c r="AP33" s="24" t="s">
        <v>16</v>
      </c>
      <c r="AQ33" s="43" t="s">
        <v>38</v>
      </c>
      <c r="AR33" s="3"/>
      <c r="AT33" s="3"/>
      <c r="AU33" s="3"/>
      <c r="AV33" s="3"/>
      <c r="AW33" s="17" t="s">
        <v>39</v>
      </c>
      <c r="AX33" s="44">
        <v>2</v>
      </c>
      <c r="AY33" s="7"/>
      <c r="AZ33" s="84">
        <f t="shared" si="1"/>
        <v>7.0000000000000007E-2</v>
      </c>
      <c r="BA33" s="7" t="s">
        <v>40</v>
      </c>
      <c r="BB33" s="81">
        <v>-0.05</v>
      </c>
      <c r="BC33" s="82">
        <v>7.0000000000000007E-2</v>
      </c>
      <c r="BD33" s="83">
        <v>0.09</v>
      </c>
      <c r="BE33" s="58"/>
      <c r="BF33" s="139" t="s">
        <v>42</v>
      </c>
      <c r="BG33" s="55" t="s">
        <v>29</v>
      </c>
      <c r="BH33" s="85">
        <v>9.75</v>
      </c>
      <c r="BI33">
        <f t="dataTable" ref="BI33:BK35" dt2D="1" dtr="1" r1="AZ31" r2="AZ35"/>
        <v>1.4126364744054221</v>
      </c>
      <c r="BJ33" s="95">
        <v>2.8081690654569935</v>
      </c>
      <c r="BK33" s="95">
        <v>2.8081690654569935</v>
      </c>
      <c r="BL33" s="24" t="s">
        <v>16</v>
      </c>
      <c r="BM33" s="43" t="s">
        <v>38</v>
      </c>
      <c r="BN33" s="3"/>
      <c r="BP33" s="3"/>
      <c r="BQ33" s="3"/>
      <c r="BR33" s="3"/>
      <c r="BS33" s="17" t="s">
        <v>39</v>
      </c>
      <c r="BT33" s="44">
        <v>2</v>
      </c>
      <c r="BU33" s="7"/>
      <c r="BV33" s="84">
        <f t="shared" si="2"/>
        <v>7.0000000000000007E-2</v>
      </c>
      <c r="BW33" s="7" t="s">
        <v>40</v>
      </c>
      <c r="BX33" s="81">
        <v>-0.05</v>
      </c>
      <c r="BY33" s="82">
        <v>7.0000000000000007E-2</v>
      </c>
      <c r="BZ33" s="83">
        <v>0.09</v>
      </c>
      <c r="CA33" s="58"/>
      <c r="CB33" s="139" t="s">
        <v>42</v>
      </c>
      <c r="CC33" s="55" t="s">
        <v>29</v>
      </c>
      <c r="CD33" s="85">
        <v>9.75</v>
      </c>
      <c r="CE33">
        <f t="dataTable" ref="CE33:CG35" dt2D="1" dtr="1" r1="BV31" r2="BV35"/>
        <v>2.8252729488108481</v>
      </c>
      <c r="CF33" s="95">
        <v>5.616338130913987</v>
      </c>
      <c r="CG33" s="95">
        <v>5.616338130913987</v>
      </c>
    </row>
    <row r="34" spans="1:85" ht="15.4" x14ac:dyDescent="0.45">
      <c r="A34" s="97"/>
      <c r="B34" s="97"/>
      <c r="C34" s="97"/>
      <c r="D34" s="147"/>
      <c r="E34" s="147">
        <v>0.15</v>
      </c>
      <c r="F34" s="97">
        <v>8.7930289062309743</v>
      </c>
      <c r="G34" s="97" t="s">
        <v>7</v>
      </c>
      <c r="H34" s="97"/>
      <c r="I34" s="117"/>
      <c r="J34" s="97"/>
      <c r="K34" s="155"/>
      <c r="L34" s="155"/>
      <c r="M34" s="97"/>
      <c r="N34" s="97"/>
      <c r="O34" s="128"/>
      <c r="P34" s="126"/>
      <c r="Q34" s="97"/>
      <c r="R34" s="97"/>
      <c r="S34" s="97"/>
      <c r="T34" s="24" t="s">
        <v>16</v>
      </c>
      <c r="U34" s="13" t="s">
        <v>41</v>
      </c>
      <c r="W34" s="3"/>
      <c r="X34" s="3"/>
      <c r="Y34" s="3"/>
      <c r="Z34" s="3"/>
      <c r="AA34" s="3"/>
      <c r="AB34" s="132"/>
      <c r="AD34" s="40"/>
      <c r="AE34" s="3"/>
      <c r="AF34" s="26"/>
      <c r="AG34" s="26"/>
      <c r="AH34" s="26"/>
      <c r="AI34" s="58"/>
      <c r="AK34" s="3"/>
      <c r="AP34" s="24" t="s">
        <v>16</v>
      </c>
      <c r="AQ34" s="13" t="s">
        <v>41</v>
      </c>
      <c r="AS34" s="3"/>
      <c r="AT34" s="3"/>
      <c r="AU34" s="3"/>
      <c r="AV34" s="3"/>
      <c r="AW34" s="3"/>
      <c r="AX34" s="132"/>
      <c r="AZ34" s="40"/>
      <c r="BA34" s="3"/>
      <c r="BB34" s="26"/>
      <c r="BC34" s="26"/>
      <c r="BD34" s="26"/>
      <c r="BE34" s="58"/>
      <c r="BG34" s="55" t="s">
        <v>30</v>
      </c>
      <c r="BH34" s="86">
        <v>10.75</v>
      </c>
      <c r="BI34">
        <v>7.0631823720271187</v>
      </c>
      <c r="BJ34" s="95">
        <v>14.040845327284968</v>
      </c>
      <c r="BK34" s="95">
        <v>14.040845327284968</v>
      </c>
      <c r="BL34" s="24" t="s">
        <v>16</v>
      </c>
      <c r="BM34" s="13" t="s">
        <v>41</v>
      </c>
      <c r="BO34" s="3"/>
      <c r="BP34" s="3"/>
      <c r="BQ34" s="3"/>
      <c r="BR34" s="3"/>
      <c r="BS34" s="3"/>
      <c r="BT34" s="132"/>
      <c r="BV34" s="40"/>
      <c r="BW34" s="3"/>
      <c r="BX34" s="26"/>
      <c r="BY34" s="26"/>
      <c r="BZ34" s="26"/>
      <c r="CA34" s="58"/>
      <c r="CC34" s="55" t="s">
        <v>30</v>
      </c>
      <c r="CD34" s="86">
        <v>10.75</v>
      </c>
      <c r="CE34">
        <v>8.4758188464325439</v>
      </c>
      <c r="CF34" s="95">
        <v>16.849014392741964</v>
      </c>
      <c r="CG34" s="95">
        <v>16.849014392741964</v>
      </c>
    </row>
    <row r="35" spans="1:85" ht="15.4" x14ac:dyDescent="0.45">
      <c r="A35" s="97"/>
      <c r="B35" s="97"/>
      <c r="C35" s="97"/>
      <c r="D35" s="147"/>
      <c r="E35" s="147">
        <v>0.2</v>
      </c>
      <c r="F35" s="97">
        <v>7.6966610704928264</v>
      </c>
      <c r="G35" s="97" t="s">
        <v>7</v>
      </c>
      <c r="H35" s="97"/>
      <c r="I35" s="117"/>
      <c r="J35" s="97"/>
      <c r="K35" s="124"/>
      <c r="L35" s="124"/>
      <c r="M35" s="97"/>
      <c r="N35" s="97"/>
      <c r="O35" s="128"/>
      <c r="P35" s="126"/>
      <c r="Q35" s="97"/>
      <c r="R35" s="97"/>
      <c r="S35" s="97"/>
      <c r="T35" s="24" t="s">
        <v>16</v>
      </c>
      <c r="U35" s="139" t="s">
        <v>42</v>
      </c>
      <c r="V35" s="3"/>
      <c r="W35" s="3"/>
      <c r="X35" s="3"/>
      <c r="Y35" s="3"/>
      <c r="Z35" s="3"/>
      <c r="AA35" s="17" t="s">
        <v>43</v>
      </c>
      <c r="AB35" s="44">
        <v>2</v>
      </c>
      <c r="AD35" s="84">
        <f t="shared" si="0"/>
        <v>10.75</v>
      </c>
      <c r="AE35" s="7" t="s">
        <v>44</v>
      </c>
      <c r="AF35" s="85">
        <v>9.75</v>
      </c>
      <c r="AG35" s="86">
        <v>10.75</v>
      </c>
      <c r="AH35" s="87">
        <v>11.5</v>
      </c>
      <c r="AI35" s="58"/>
      <c r="AP35" s="24" t="s">
        <v>16</v>
      </c>
      <c r="AQ35" s="16" t="s">
        <v>42</v>
      </c>
      <c r="AR35" s="3"/>
      <c r="AS35" s="3"/>
      <c r="AT35" s="3"/>
      <c r="AU35" s="3"/>
      <c r="AV35" s="3"/>
      <c r="AW35" s="17" t="s">
        <v>43</v>
      </c>
      <c r="AX35" s="44">
        <v>2</v>
      </c>
      <c r="AZ35" s="84">
        <f t="shared" si="1"/>
        <v>10.75</v>
      </c>
      <c r="BA35" s="7" t="s">
        <v>44</v>
      </c>
      <c r="BB35" s="85">
        <v>9.75</v>
      </c>
      <c r="BC35" s="86">
        <v>10.75</v>
      </c>
      <c r="BD35" s="87">
        <v>11.5</v>
      </c>
      <c r="BE35" s="58"/>
      <c r="BG35" s="55" t="s">
        <v>31</v>
      </c>
      <c r="BH35" s="87">
        <v>11.5</v>
      </c>
      <c r="BI35">
        <v>11.301091795243389</v>
      </c>
      <c r="BJ35">
        <v>22.465352523655948</v>
      </c>
      <c r="BK35">
        <v>22.465352523655948</v>
      </c>
      <c r="BL35" s="24" t="s">
        <v>16</v>
      </c>
      <c r="BM35" s="16" t="s">
        <v>42</v>
      </c>
      <c r="BN35" s="3"/>
      <c r="BO35" s="3"/>
      <c r="BP35" s="3"/>
      <c r="BQ35" s="3"/>
      <c r="BR35" s="3"/>
      <c r="BS35" s="17" t="s">
        <v>43</v>
      </c>
      <c r="BT35" s="44">
        <v>2</v>
      </c>
      <c r="BV35" s="84">
        <f t="shared" si="2"/>
        <v>10.75</v>
      </c>
      <c r="BW35" s="7" t="s">
        <v>44</v>
      </c>
      <c r="BX35" s="85">
        <v>9.75</v>
      </c>
      <c r="BY35" s="86">
        <v>10.75</v>
      </c>
      <c r="BZ35" s="87">
        <v>11.5</v>
      </c>
      <c r="CA35" s="58"/>
      <c r="CC35" s="55" t="s">
        <v>31</v>
      </c>
      <c r="CD35" s="87">
        <v>11.5</v>
      </c>
      <c r="CE35">
        <v>12.713728269648815</v>
      </c>
      <c r="CF35">
        <v>25.273521589112942</v>
      </c>
      <c r="CG35">
        <v>25.273521589112942</v>
      </c>
    </row>
    <row r="36" spans="1:85" x14ac:dyDescent="0.35">
      <c r="A36" s="97"/>
      <c r="B36" s="97"/>
      <c r="C36" s="97"/>
      <c r="D36" s="147"/>
      <c r="E36" s="147">
        <v>0.25</v>
      </c>
      <c r="F36" s="97">
        <v>6.8471087672670876</v>
      </c>
      <c r="G36" s="97" t="s">
        <v>7</v>
      </c>
      <c r="H36" s="97"/>
      <c r="I36" s="117"/>
      <c r="J36" s="97"/>
      <c r="K36" s="97"/>
      <c r="L36" s="97"/>
      <c r="M36" s="155" t="s">
        <v>42</v>
      </c>
      <c r="N36" s="155"/>
      <c r="O36" s="128"/>
      <c r="P36" s="126"/>
      <c r="Q36" s="97"/>
      <c r="R36" s="97"/>
      <c r="S36" s="97"/>
      <c r="T36" s="24" t="s">
        <v>16</v>
      </c>
      <c r="U36" s="139" t="s">
        <v>45</v>
      </c>
      <c r="W36" s="3"/>
      <c r="X36" s="3"/>
      <c r="Y36" s="3"/>
      <c r="Z36" s="3"/>
      <c r="AA36" s="17" t="s">
        <v>43</v>
      </c>
      <c r="AB36" s="44">
        <v>3</v>
      </c>
      <c r="AC36" s="7"/>
      <c r="AD36" s="41">
        <f t="shared" si="0"/>
        <v>9.75</v>
      </c>
      <c r="AE36" s="7" t="s">
        <v>46</v>
      </c>
      <c r="AF36" s="85">
        <v>9.25</v>
      </c>
      <c r="AG36" s="86">
        <v>9.5</v>
      </c>
      <c r="AH36" s="87">
        <v>9.75</v>
      </c>
      <c r="AI36" s="58"/>
      <c r="AP36" s="24" t="s">
        <v>16</v>
      </c>
      <c r="AQ36" s="16" t="s">
        <v>45</v>
      </c>
      <c r="AS36" s="3"/>
      <c r="AT36" s="3"/>
      <c r="AU36" s="3"/>
      <c r="AV36" s="3"/>
      <c r="AW36" s="17" t="s">
        <v>43</v>
      </c>
      <c r="AX36" s="44">
        <v>2</v>
      </c>
      <c r="AY36" s="7"/>
      <c r="AZ36" s="41">
        <f t="shared" si="1"/>
        <v>9.5</v>
      </c>
      <c r="BA36" s="7" t="s">
        <v>46</v>
      </c>
      <c r="BB36" s="85">
        <v>9.25</v>
      </c>
      <c r="BC36" s="86">
        <v>9.5</v>
      </c>
      <c r="BD36" s="87">
        <v>9.75</v>
      </c>
      <c r="BE36" s="58"/>
      <c r="BL36" s="24" t="s">
        <v>16</v>
      </c>
      <c r="BM36" s="16" t="s">
        <v>45</v>
      </c>
      <c r="BO36" s="3"/>
      <c r="BP36" s="3"/>
      <c r="BQ36" s="3"/>
      <c r="BR36" s="3"/>
      <c r="BS36" s="17" t="s">
        <v>43</v>
      </c>
      <c r="BT36" s="44">
        <v>1</v>
      </c>
      <c r="BU36" s="7"/>
      <c r="BV36" s="41">
        <f t="shared" si="2"/>
        <v>9.25</v>
      </c>
      <c r="BW36" s="7" t="s">
        <v>46</v>
      </c>
      <c r="BX36" s="85">
        <v>9.25</v>
      </c>
      <c r="BY36" s="86">
        <v>9.5</v>
      </c>
      <c r="BZ36" s="87">
        <v>9.75</v>
      </c>
      <c r="CA36" s="58"/>
    </row>
    <row r="37" spans="1:85" x14ac:dyDescent="0.35">
      <c r="A37" s="97"/>
      <c r="B37" s="97"/>
      <c r="C37" s="97"/>
      <c r="D37" s="147"/>
      <c r="E37" s="147">
        <v>0.3</v>
      </c>
      <c r="F37" s="97">
        <v>6.177551193804133</v>
      </c>
      <c r="G37" s="97" t="s">
        <v>7</v>
      </c>
      <c r="H37" s="97"/>
      <c r="I37" s="117"/>
      <c r="J37" s="97"/>
      <c r="K37" s="97"/>
      <c r="L37" s="97"/>
      <c r="M37" s="97"/>
      <c r="N37" s="97"/>
      <c r="O37" s="128"/>
      <c r="P37" s="126"/>
      <c r="Q37" s="97"/>
      <c r="R37" s="97"/>
      <c r="S37" s="97"/>
      <c r="T37" s="24"/>
      <c r="U37" s="16" t="s">
        <v>47</v>
      </c>
      <c r="W37" s="3"/>
      <c r="X37" s="3"/>
      <c r="Y37" s="3"/>
      <c r="Z37" s="3"/>
      <c r="AA37" s="17" t="s">
        <v>48</v>
      </c>
      <c r="AB37" s="44">
        <v>2</v>
      </c>
      <c r="AC37" s="7"/>
      <c r="AD37" s="84">
        <f t="shared" si="0"/>
        <v>14.5</v>
      </c>
      <c r="AE37" s="7" t="s">
        <v>49</v>
      </c>
      <c r="AF37" s="88">
        <v>13</v>
      </c>
      <c r="AG37" s="89">
        <v>14.5</v>
      </c>
      <c r="AH37" s="90">
        <v>17</v>
      </c>
      <c r="AI37" s="58"/>
      <c r="AP37" s="24"/>
      <c r="AQ37" s="16" t="s">
        <v>47</v>
      </c>
      <c r="AS37" s="3"/>
      <c r="AT37" s="3"/>
      <c r="AU37" s="3"/>
      <c r="AV37" s="3"/>
      <c r="AW37" s="17" t="s">
        <v>48</v>
      </c>
      <c r="AX37" s="44">
        <v>2</v>
      </c>
      <c r="AY37" s="7"/>
      <c r="AZ37" s="84">
        <f t="shared" si="1"/>
        <v>14.5</v>
      </c>
      <c r="BA37" s="7" t="s">
        <v>49</v>
      </c>
      <c r="BB37" s="88">
        <v>13</v>
      </c>
      <c r="BC37" s="89">
        <v>14.5</v>
      </c>
      <c r="BD37" s="90">
        <v>17</v>
      </c>
      <c r="BE37" s="58"/>
      <c r="BL37" s="24"/>
      <c r="BM37" s="16" t="s">
        <v>47</v>
      </c>
      <c r="BO37" s="3"/>
      <c r="BP37" s="3"/>
      <c r="BQ37" s="3"/>
      <c r="BR37" s="3"/>
      <c r="BS37" s="17" t="s">
        <v>48</v>
      </c>
      <c r="BT37" s="44">
        <v>2</v>
      </c>
      <c r="BU37" s="7"/>
      <c r="BV37" s="84">
        <f t="shared" si="2"/>
        <v>14.5</v>
      </c>
      <c r="BW37" s="7" t="s">
        <v>49</v>
      </c>
      <c r="BX37" s="88">
        <v>13</v>
      </c>
      <c r="BY37" s="89">
        <v>14.5</v>
      </c>
      <c r="BZ37" s="90">
        <v>17</v>
      </c>
      <c r="CA37" s="58"/>
    </row>
    <row r="38" spans="1:85" x14ac:dyDescent="0.35">
      <c r="A38" s="97"/>
      <c r="B38" s="97"/>
      <c r="C38" s="97"/>
      <c r="D38" s="147"/>
      <c r="E38" s="147">
        <v>0.35</v>
      </c>
      <c r="F38" s="97">
        <v>5.6413582545009255</v>
      </c>
      <c r="G38" s="97" t="s">
        <v>7</v>
      </c>
      <c r="H38" s="97"/>
      <c r="I38" s="117"/>
      <c r="J38" s="97"/>
      <c r="K38" s="97"/>
      <c r="L38" s="97"/>
      <c r="M38" s="120" t="s">
        <v>31</v>
      </c>
      <c r="N38" s="122">
        <v>0.25</v>
      </c>
      <c r="O38" s="128">
        <f>1-EXP(-P38*$E$2)</f>
        <v>0.52708758847711112</v>
      </c>
      <c r="P38" s="126">
        <f>BK35</f>
        <v>22.465352523655948</v>
      </c>
      <c r="Q38" s="97"/>
      <c r="R38" s="97"/>
      <c r="S38" s="97"/>
      <c r="U38" s="16"/>
      <c r="AB38" s="66"/>
      <c r="AI38" s="58"/>
      <c r="AQ38" s="16"/>
      <c r="AX38" s="66"/>
      <c r="BE38" s="58"/>
      <c r="BM38" s="16"/>
      <c r="BT38" s="66"/>
      <c r="CA38" s="58"/>
    </row>
    <row r="39" spans="1:85" x14ac:dyDescent="0.35">
      <c r="A39" s="97"/>
      <c r="B39" s="97"/>
      <c r="C39" s="97"/>
      <c r="D39" s="147"/>
      <c r="E39" s="147">
        <v>0.4</v>
      </c>
      <c r="F39" s="97">
        <v>5.2055416244293209</v>
      </c>
      <c r="G39" s="97" t="s">
        <v>7</v>
      </c>
      <c r="H39" s="97"/>
      <c r="I39" s="117"/>
      <c r="J39" s="97"/>
      <c r="K39" s="155" t="s">
        <v>33</v>
      </c>
      <c r="L39" s="164"/>
      <c r="M39" s="117"/>
      <c r="N39" s="97"/>
      <c r="O39" s="128"/>
      <c r="P39" s="126"/>
      <c r="Q39" s="97"/>
      <c r="R39" s="97"/>
      <c r="S39" s="97"/>
      <c r="T39" s="24" t="s">
        <v>16</v>
      </c>
      <c r="U39" s="22"/>
      <c r="V39" s="3"/>
      <c r="W39" s="3"/>
      <c r="X39" s="3"/>
      <c r="Y39" s="3"/>
      <c r="Z39" s="3"/>
      <c r="AB39" s="66"/>
      <c r="AI39" s="58"/>
      <c r="AP39" s="24" t="s">
        <v>16</v>
      </c>
      <c r="AQ39" s="22"/>
      <c r="AR39" s="3"/>
      <c r="AS39" s="3"/>
      <c r="AT39" s="3"/>
      <c r="AU39" s="3"/>
      <c r="AV39" s="3"/>
      <c r="AX39" s="66"/>
      <c r="BE39" s="58"/>
      <c r="BL39" s="24" t="s">
        <v>16</v>
      </c>
      <c r="BM39" s="22"/>
      <c r="BN39" s="3"/>
      <c r="BO39" s="3"/>
      <c r="BP39" s="3"/>
      <c r="BQ39" s="3"/>
      <c r="BR39" s="3"/>
      <c r="BT39" s="66"/>
      <c r="CA39" s="58"/>
    </row>
    <row r="40" spans="1:85" s="45" customFormat="1" x14ac:dyDescent="0.35">
      <c r="A40" s="97"/>
      <c r="B40" s="97"/>
      <c r="C40" s="97"/>
      <c r="D40" s="97"/>
      <c r="E40" s="147">
        <v>0.45</v>
      </c>
      <c r="F40" s="97">
        <v>4.8464252016287013</v>
      </c>
      <c r="G40" s="97" t="s">
        <v>7</v>
      </c>
      <c r="H40" s="97"/>
      <c r="I40" s="117"/>
      <c r="J40" s="97"/>
      <c r="K40" s="97"/>
      <c r="L40" s="97"/>
      <c r="M40" s="117"/>
      <c r="N40" s="97"/>
      <c r="O40" s="128"/>
      <c r="P40" s="126"/>
      <c r="Q40" s="97"/>
      <c r="R40" s="97"/>
      <c r="S40" s="97"/>
      <c r="T40" s="46" t="s">
        <v>16</v>
      </c>
      <c r="U40" s="43"/>
      <c r="V40" s="95"/>
      <c r="W40" s="3"/>
      <c r="X40" s="3"/>
      <c r="Y40" s="3"/>
      <c r="Z40" s="3"/>
      <c r="AA40" s="17"/>
      <c r="AB40" s="65"/>
      <c r="AC40" s="7"/>
      <c r="AD40" s="42"/>
      <c r="AE40" s="7"/>
      <c r="AF40" s="42"/>
      <c r="AG40" s="42"/>
      <c r="AH40" s="42"/>
      <c r="AI40" s="58"/>
      <c r="AJ40"/>
      <c r="AK40"/>
      <c r="AL40"/>
      <c r="AM40"/>
      <c r="AN40" s="95"/>
      <c r="AO40" s="95"/>
      <c r="AP40" s="46" t="s">
        <v>16</v>
      </c>
      <c r="AQ40" s="43"/>
      <c r="AR40" s="95"/>
      <c r="AS40" s="3"/>
      <c r="AT40" s="3"/>
      <c r="AU40" s="3"/>
      <c r="AV40" s="3"/>
      <c r="AW40" s="17"/>
      <c r="AX40" s="65"/>
      <c r="AY40" s="7"/>
      <c r="AZ40" s="42"/>
      <c r="BA40" s="7"/>
      <c r="BB40" s="42"/>
      <c r="BC40" s="42"/>
      <c r="BD40" s="42"/>
      <c r="BE40" s="58"/>
      <c r="BF40"/>
      <c r="BG40"/>
      <c r="BH40"/>
      <c r="BI40" s="95"/>
      <c r="BJ40" s="95"/>
      <c r="BK40" s="95"/>
      <c r="BL40" s="46" t="s">
        <v>16</v>
      </c>
      <c r="BM40" s="43"/>
      <c r="BN40" s="95"/>
      <c r="BO40" s="3"/>
      <c r="BP40" s="3"/>
      <c r="BQ40" s="3"/>
      <c r="BR40" s="3"/>
      <c r="BS40" s="17"/>
      <c r="BT40" s="65"/>
      <c r="BU40" s="7"/>
      <c r="BV40" s="42"/>
      <c r="BW40" s="7"/>
      <c r="BX40" s="42"/>
      <c r="BY40" s="42"/>
      <c r="BZ40" s="42"/>
      <c r="CA40" s="58"/>
      <c r="CB40"/>
      <c r="CC40" s="95"/>
      <c r="CD40" s="95"/>
      <c r="CE40" s="95"/>
      <c r="CF40" s="95"/>
      <c r="CG40" s="95"/>
    </row>
    <row r="41" spans="1:85" x14ac:dyDescent="0.35">
      <c r="A41" s="97"/>
      <c r="B41" s="97"/>
      <c r="C41" s="97"/>
      <c r="D41" s="97"/>
      <c r="E41" s="147">
        <v>0.5</v>
      </c>
      <c r="F41" s="97">
        <v>4.5467683892955773</v>
      </c>
      <c r="G41" s="97" t="s">
        <v>7</v>
      </c>
      <c r="H41" s="97"/>
      <c r="I41" s="117"/>
      <c r="J41" s="97"/>
      <c r="K41" s="120" t="s">
        <v>31</v>
      </c>
      <c r="L41" s="122">
        <v>0.25</v>
      </c>
      <c r="M41" s="120" t="s">
        <v>30</v>
      </c>
      <c r="N41" s="122">
        <v>0.5</v>
      </c>
      <c r="O41" s="128">
        <f>1-EXP(-P41*$E$2)</f>
        <v>0.37376412240019319</v>
      </c>
      <c r="P41" s="126">
        <f>BK34</f>
        <v>14.040845327284968</v>
      </c>
      <c r="Q41" s="97"/>
      <c r="R41" s="97"/>
      <c r="S41" s="97"/>
      <c r="T41" s="2"/>
      <c r="U41" s="29"/>
      <c r="V41" s="19"/>
      <c r="W41" s="19"/>
      <c r="X41" s="19"/>
      <c r="Y41" s="19"/>
      <c r="Z41" s="19"/>
      <c r="AA41" s="20"/>
      <c r="AB41" s="20"/>
      <c r="AC41" s="9"/>
      <c r="AD41" s="30"/>
      <c r="AE41" s="61"/>
      <c r="AF41" s="30"/>
      <c r="AG41" s="30"/>
      <c r="AH41" s="30"/>
      <c r="AI41" s="59"/>
      <c r="AK41" s="42"/>
      <c r="AP41" s="2"/>
      <c r="AQ41" s="29"/>
      <c r="AR41" s="19"/>
      <c r="AS41" s="19"/>
      <c r="AT41" s="19"/>
      <c r="AU41" s="19"/>
      <c r="AV41" s="19"/>
      <c r="AW41" s="20"/>
      <c r="AX41" s="20"/>
      <c r="AY41" s="9"/>
      <c r="AZ41" s="30"/>
      <c r="BA41" s="61"/>
      <c r="BB41" s="30"/>
      <c r="BC41" s="30"/>
      <c r="BD41" s="30"/>
      <c r="BE41" s="59"/>
      <c r="BG41" s="42"/>
      <c r="BL41" s="2"/>
      <c r="BM41" s="29"/>
      <c r="BN41" s="19"/>
      <c r="BO41" s="19"/>
      <c r="BP41" s="19"/>
      <c r="BQ41" s="19"/>
      <c r="BR41" s="19"/>
      <c r="BS41" s="20"/>
      <c r="BT41" s="20"/>
      <c r="BU41" s="9"/>
      <c r="BV41" s="30"/>
      <c r="BW41" s="61"/>
      <c r="BX41" s="30"/>
      <c r="BY41" s="30"/>
      <c r="BZ41" s="30"/>
      <c r="CA41" s="59"/>
    </row>
    <row r="42" spans="1:85" ht="13.15" thickBot="1" x14ac:dyDescent="0.4">
      <c r="A42" s="97"/>
      <c r="B42" s="97"/>
      <c r="C42" s="97"/>
      <c r="D42" s="97"/>
      <c r="E42" s="97"/>
      <c r="F42" s="97"/>
      <c r="G42" s="97"/>
      <c r="H42" s="97"/>
      <c r="I42" s="117"/>
      <c r="J42" s="97"/>
      <c r="K42" s="117">
        <f>O38*N38+O41*N41+O44*N44</f>
        <v>0.34099350426244762</v>
      </c>
      <c r="L42" s="97"/>
      <c r="M42" s="117"/>
      <c r="N42" s="97"/>
      <c r="O42" s="128"/>
      <c r="P42" s="126"/>
      <c r="Q42" s="97"/>
      <c r="R42" s="97"/>
      <c r="S42" s="97"/>
    </row>
    <row r="43" spans="1:85" ht="15.4" x14ac:dyDescent="0.45">
      <c r="A43" s="97"/>
      <c r="B43" s="97"/>
      <c r="C43" s="97"/>
      <c r="D43" s="97"/>
      <c r="E43" s="97"/>
      <c r="F43" s="97"/>
      <c r="G43" s="97"/>
      <c r="H43" s="97"/>
      <c r="I43" s="117"/>
      <c r="J43" s="97"/>
      <c r="K43" s="117"/>
      <c r="L43" s="97"/>
      <c r="M43" s="123"/>
      <c r="N43" s="97"/>
      <c r="O43" s="128"/>
      <c r="P43" s="126"/>
      <c r="Q43" s="97"/>
      <c r="R43" s="97"/>
      <c r="S43" s="97"/>
      <c r="T43" s="53" t="s">
        <v>50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P43" s="53" t="s">
        <v>50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L43" s="53" t="s">
        <v>50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5" ht="15.4" x14ac:dyDescent="0.45">
      <c r="A44" s="97"/>
      <c r="B44" s="97"/>
      <c r="C44" s="97"/>
      <c r="D44" s="97"/>
      <c r="E44" s="97"/>
      <c r="F44" s="97"/>
      <c r="G44" s="97"/>
      <c r="H44" s="97"/>
      <c r="I44" s="117"/>
      <c r="J44" s="97"/>
      <c r="K44" s="117"/>
      <c r="L44" s="97"/>
      <c r="M44" s="122" t="s">
        <v>29</v>
      </c>
      <c r="N44" s="122">
        <v>0.25</v>
      </c>
      <c r="O44" s="128">
        <f>1-EXP(-P44*$E$2)</f>
        <v>8.9358183772292987E-2</v>
      </c>
      <c r="P44" s="126">
        <f>BK33</f>
        <v>2.8081690654569935</v>
      </c>
      <c r="Q44" s="97"/>
      <c r="R44" s="97"/>
      <c r="S44" s="97"/>
      <c r="T44" s="54"/>
      <c r="AP44" s="54"/>
      <c r="BL44" s="54"/>
    </row>
    <row r="45" spans="1:85" ht="15.4" x14ac:dyDescent="0.45">
      <c r="A45" s="97"/>
      <c r="B45" s="97"/>
      <c r="C45" s="97"/>
      <c r="D45" s="97"/>
      <c r="E45" s="97"/>
      <c r="F45" s="97"/>
      <c r="G45" s="97"/>
      <c r="H45" s="97"/>
      <c r="I45" s="117"/>
      <c r="J45" s="97"/>
      <c r="K45" s="117"/>
      <c r="L45" s="97"/>
      <c r="M45" s="97"/>
      <c r="N45" s="97"/>
      <c r="O45" s="128"/>
      <c r="P45" s="126"/>
      <c r="Q45" s="97"/>
      <c r="R45" s="97"/>
      <c r="S45" s="97"/>
      <c r="T45" s="54" t="str">
        <f>s_n</f>
        <v>No Partnership / No Expansion</v>
      </c>
      <c r="AP45" s="54" t="str">
        <f>strategy_name</f>
        <v>No Partnership / No Expansion</v>
      </c>
      <c r="BL45" s="54" t="str">
        <f>SN</f>
        <v>No Partnership / No Expansion</v>
      </c>
    </row>
    <row r="46" spans="1:85" x14ac:dyDescent="0.35">
      <c r="A46" s="97"/>
      <c r="B46" s="97"/>
      <c r="C46" s="97"/>
      <c r="D46" s="97"/>
      <c r="E46" s="97"/>
      <c r="F46" s="97"/>
      <c r="G46" s="97"/>
      <c r="H46" s="97"/>
      <c r="I46" s="117"/>
      <c r="J46" s="97"/>
      <c r="K46" s="117"/>
      <c r="L46" s="97"/>
      <c r="M46" s="155" t="s">
        <v>42</v>
      </c>
      <c r="N46" s="155"/>
      <c r="O46" s="128"/>
      <c r="P46" s="126"/>
      <c r="Q46" s="97"/>
      <c r="R46" s="97"/>
      <c r="S46" s="97"/>
      <c r="T46" s="13"/>
      <c r="AP46" s="13"/>
      <c r="BL46" s="13"/>
    </row>
    <row r="47" spans="1:85" ht="15" x14ac:dyDescent="0.4">
      <c r="A47" s="97"/>
      <c r="B47" s="97"/>
      <c r="C47" s="97"/>
      <c r="D47" s="97"/>
      <c r="E47" s="97"/>
      <c r="F47" s="97"/>
      <c r="G47" s="97"/>
      <c r="H47" s="97"/>
      <c r="I47" s="117"/>
      <c r="J47" s="97"/>
      <c r="K47" s="117"/>
      <c r="L47" s="97"/>
      <c r="M47" s="97"/>
      <c r="N47" s="97"/>
      <c r="O47" s="128"/>
      <c r="P47" s="126"/>
      <c r="Q47" s="97"/>
      <c r="R47" s="97"/>
      <c r="S47" s="97"/>
      <c r="T47" s="51" t="s">
        <v>51</v>
      </c>
      <c r="U47" s="48"/>
      <c r="V47" s="48"/>
      <c r="Z47" s="7"/>
      <c r="AA47" s="52">
        <v>2026</v>
      </c>
      <c r="AB47" s="52">
        <f>AA47+1</f>
        <v>2027</v>
      </c>
      <c r="AC47" s="52">
        <f t="shared" ref="AC47:AH47" si="3">AB47+1</f>
        <v>2028</v>
      </c>
      <c r="AD47" s="52">
        <f t="shared" si="3"/>
        <v>2029</v>
      </c>
      <c r="AE47" s="52">
        <f t="shared" si="3"/>
        <v>2030</v>
      </c>
      <c r="AF47" s="52">
        <f t="shared" si="3"/>
        <v>2031</v>
      </c>
      <c r="AG47" s="52">
        <f t="shared" si="3"/>
        <v>2032</v>
      </c>
      <c r="AH47" s="52">
        <f t="shared" si="3"/>
        <v>2033</v>
      </c>
      <c r="AI47" s="52">
        <f>AH47+1</f>
        <v>2034</v>
      </c>
      <c r="AJ47" s="52">
        <f>AI47+1</f>
        <v>2035</v>
      </c>
      <c r="AP47" s="51" t="s">
        <v>51</v>
      </c>
      <c r="AQ47" s="48"/>
      <c r="AR47" s="48"/>
      <c r="AV47" s="7"/>
      <c r="AW47" s="52">
        <v>2026</v>
      </c>
      <c r="AX47" s="52">
        <f>AW47+1</f>
        <v>2027</v>
      </c>
      <c r="AY47" s="52">
        <f t="shared" ref="AY47:BD47" si="4">AX47+1</f>
        <v>2028</v>
      </c>
      <c r="AZ47" s="52">
        <f t="shared" si="4"/>
        <v>2029</v>
      </c>
      <c r="BA47" s="52">
        <f t="shared" si="4"/>
        <v>2030</v>
      </c>
      <c r="BB47" s="52">
        <f t="shared" si="4"/>
        <v>2031</v>
      </c>
      <c r="BC47" s="52">
        <f t="shared" si="4"/>
        <v>2032</v>
      </c>
      <c r="BD47" s="52">
        <f t="shared" si="4"/>
        <v>2033</v>
      </c>
      <c r="BE47" s="52">
        <f>BD47+1</f>
        <v>2034</v>
      </c>
      <c r="BF47" s="52">
        <f>BE47+1</f>
        <v>2035</v>
      </c>
      <c r="BL47" s="51" t="s">
        <v>51</v>
      </c>
      <c r="BM47" s="48"/>
      <c r="BN47" s="48"/>
      <c r="BR47" s="7"/>
      <c r="BS47" s="52">
        <v>2026</v>
      </c>
      <c r="BT47" s="52">
        <f>BS47+1</f>
        <v>2027</v>
      </c>
      <c r="BU47" s="52">
        <f t="shared" ref="BU47:BZ47" si="5">BT47+1</f>
        <v>2028</v>
      </c>
      <c r="BV47" s="52">
        <f t="shared" si="5"/>
        <v>2029</v>
      </c>
      <c r="BW47" s="52">
        <f t="shared" si="5"/>
        <v>2030</v>
      </c>
      <c r="BX47" s="52">
        <f t="shared" si="5"/>
        <v>2031</v>
      </c>
      <c r="BY47" s="52">
        <f t="shared" si="5"/>
        <v>2032</v>
      </c>
      <c r="BZ47" s="52">
        <f t="shared" si="5"/>
        <v>2033</v>
      </c>
      <c r="CA47" s="52">
        <f>BZ47+1</f>
        <v>2034</v>
      </c>
      <c r="CB47" s="52">
        <f>CA47+1</f>
        <v>2035</v>
      </c>
    </row>
    <row r="48" spans="1:85" ht="15" x14ac:dyDescent="0.4">
      <c r="A48" s="97"/>
      <c r="B48" s="97"/>
      <c r="C48" s="97"/>
      <c r="D48" s="97"/>
      <c r="E48" s="97"/>
      <c r="F48" s="97"/>
      <c r="G48" s="97"/>
      <c r="H48" s="97"/>
      <c r="I48" s="117"/>
      <c r="J48" s="97"/>
      <c r="K48" s="117"/>
      <c r="L48" s="97"/>
      <c r="M48" s="120" t="s">
        <v>31</v>
      </c>
      <c r="N48" s="122">
        <v>0.25</v>
      </c>
      <c r="O48" s="128">
        <f>1-EXP(-P48*$E$2)</f>
        <v>0.52708758847711112</v>
      </c>
      <c r="P48" s="126">
        <f>BJ35</f>
        <v>22.465352523655948</v>
      </c>
      <c r="Q48" s="97"/>
      <c r="R48" s="97"/>
      <c r="S48" s="97"/>
      <c r="T48" s="51" t="s">
        <v>52</v>
      </c>
      <c r="U48" s="48"/>
      <c r="V48" s="48"/>
      <c r="Z48" s="7"/>
      <c r="AA48" s="52">
        <f>AA47-$AA$47</f>
        <v>0</v>
      </c>
      <c r="AB48" s="52">
        <f t="shared" ref="AB48:AJ48" si="6">AB47-$AA$47</f>
        <v>1</v>
      </c>
      <c r="AC48" s="52">
        <f t="shared" si="6"/>
        <v>2</v>
      </c>
      <c r="AD48" s="52">
        <f t="shared" si="6"/>
        <v>3</v>
      </c>
      <c r="AE48" s="52">
        <f t="shared" si="6"/>
        <v>4</v>
      </c>
      <c r="AF48" s="52">
        <f t="shared" si="6"/>
        <v>5</v>
      </c>
      <c r="AG48" s="52">
        <f t="shared" si="6"/>
        <v>6</v>
      </c>
      <c r="AH48" s="52">
        <f t="shared" si="6"/>
        <v>7</v>
      </c>
      <c r="AI48" s="52">
        <f t="shared" si="6"/>
        <v>8</v>
      </c>
      <c r="AJ48" s="52">
        <f t="shared" si="6"/>
        <v>9</v>
      </c>
      <c r="AP48" s="51" t="s">
        <v>52</v>
      </c>
      <c r="AQ48" s="48"/>
      <c r="AR48" s="48"/>
      <c r="AV48" s="7"/>
      <c r="AW48" s="52">
        <f t="shared" ref="AW48:BF48" si="7">AW47-$AW$47</f>
        <v>0</v>
      </c>
      <c r="AX48" s="52">
        <f t="shared" si="7"/>
        <v>1</v>
      </c>
      <c r="AY48" s="52">
        <f t="shared" si="7"/>
        <v>2</v>
      </c>
      <c r="AZ48" s="52">
        <f t="shared" si="7"/>
        <v>3</v>
      </c>
      <c r="BA48" s="52">
        <f t="shared" si="7"/>
        <v>4</v>
      </c>
      <c r="BB48" s="52">
        <f t="shared" si="7"/>
        <v>5</v>
      </c>
      <c r="BC48" s="52">
        <f t="shared" si="7"/>
        <v>6</v>
      </c>
      <c r="BD48" s="52">
        <f t="shared" si="7"/>
        <v>7</v>
      </c>
      <c r="BE48" s="52">
        <f t="shared" si="7"/>
        <v>8</v>
      </c>
      <c r="BF48" s="52">
        <f t="shared" si="7"/>
        <v>9</v>
      </c>
      <c r="BL48" s="51" t="s">
        <v>52</v>
      </c>
      <c r="BM48" s="48"/>
      <c r="BN48" s="48"/>
      <c r="BR48" s="7"/>
      <c r="BS48" s="52">
        <f t="shared" ref="BS48:CB48" si="8">BS47-$BS$47</f>
        <v>0</v>
      </c>
      <c r="BT48" s="52">
        <f t="shared" si="8"/>
        <v>1</v>
      </c>
      <c r="BU48" s="52">
        <f t="shared" si="8"/>
        <v>2</v>
      </c>
      <c r="BV48" s="52">
        <f t="shared" si="8"/>
        <v>3</v>
      </c>
      <c r="BW48" s="52">
        <f t="shared" si="8"/>
        <v>4</v>
      </c>
      <c r="BX48" s="52">
        <f t="shared" si="8"/>
        <v>5</v>
      </c>
      <c r="BY48" s="52">
        <f t="shared" si="8"/>
        <v>6</v>
      </c>
      <c r="BZ48" s="52">
        <f t="shared" si="8"/>
        <v>7</v>
      </c>
      <c r="CA48" s="52">
        <f t="shared" si="8"/>
        <v>8</v>
      </c>
      <c r="CB48" s="52">
        <f t="shared" si="8"/>
        <v>9</v>
      </c>
    </row>
    <row r="49" spans="1:80" ht="15.4" x14ac:dyDescent="0.45">
      <c r="A49" s="97"/>
      <c r="B49" s="97"/>
      <c r="C49" s="97"/>
      <c r="D49" s="97"/>
      <c r="E49" s="97"/>
      <c r="F49" s="97"/>
      <c r="G49" s="97"/>
      <c r="H49" s="97"/>
      <c r="I49" s="117"/>
      <c r="J49" s="97"/>
      <c r="K49" s="117"/>
      <c r="L49" s="97"/>
      <c r="M49" s="117"/>
      <c r="N49" s="97"/>
      <c r="O49" s="128"/>
      <c r="P49" s="126"/>
      <c r="Q49" s="97"/>
      <c r="R49" s="97"/>
      <c r="S49" s="97"/>
      <c r="T49" s="49"/>
      <c r="U49" s="48"/>
      <c r="V49" s="48"/>
      <c r="Z49" s="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8"/>
      <c r="AL49" s="68"/>
      <c r="AM49" s="68"/>
      <c r="AN49" s="68"/>
      <c r="AO49" s="68"/>
      <c r="AP49" s="49"/>
      <c r="AQ49" s="48"/>
      <c r="AR49" s="48"/>
      <c r="AV49" s="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8"/>
      <c r="BH49" s="68"/>
      <c r="BL49" s="49"/>
      <c r="BM49" s="48"/>
      <c r="BN49" s="48"/>
      <c r="BR49" s="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s="3" customFormat="1" ht="15.4" x14ac:dyDescent="0.45">
      <c r="A50" s="97"/>
      <c r="B50" s="97"/>
      <c r="C50" s="97"/>
      <c r="D50" s="97"/>
      <c r="E50" s="97"/>
      <c r="F50" s="156" t="s">
        <v>7</v>
      </c>
      <c r="G50" s="156"/>
      <c r="H50" s="157"/>
      <c r="I50" s="117"/>
      <c r="J50" s="97"/>
      <c r="K50" s="117"/>
      <c r="L50" s="97"/>
      <c r="M50" s="117"/>
      <c r="N50" s="97"/>
      <c r="O50" s="128"/>
      <c r="P50" s="126"/>
      <c r="Q50" s="97"/>
      <c r="R50" s="97"/>
      <c r="S50" s="97"/>
      <c r="T50" s="49" t="s">
        <v>53</v>
      </c>
      <c r="U50" s="50"/>
      <c r="V50" s="50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8"/>
      <c r="AL50" s="68"/>
      <c r="AM50" s="68"/>
      <c r="AN50" s="68"/>
      <c r="AO50" s="68"/>
      <c r="AP50" s="49" t="s">
        <v>53</v>
      </c>
      <c r="AQ50" s="50"/>
      <c r="AR50" s="50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8"/>
      <c r="BH50" s="68"/>
      <c r="BI50"/>
      <c r="BJ50"/>
      <c r="BK50"/>
      <c r="BL50" s="49" t="s">
        <v>53</v>
      </c>
      <c r="BM50" s="50"/>
      <c r="BN50" s="50"/>
      <c r="BS50" s="69"/>
      <c r="BT50" s="69"/>
      <c r="BU50" s="69"/>
      <c r="BV50" s="69"/>
      <c r="BW50" s="69"/>
      <c r="BX50" s="69"/>
      <c r="BY50" s="69"/>
      <c r="BZ50" s="69"/>
      <c r="CA50" s="69"/>
      <c r="CB50" s="69"/>
    </row>
    <row r="51" spans="1:80" ht="15" x14ac:dyDescent="0.4">
      <c r="A51" s="97"/>
      <c r="B51" s="97"/>
      <c r="C51" s="97"/>
      <c r="D51" s="97"/>
      <c r="E51" s="121"/>
      <c r="F51" s="120" t="s">
        <v>84</v>
      </c>
      <c r="G51" s="122">
        <f>J20*I21+J51*I52+J82*I83</f>
        <v>0.30326442279677124</v>
      </c>
      <c r="H51" s="122"/>
      <c r="I51" s="120" t="s">
        <v>30</v>
      </c>
      <c r="J51" s="122">
        <v>0.5</v>
      </c>
      <c r="K51" s="120" t="s">
        <v>30</v>
      </c>
      <c r="L51" s="122">
        <v>0.5</v>
      </c>
      <c r="M51" s="120" t="s">
        <v>30</v>
      </c>
      <c r="N51" s="122">
        <v>0.5</v>
      </c>
      <c r="O51" s="128">
        <f>1-EXP(-P51*$E$2)</f>
        <v>0.37376412240019319</v>
      </c>
      <c r="P51" s="126">
        <f>BJ34</f>
        <v>14.040845327284968</v>
      </c>
      <c r="Q51" s="97"/>
      <c r="R51" s="97"/>
      <c r="S51" s="97"/>
      <c r="T51" s="48"/>
      <c r="U51" s="48" t="s">
        <v>54</v>
      </c>
      <c r="V51" s="48"/>
      <c r="Z51" s="11" t="s">
        <v>55</v>
      </c>
      <c r="AA51" s="70">
        <f>IF(Ss&lt;3,DC_,0)</f>
        <v>2.75</v>
      </c>
      <c r="AB51" s="70">
        <f>AA51*(1+$AD$33)</f>
        <v>2.9425000000000003</v>
      </c>
      <c r="AC51" s="70">
        <f t="shared" ref="AC51:AJ52" si="9">AB51*(1+$AD$33)</f>
        <v>3.1484750000000004</v>
      </c>
      <c r="AD51" s="70">
        <f t="shared" si="9"/>
        <v>3.3688682500000007</v>
      </c>
      <c r="AE51" s="70">
        <f t="shared" si="9"/>
        <v>3.604689027500001</v>
      </c>
      <c r="AF51" s="70">
        <f t="shared" si="9"/>
        <v>3.8570172594250014</v>
      </c>
      <c r="AG51" s="70">
        <f t="shared" si="9"/>
        <v>4.1270084675847514</v>
      </c>
      <c r="AH51" s="70">
        <f t="shared" si="9"/>
        <v>4.4158990603156845</v>
      </c>
      <c r="AI51" s="70">
        <f t="shared" si="9"/>
        <v>4.7250119945377831</v>
      </c>
      <c r="AJ51" s="70">
        <f t="shared" si="9"/>
        <v>5.0557628341554279</v>
      </c>
      <c r="AK51" s="68"/>
      <c r="AL51" s="68"/>
      <c r="AM51" s="68"/>
      <c r="AN51" s="68"/>
      <c r="AO51" s="68"/>
      <c r="AP51" s="48"/>
      <c r="AQ51" s="48" t="s">
        <v>54</v>
      </c>
      <c r="AR51" s="48"/>
      <c r="AV51" s="11" t="s">
        <v>55</v>
      </c>
      <c r="AW51" s="70">
        <f>IF(strategy&lt;3,dem_DAC,0)</f>
        <v>2.75</v>
      </c>
      <c r="AX51" s="70">
        <f t="shared" ref="AX51:BF52" si="10">AW51*(1+$AZ$33)</f>
        <v>2.9425000000000003</v>
      </c>
      <c r="AY51" s="70">
        <f t="shared" si="10"/>
        <v>3.1484750000000004</v>
      </c>
      <c r="AZ51" s="70">
        <f t="shared" si="10"/>
        <v>3.3688682500000007</v>
      </c>
      <c r="BA51" s="70">
        <f t="shared" si="10"/>
        <v>3.604689027500001</v>
      </c>
      <c r="BB51" s="70">
        <f t="shared" si="10"/>
        <v>3.8570172594250014</v>
      </c>
      <c r="BC51" s="70">
        <f t="shared" si="10"/>
        <v>4.1270084675847514</v>
      </c>
      <c r="BD51" s="70">
        <f t="shared" si="10"/>
        <v>4.4158990603156845</v>
      </c>
      <c r="BE51" s="70">
        <f t="shared" si="10"/>
        <v>4.7250119945377831</v>
      </c>
      <c r="BF51" s="70">
        <f t="shared" si="10"/>
        <v>5.0557628341554279</v>
      </c>
      <c r="BG51" s="68"/>
      <c r="BH51" s="68"/>
      <c r="BL51" s="48"/>
      <c r="BM51" s="48" t="s">
        <v>54</v>
      </c>
      <c r="BN51" s="48"/>
      <c r="BR51" s="11" t="s">
        <v>55</v>
      </c>
      <c r="BS51" s="70">
        <f>IF(S&lt;3,DC,0)</f>
        <v>2.75</v>
      </c>
      <c r="BT51" s="70">
        <f t="shared" ref="BT51:CB52" si="11">BS51*(1+$BV$33)</f>
        <v>2.9425000000000003</v>
      </c>
      <c r="BU51" s="70">
        <f t="shared" si="11"/>
        <v>3.1484750000000004</v>
      </c>
      <c r="BV51" s="70">
        <f t="shared" si="11"/>
        <v>3.3688682500000007</v>
      </c>
      <c r="BW51" s="70">
        <f t="shared" si="11"/>
        <v>3.604689027500001</v>
      </c>
      <c r="BX51" s="70">
        <f t="shared" si="11"/>
        <v>3.8570172594250014</v>
      </c>
      <c r="BY51" s="70">
        <f t="shared" si="11"/>
        <v>4.1270084675847514</v>
      </c>
      <c r="BZ51" s="70">
        <f t="shared" si="11"/>
        <v>4.4158990603156845</v>
      </c>
      <c r="CA51" s="70">
        <f t="shared" si="11"/>
        <v>4.7250119945377831</v>
      </c>
      <c r="CB51" s="70">
        <f t="shared" si="11"/>
        <v>5.0557628341554279</v>
      </c>
    </row>
    <row r="52" spans="1:80" ht="15" x14ac:dyDescent="0.4">
      <c r="A52" s="97"/>
      <c r="B52" s="97"/>
      <c r="C52" s="97"/>
      <c r="D52" s="97"/>
      <c r="E52" s="121"/>
      <c r="F52" s="97" t="s">
        <v>87</v>
      </c>
      <c r="G52" s="126">
        <f>-LN(-G51+1)/$E$2</f>
        <v>10.840479388120144</v>
      </c>
      <c r="H52" s="97"/>
      <c r="I52" s="117">
        <f>L41*K42+L51*K52+L61*K62</f>
        <v>0.30445947741650836</v>
      </c>
      <c r="J52" s="97"/>
      <c r="K52" s="117">
        <f>O48*N48+O51*N51+O54*N54</f>
        <v>0.34099350426244762</v>
      </c>
      <c r="L52" s="97"/>
      <c r="M52" s="117"/>
      <c r="N52" s="97"/>
      <c r="O52" s="128"/>
      <c r="P52" s="126"/>
      <c r="Q52" s="97"/>
      <c r="R52" s="97"/>
      <c r="S52" s="97"/>
      <c r="T52" s="48"/>
      <c r="U52" s="48" t="s">
        <v>56</v>
      </c>
      <c r="V52" s="48"/>
      <c r="Z52" s="11" t="s">
        <v>55</v>
      </c>
      <c r="AA52" s="70">
        <f>IF(Ss&gt;2,DC_*AD32,0)</f>
        <v>0</v>
      </c>
      <c r="AB52" s="70">
        <f>AA52*(1+$AD$33)</f>
        <v>0</v>
      </c>
      <c r="AC52" s="70">
        <f t="shared" si="9"/>
        <v>0</v>
      </c>
      <c r="AD52" s="70">
        <f t="shared" si="9"/>
        <v>0</v>
      </c>
      <c r="AE52" s="70">
        <f t="shared" si="9"/>
        <v>0</v>
      </c>
      <c r="AF52" s="70">
        <f t="shared" si="9"/>
        <v>0</v>
      </c>
      <c r="AG52" s="70">
        <f t="shared" si="9"/>
        <v>0</v>
      </c>
      <c r="AH52" s="70">
        <f t="shared" si="9"/>
        <v>0</v>
      </c>
      <c r="AI52" s="70">
        <f t="shared" si="9"/>
        <v>0</v>
      </c>
      <c r="AJ52" s="70">
        <f t="shared" si="9"/>
        <v>0</v>
      </c>
      <c r="AK52" s="68"/>
      <c r="AL52" s="68"/>
      <c r="AM52" s="68"/>
      <c r="AN52" s="68"/>
      <c r="AO52" s="68"/>
      <c r="AP52" s="48"/>
      <c r="AQ52" s="48" t="s">
        <v>56</v>
      </c>
      <c r="AR52" s="48"/>
      <c r="AV52" s="11" t="s">
        <v>55</v>
      </c>
      <c r="AW52" s="70">
        <f>IF(strategy&gt;2,dem_DAC*AZ32,0)</f>
        <v>0</v>
      </c>
      <c r="AX52" s="70">
        <f t="shared" si="10"/>
        <v>0</v>
      </c>
      <c r="AY52" s="70">
        <f t="shared" si="10"/>
        <v>0</v>
      </c>
      <c r="AZ52" s="70">
        <f t="shared" si="10"/>
        <v>0</v>
      </c>
      <c r="BA52" s="70">
        <f t="shared" si="10"/>
        <v>0</v>
      </c>
      <c r="BB52" s="70">
        <f t="shared" si="10"/>
        <v>0</v>
      </c>
      <c r="BC52" s="70">
        <f t="shared" si="10"/>
        <v>0</v>
      </c>
      <c r="BD52" s="70">
        <f t="shared" si="10"/>
        <v>0</v>
      </c>
      <c r="BE52" s="70">
        <f t="shared" si="10"/>
        <v>0</v>
      </c>
      <c r="BF52" s="70">
        <f t="shared" si="10"/>
        <v>0</v>
      </c>
      <c r="BG52" s="68"/>
      <c r="BH52" s="68"/>
      <c r="BL52" s="48"/>
      <c r="BM52" s="48" t="s">
        <v>56</v>
      </c>
      <c r="BN52" s="48"/>
      <c r="BR52" s="11" t="s">
        <v>55</v>
      </c>
      <c r="BS52" s="70">
        <f>IF(S&gt;2,DC*BV32,0)</f>
        <v>0</v>
      </c>
      <c r="BT52" s="70">
        <f t="shared" si="11"/>
        <v>0</v>
      </c>
      <c r="BU52" s="70">
        <f t="shared" si="11"/>
        <v>0</v>
      </c>
      <c r="BV52" s="70">
        <f t="shared" si="11"/>
        <v>0</v>
      </c>
      <c r="BW52" s="70">
        <f t="shared" si="11"/>
        <v>0</v>
      </c>
      <c r="BX52" s="70">
        <f t="shared" si="11"/>
        <v>0</v>
      </c>
      <c r="BY52" s="70">
        <f t="shared" si="11"/>
        <v>0</v>
      </c>
      <c r="BZ52" s="70">
        <f t="shared" si="11"/>
        <v>0</v>
      </c>
      <c r="CA52" s="70">
        <f t="shared" si="11"/>
        <v>0</v>
      </c>
      <c r="CB52" s="70">
        <f t="shared" si="11"/>
        <v>0</v>
      </c>
    </row>
    <row r="53" spans="1:80" ht="15" x14ac:dyDescent="0.4">
      <c r="A53" s="97"/>
      <c r="B53" s="97"/>
      <c r="C53" s="97"/>
      <c r="D53" s="97"/>
      <c r="E53" s="121"/>
      <c r="F53" s="97"/>
      <c r="G53" s="97"/>
      <c r="H53" s="97"/>
      <c r="I53" s="117"/>
      <c r="J53" s="97"/>
      <c r="K53" s="117"/>
      <c r="L53" s="97"/>
      <c r="M53" s="123"/>
      <c r="N53" s="97"/>
      <c r="O53" s="128"/>
      <c r="P53" s="126"/>
      <c r="Q53" s="97"/>
      <c r="R53" s="97"/>
      <c r="S53" s="97"/>
      <c r="T53" s="48"/>
      <c r="U53" s="48" t="s">
        <v>57</v>
      </c>
      <c r="V53" s="48"/>
      <c r="Z53" s="11" t="s">
        <v>55</v>
      </c>
      <c r="AA53" s="71">
        <f>IF(Ss=1,2.5,IF(OR(Ss=2,Ss=3),8.5,IF(Ss=4,0,"error")))</f>
        <v>2.5</v>
      </c>
      <c r="AB53" s="71">
        <f>$AA$53</f>
        <v>2.5</v>
      </c>
      <c r="AC53" s="71">
        <f t="shared" ref="AC53:AJ53" si="12">$AA$53</f>
        <v>2.5</v>
      </c>
      <c r="AD53" s="71">
        <f t="shared" si="12"/>
        <v>2.5</v>
      </c>
      <c r="AE53" s="71">
        <f t="shared" si="12"/>
        <v>2.5</v>
      </c>
      <c r="AF53" s="71">
        <f t="shared" si="12"/>
        <v>2.5</v>
      </c>
      <c r="AG53" s="71">
        <f t="shared" si="12"/>
        <v>2.5</v>
      </c>
      <c r="AH53" s="71">
        <f t="shared" si="12"/>
        <v>2.5</v>
      </c>
      <c r="AI53" s="71">
        <f t="shared" si="12"/>
        <v>2.5</v>
      </c>
      <c r="AJ53" s="71">
        <f t="shared" si="12"/>
        <v>2.5</v>
      </c>
      <c r="AK53" s="68"/>
      <c r="AL53" s="68"/>
      <c r="AM53" s="68"/>
      <c r="AN53" s="68"/>
      <c r="AO53" s="68"/>
      <c r="AP53" s="48"/>
      <c r="AQ53" s="48" t="s">
        <v>57</v>
      </c>
      <c r="AR53" s="48"/>
      <c r="AV53" s="11" t="s">
        <v>55</v>
      </c>
      <c r="AW53" s="71">
        <f>IF(strategy=1,2.5,IF(OR(strategy=2,strategy=3),8.5,IF(strategy=4,0,"error")))</f>
        <v>2.5</v>
      </c>
      <c r="AX53" s="71">
        <f t="shared" ref="AX53:BF53" si="13">$AW$53</f>
        <v>2.5</v>
      </c>
      <c r="AY53" s="71">
        <f t="shared" si="13"/>
        <v>2.5</v>
      </c>
      <c r="AZ53" s="71">
        <f t="shared" si="13"/>
        <v>2.5</v>
      </c>
      <c r="BA53" s="71">
        <f t="shared" si="13"/>
        <v>2.5</v>
      </c>
      <c r="BB53" s="71">
        <f t="shared" si="13"/>
        <v>2.5</v>
      </c>
      <c r="BC53" s="71">
        <f t="shared" si="13"/>
        <v>2.5</v>
      </c>
      <c r="BD53" s="71">
        <f t="shared" si="13"/>
        <v>2.5</v>
      </c>
      <c r="BE53" s="71">
        <f t="shared" si="13"/>
        <v>2.5</v>
      </c>
      <c r="BF53" s="71">
        <f t="shared" si="13"/>
        <v>2.5</v>
      </c>
      <c r="BG53" s="68"/>
      <c r="BH53" s="68"/>
      <c r="BL53" s="48"/>
      <c r="BM53" s="48" t="s">
        <v>57</v>
      </c>
      <c r="BN53" s="48"/>
      <c r="BR53" s="11" t="s">
        <v>55</v>
      </c>
      <c r="BS53" s="71">
        <f>IF(S=1,2.5,IF(OR(S=2,S=3),8.5,IF(S=4,0,"error")))</f>
        <v>2.5</v>
      </c>
      <c r="BT53" s="71">
        <f t="shared" ref="BT53:CB53" si="14">$BS$53</f>
        <v>2.5</v>
      </c>
      <c r="BU53" s="71">
        <f t="shared" si="14"/>
        <v>2.5</v>
      </c>
      <c r="BV53" s="71">
        <f t="shared" si="14"/>
        <v>2.5</v>
      </c>
      <c r="BW53" s="71">
        <f t="shared" si="14"/>
        <v>2.5</v>
      </c>
      <c r="BX53" s="71">
        <f t="shared" si="14"/>
        <v>2.5</v>
      </c>
      <c r="BY53" s="71">
        <f t="shared" si="14"/>
        <v>2.5</v>
      </c>
      <c r="BZ53" s="71">
        <f t="shared" si="14"/>
        <v>2.5</v>
      </c>
      <c r="CA53" s="71">
        <f t="shared" si="14"/>
        <v>2.5</v>
      </c>
      <c r="CB53" s="71">
        <f t="shared" si="14"/>
        <v>2.5</v>
      </c>
    </row>
    <row r="54" spans="1:80" ht="15" x14ac:dyDescent="0.4">
      <c r="A54" s="97"/>
      <c r="B54" s="97"/>
      <c r="C54" s="97"/>
      <c r="D54" s="97"/>
      <c r="E54" s="121"/>
      <c r="F54" s="97"/>
      <c r="G54" s="97"/>
      <c r="H54" s="97"/>
      <c r="I54" s="117"/>
      <c r="J54" s="97"/>
      <c r="K54" s="117"/>
      <c r="L54" s="97"/>
      <c r="M54" s="122" t="s">
        <v>29</v>
      </c>
      <c r="N54" s="122">
        <v>0.25</v>
      </c>
      <c r="O54" s="128">
        <f>1-EXP(-P54*$E$2)</f>
        <v>8.9358183772292987E-2</v>
      </c>
      <c r="P54" s="126">
        <f>BJ33</f>
        <v>2.8081690654569935</v>
      </c>
      <c r="Q54" s="97"/>
      <c r="R54" s="97"/>
      <c r="S54" s="97"/>
      <c r="T54" s="48"/>
      <c r="U54" s="48" t="s">
        <v>53</v>
      </c>
      <c r="V54" s="48"/>
      <c r="Z54" s="11" t="s">
        <v>55</v>
      </c>
      <c r="AA54" s="70">
        <f t="shared" ref="AA54:AJ54" si="15">MIN(IF(Ss&lt;=2,AA51,AA52),IF(Ss=4,AA52,AA53))</f>
        <v>2.5</v>
      </c>
      <c r="AB54" s="70">
        <f t="shared" si="15"/>
        <v>2.5</v>
      </c>
      <c r="AC54" s="70">
        <f t="shared" si="15"/>
        <v>2.5</v>
      </c>
      <c r="AD54" s="70">
        <f t="shared" si="15"/>
        <v>2.5</v>
      </c>
      <c r="AE54" s="70">
        <f t="shared" si="15"/>
        <v>2.5</v>
      </c>
      <c r="AF54" s="70">
        <f t="shared" si="15"/>
        <v>2.5</v>
      </c>
      <c r="AG54" s="70">
        <f t="shared" si="15"/>
        <v>2.5</v>
      </c>
      <c r="AH54" s="70">
        <f t="shared" si="15"/>
        <v>2.5</v>
      </c>
      <c r="AI54" s="70">
        <f t="shared" si="15"/>
        <v>2.5</v>
      </c>
      <c r="AJ54" s="70">
        <f t="shared" si="15"/>
        <v>2.5</v>
      </c>
      <c r="AK54" s="68"/>
      <c r="AL54" s="68"/>
      <c r="AM54" s="68"/>
      <c r="AN54" s="68"/>
      <c r="AO54" s="68"/>
      <c r="AP54" s="48"/>
      <c r="AQ54" s="48" t="s">
        <v>53</v>
      </c>
      <c r="AR54" s="48"/>
      <c r="AV54" s="11" t="s">
        <v>55</v>
      </c>
      <c r="AW54" s="70">
        <f t="shared" ref="AW54:BF54" si="16">MIN(IF(strategy&lt;=2,AW51,AW52),IF(strategy=4,AW52,AW53))</f>
        <v>2.5</v>
      </c>
      <c r="AX54" s="70">
        <f t="shared" si="16"/>
        <v>2.5</v>
      </c>
      <c r="AY54" s="70">
        <f t="shared" si="16"/>
        <v>2.5</v>
      </c>
      <c r="AZ54" s="70">
        <f t="shared" si="16"/>
        <v>2.5</v>
      </c>
      <c r="BA54" s="70">
        <f t="shared" si="16"/>
        <v>2.5</v>
      </c>
      <c r="BB54" s="70">
        <f t="shared" si="16"/>
        <v>2.5</v>
      </c>
      <c r="BC54" s="70">
        <f t="shared" si="16"/>
        <v>2.5</v>
      </c>
      <c r="BD54" s="70">
        <f t="shared" si="16"/>
        <v>2.5</v>
      </c>
      <c r="BE54" s="70">
        <f t="shared" si="16"/>
        <v>2.5</v>
      </c>
      <c r="BF54" s="70">
        <f t="shared" si="16"/>
        <v>2.5</v>
      </c>
      <c r="BG54" s="68"/>
      <c r="BH54" s="68"/>
      <c r="BL54" s="48"/>
      <c r="BM54" s="48" t="s">
        <v>53</v>
      </c>
      <c r="BN54" s="48"/>
      <c r="BR54" s="11" t="s">
        <v>55</v>
      </c>
      <c r="BS54" s="70">
        <f t="shared" ref="BS54:CB54" si="17">MIN(IF(S&lt;=2,BS51,BS52),IF(S=4,BS52,BS53))</f>
        <v>2.5</v>
      </c>
      <c r="BT54" s="70">
        <f t="shared" si="17"/>
        <v>2.5</v>
      </c>
      <c r="BU54" s="70">
        <f t="shared" si="17"/>
        <v>2.5</v>
      </c>
      <c r="BV54" s="70">
        <f t="shared" si="17"/>
        <v>2.5</v>
      </c>
      <c r="BW54" s="70">
        <f t="shared" si="17"/>
        <v>2.5</v>
      </c>
      <c r="BX54" s="70">
        <f t="shared" si="17"/>
        <v>2.5</v>
      </c>
      <c r="BY54" s="70">
        <f t="shared" si="17"/>
        <v>2.5</v>
      </c>
      <c r="BZ54" s="70">
        <f t="shared" si="17"/>
        <v>2.5</v>
      </c>
      <c r="CA54" s="70">
        <f t="shared" si="17"/>
        <v>2.5</v>
      </c>
      <c r="CB54" s="70">
        <f t="shared" si="17"/>
        <v>2.5</v>
      </c>
    </row>
    <row r="55" spans="1:80" ht="15" x14ac:dyDescent="0.4">
      <c r="A55" s="97"/>
      <c r="B55" s="97"/>
      <c r="C55" s="97"/>
      <c r="D55" s="97"/>
      <c r="E55" s="121"/>
      <c r="F55" s="97"/>
      <c r="G55" s="97"/>
      <c r="H55" s="97"/>
      <c r="I55" s="117"/>
      <c r="J55" s="97"/>
      <c r="K55" s="117"/>
      <c r="L55" s="97"/>
      <c r="M55" s="97"/>
      <c r="N55" s="97"/>
      <c r="O55" s="128"/>
      <c r="P55" s="126"/>
      <c r="Q55" s="97"/>
      <c r="R55" s="97"/>
      <c r="S55" s="97"/>
      <c r="T55" s="48"/>
      <c r="U55" s="48"/>
      <c r="V55" s="48"/>
      <c r="Z55" s="11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68"/>
      <c r="AL55" s="68"/>
      <c r="AM55" s="68"/>
      <c r="AN55" s="68"/>
      <c r="AO55" s="68"/>
      <c r="AP55" s="48"/>
      <c r="AQ55" s="48"/>
      <c r="AR55" s="48"/>
      <c r="AV55" s="11"/>
      <c r="AW55" s="136"/>
      <c r="AX55" s="136"/>
      <c r="AY55" s="136"/>
      <c r="AZ55" s="136"/>
      <c r="BA55" s="136"/>
      <c r="BB55" s="136"/>
      <c r="BC55" s="136"/>
      <c r="BD55" s="136"/>
      <c r="BE55" s="136"/>
      <c r="BF55" s="136"/>
      <c r="BG55" s="68"/>
      <c r="BH55" s="68"/>
      <c r="BL55" s="48"/>
      <c r="BM55" s="48"/>
      <c r="BN55" s="48"/>
      <c r="BR55" s="11"/>
      <c r="BS55" s="136"/>
      <c r="BT55" s="136"/>
      <c r="BU55" s="136"/>
      <c r="BV55" s="136"/>
      <c r="BW55" s="136"/>
      <c r="BX55" s="136"/>
      <c r="BY55" s="136"/>
      <c r="BZ55" s="136"/>
      <c r="CA55" s="136"/>
      <c r="CB55" s="136"/>
    </row>
    <row r="56" spans="1:80" ht="15.4" x14ac:dyDescent="0.45">
      <c r="A56" s="97"/>
      <c r="B56" s="97"/>
      <c r="C56" s="97"/>
      <c r="D56" s="97"/>
      <c r="E56" s="121"/>
      <c r="F56" s="97"/>
      <c r="G56" s="97"/>
      <c r="H56" s="97"/>
      <c r="I56" s="117"/>
      <c r="J56" s="97"/>
      <c r="K56" s="117"/>
      <c r="L56" s="97"/>
      <c r="M56" s="155" t="s">
        <v>42</v>
      </c>
      <c r="N56" s="155"/>
      <c r="O56" s="128"/>
      <c r="P56" s="126"/>
      <c r="Q56" s="97"/>
      <c r="R56" s="97"/>
      <c r="S56" s="97"/>
      <c r="T56" s="49" t="s">
        <v>58</v>
      </c>
      <c r="U56" s="48"/>
      <c r="V56" s="48"/>
      <c r="Z56" s="80" t="s">
        <v>59</v>
      </c>
      <c r="AA56" s="72">
        <f>AA54*$AD$35</f>
        <v>26.875</v>
      </c>
      <c r="AB56" s="72">
        <f t="shared" ref="AB56:AJ56" si="18">AB54*$AD$35</f>
        <v>26.875</v>
      </c>
      <c r="AC56" s="72">
        <f t="shared" si="18"/>
        <v>26.875</v>
      </c>
      <c r="AD56" s="72">
        <f t="shared" si="18"/>
        <v>26.875</v>
      </c>
      <c r="AE56" s="72">
        <f t="shared" si="18"/>
        <v>26.875</v>
      </c>
      <c r="AF56" s="72">
        <f t="shared" si="18"/>
        <v>26.875</v>
      </c>
      <c r="AG56" s="72">
        <f t="shared" si="18"/>
        <v>26.875</v>
      </c>
      <c r="AH56" s="72">
        <f t="shared" si="18"/>
        <v>26.875</v>
      </c>
      <c r="AI56" s="72">
        <f t="shared" si="18"/>
        <v>26.875</v>
      </c>
      <c r="AJ56" s="72">
        <f t="shared" si="18"/>
        <v>26.875</v>
      </c>
      <c r="AK56" s="68"/>
      <c r="AL56" s="68"/>
      <c r="AM56" s="68"/>
      <c r="AN56" s="68"/>
      <c r="AO56" s="68"/>
      <c r="AP56" s="49" t="s">
        <v>58</v>
      </c>
      <c r="AQ56" s="48"/>
      <c r="AR56" s="48"/>
      <c r="AV56" s="80" t="s">
        <v>59</v>
      </c>
      <c r="AW56" s="72">
        <f t="shared" ref="AW56:BF56" si="19">AW54*$AZ$35</f>
        <v>26.875</v>
      </c>
      <c r="AX56" s="72">
        <f t="shared" si="19"/>
        <v>26.875</v>
      </c>
      <c r="AY56" s="72">
        <f t="shared" si="19"/>
        <v>26.875</v>
      </c>
      <c r="AZ56" s="72">
        <f t="shared" si="19"/>
        <v>26.875</v>
      </c>
      <c r="BA56" s="72">
        <f t="shared" si="19"/>
        <v>26.875</v>
      </c>
      <c r="BB56" s="72">
        <f t="shared" si="19"/>
        <v>26.875</v>
      </c>
      <c r="BC56" s="72">
        <f t="shared" si="19"/>
        <v>26.875</v>
      </c>
      <c r="BD56" s="72">
        <f t="shared" si="19"/>
        <v>26.875</v>
      </c>
      <c r="BE56" s="72">
        <f t="shared" si="19"/>
        <v>26.875</v>
      </c>
      <c r="BF56" s="72">
        <f t="shared" si="19"/>
        <v>26.875</v>
      </c>
      <c r="BG56" s="68"/>
      <c r="BH56" s="68"/>
      <c r="BL56" s="49" t="s">
        <v>58</v>
      </c>
      <c r="BM56" s="48"/>
      <c r="BN56" s="48"/>
      <c r="BR56" s="80" t="s">
        <v>59</v>
      </c>
      <c r="BS56" s="72">
        <f t="shared" ref="BS56:CB56" si="20">BS54*$BV$35</f>
        <v>26.875</v>
      </c>
      <c r="BT56" s="72">
        <f t="shared" si="20"/>
        <v>26.875</v>
      </c>
      <c r="BU56" s="72">
        <f t="shared" si="20"/>
        <v>26.875</v>
      </c>
      <c r="BV56" s="72">
        <f t="shared" si="20"/>
        <v>26.875</v>
      </c>
      <c r="BW56" s="72">
        <f t="shared" si="20"/>
        <v>26.875</v>
      </c>
      <c r="BX56" s="72">
        <f t="shared" si="20"/>
        <v>26.875</v>
      </c>
      <c r="BY56" s="72">
        <f t="shared" si="20"/>
        <v>26.875</v>
      </c>
      <c r="BZ56" s="72">
        <f t="shared" si="20"/>
        <v>26.875</v>
      </c>
      <c r="CA56" s="72">
        <f t="shared" si="20"/>
        <v>26.875</v>
      </c>
      <c r="CB56" s="72">
        <f t="shared" si="20"/>
        <v>26.875</v>
      </c>
    </row>
    <row r="57" spans="1:80" ht="15.4" x14ac:dyDescent="0.45">
      <c r="A57" s="97"/>
      <c r="B57" s="97"/>
      <c r="C57" s="97"/>
      <c r="D57" s="97"/>
      <c r="E57" s="121"/>
      <c r="F57" s="97"/>
      <c r="G57" s="97"/>
      <c r="H57" s="97"/>
      <c r="I57" s="117"/>
      <c r="J57" s="97"/>
      <c r="K57" s="117"/>
      <c r="L57" s="97"/>
      <c r="M57" s="97"/>
      <c r="N57" s="97"/>
      <c r="O57" s="128"/>
      <c r="P57" s="126"/>
      <c r="Q57" s="97"/>
      <c r="R57" s="97"/>
      <c r="S57" s="97"/>
      <c r="T57" s="50"/>
      <c r="U57" s="48"/>
      <c r="V57" s="48"/>
      <c r="Z57" s="80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68"/>
      <c r="AL57" s="68"/>
      <c r="AM57" s="68"/>
      <c r="AN57" s="68"/>
      <c r="AO57" s="68"/>
      <c r="AP57" s="50"/>
      <c r="AQ57" s="48"/>
      <c r="AR57" s="48"/>
      <c r="AV57" s="80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68"/>
      <c r="BH57" s="68"/>
      <c r="BL57" s="50"/>
      <c r="BM57" s="48"/>
      <c r="BN57" s="48"/>
      <c r="BR57" s="80"/>
      <c r="BS57" s="72"/>
      <c r="BT57" s="72"/>
      <c r="BU57" s="72"/>
      <c r="BV57" s="72"/>
      <c r="BW57" s="72"/>
      <c r="BX57" s="72"/>
      <c r="BY57" s="72"/>
      <c r="BZ57" s="72"/>
      <c r="CA57" s="72"/>
      <c r="CB57" s="72"/>
    </row>
    <row r="58" spans="1:80" ht="15.4" x14ac:dyDescent="0.45">
      <c r="A58" s="97"/>
      <c r="B58" s="97"/>
      <c r="C58" s="97"/>
      <c r="D58" s="97"/>
      <c r="E58" s="121"/>
      <c r="F58" s="97"/>
      <c r="G58" s="97"/>
      <c r="H58" s="97"/>
      <c r="I58" s="117"/>
      <c r="J58" s="97"/>
      <c r="K58" s="117"/>
      <c r="L58" s="97"/>
      <c r="M58" s="120" t="s">
        <v>31</v>
      </c>
      <c r="N58" s="122">
        <v>0.25</v>
      </c>
      <c r="O58" s="128">
        <f>1-EXP(-P58*$E$2)</f>
        <v>0.31388021983345327</v>
      </c>
      <c r="P58" s="126">
        <f>BI35</f>
        <v>11.301091795243389</v>
      </c>
      <c r="Q58" s="97"/>
      <c r="R58" s="97"/>
      <c r="S58" s="97"/>
      <c r="T58" s="49" t="s">
        <v>60</v>
      </c>
      <c r="U58" s="48"/>
      <c r="V58" s="48"/>
      <c r="Z58" s="80" t="s">
        <v>59</v>
      </c>
      <c r="AA58" s="72">
        <f t="shared" ref="AA58:AJ58" si="21">IF(Ss=4,0,AA54*$AD$36)</f>
        <v>24.375</v>
      </c>
      <c r="AB58" s="72">
        <f t="shared" si="21"/>
        <v>24.375</v>
      </c>
      <c r="AC58" s="72">
        <f t="shared" si="21"/>
        <v>24.375</v>
      </c>
      <c r="AD58" s="72">
        <f t="shared" si="21"/>
        <v>24.375</v>
      </c>
      <c r="AE58" s="72">
        <f t="shared" si="21"/>
        <v>24.375</v>
      </c>
      <c r="AF58" s="72">
        <f t="shared" si="21"/>
        <v>24.375</v>
      </c>
      <c r="AG58" s="72">
        <f t="shared" si="21"/>
        <v>24.375</v>
      </c>
      <c r="AH58" s="72">
        <f t="shared" si="21"/>
        <v>24.375</v>
      </c>
      <c r="AI58" s="72">
        <f t="shared" si="21"/>
        <v>24.375</v>
      </c>
      <c r="AJ58" s="72">
        <f t="shared" si="21"/>
        <v>24.375</v>
      </c>
      <c r="AK58" s="68"/>
      <c r="AL58" s="68"/>
      <c r="AM58" s="68"/>
      <c r="AN58" s="68"/>
      <c r="AO58" s="68"/>
      <c r="AP58" s="49" t="s">
        <v>60</v>
      </c>
      <c r="AQ58" s="48"/>
      <c r="AR58" s="48"/>
      <c r="AV58" s="80" t="s">
        <v>59</v>
      </c>
      <c r="AW58" s="72">
        <f t="shared" ref="AW58:BF58" si="22">IF(strategy=4,0,AW54*$AZ$36)</f>
        <v>23.75</v>
      </c>
      <c r="AX58" s="72">
        <f t="shared" si="22"/>
        <v>23.75</v>
      </c>
      <c r="AY58" s="72">
        <f t="shared" si="22"/>
        <v>23.75</v>
      </c>
      <c r="AZ58" s="72">
        <f t="shared" si="22"/>
        <v>23.75</v>
      </c>
      <c r="BA58" s="72">
        <f t="shared" si="22"/>
        <v>23.75</v>
      </c>
      <c r="BB58" s="72">
        <f t="shared" si="22"/>
        <v>23.75</v>
      </c>
      <c r="BC58" s="72">
        <f t="shared" si="22"/>
        <v>23.75</v>
      </c>
      <c r="BD58" s="72">
        <f t="shared" si="22"/>
        <v>23.75</v>
      </c>
      <c r="BE58" s="72">
        <f t="shared" si="22"/>
        <v>23.75</v>
      </c>
      <c r="BF58" s="72">
        <f t="shared" si="22"/>
        <v>23.75</v>
      </c>
      <c r="BG58" s="68"/>
      <c r="BH58" s="68"/>
      <c r="BL58" s="49" t="s">
        <v>60</v>
      </c>
      <c r="BM58" s="48"/>
      <c r="BN58" s="48"/>
      <c r="BR58" s="80" t="s">
        <v>59</v>
      </c>
      <c r="BS58" s="72">
        <f t="shared" ref="BS58:CB58" si="23">IF(S=4,0,BS54*$BV$36)</f>
        <v>23.125</v>
      </c>
      <c r="BT58" s="72">
        <f t="shared" si="23"/>
        <v>23.125</v>
      </c>
      <c r="BU58" s="72">
        <f t="shared" si="23"/>
        <v>23.125</v>
      </c>
      <c r="BV58" s="72">
        <f t="shared" si="23"/>
        <v>23.125</v>
      </c>
      <c r="BW58" s="72">
        <f t="shared" si="23"/>
        <v>23.125</v>
      </c>
      <c r="BX58" s="72">
        <f t="shared" si="23"/>
        <v>23.125</v>
      </c>
      <c r="BY58" s="72">
        <f t="shared" si="23"/>
        <v>23.125</v>
      </c>
      <c r="BZ58" s="72">
        <f t="shared" si="23"/>
        <v>23.125</v>
      </c>
      <c r="CA58" s="72">
        <f t="shared" si="23"/>
        <v>23.125</v>
      </c>
      <c r="CB58" s="72">
        <f t="shared" si="23"/>
        <v>23.125</v>
      </c>
    </row>
    <row r="59" spans="1:80" ht="15.4" x14ac:dyDescent="0.45">
      <c r="A59" s="97"/>
      <c r="B59" s="97"/>
      <c r="C59" s="97"/>
      <c r="D59" s="97"/>
      <c r="E59" s="121"/>
      <c r="F59" s="97"/>
      <c r="G59" s="97"/>
      <c r="H59" s="97"/>
      <c r="I59" s="117"/>
      <c r="J59" s="97"/>
      <c r="K59" s="117"/>
      <c r="L59" s="97"/>
      <c r="M59" s="117"/>
      <c r="N59" s="97"/>
      <c r="O59" s="128"/>
      <c r="P59" s="126"/>
      <c r="Q59" s="97"/>
      <c r="R59" s="97"/>
      <c r="S59" s="97"/>
      <c r="T59" s="50"/>
      <c r="U59" s="48"/>
      <c r="V59" s="48"/>
      <c r="Z59" s="80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68"/>
      <c r="AL59" s="68"/>
      <c r="AM59" s="68"/>
      <c r="AN59" s="68"/>
      <c r="AO59" s="68"/>
      <c r="AP59" s="50"/>
      <c r="AQ59" s="48"/>
      <c r="AR59" s="48"/>
      <c r="AV59" s="80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68"/>
      <c r="BH59" s="68"/>
      <c r="BL59" s="50"/>
      <c r="BM59" s="48"/>
      <c r="BN59" s="48"/>
      <c r="BR59" s="80"/>
      <c r="BS59" s="72"/>
      <c r="BT59" s="72"/>
      <c r="BU59" s="72"/>
      <c r="BV59" s="72"/>
      <c r="BW59" s="72"/>
      <c r="BX59" s="72"/>
      <c r="BY59" s="72"/>
      <c r="BZ59" s="72"/>
      <c r="CA59" s="72"/>
      <c r="CB59" s="72"/>
    </row>
    <row r="60" spans="1:80" ht="15" x14ac:dyDescent="0.4">
      <c r="A60" s="97"/>
      <c r="B60" s="97"/>
      <c r="C60" s="97"/>
      <c r="D60" s="97"/>
      <c r="E60" s="121"/>
      <c r="F60" s="97"/>
      <c r="G60" s="97"/>
      <c r="H60" s="97"/>
      <c r="I60" s="117"/>
      <c r="J60" s="97"/>
      <c r="K60" s="123"/>
      <c r="L60" s="97"/>
      <c r="M60" s="117"/>
      <c r="N60" s="97"/>
      <c r="O60" s="128"/>
      <c r="P60" s="126"/>
      <c r="Q60" s="97"/>
      <c r="R60" s="97"/>
      <c r="S60" s="97"/>
      <c r="T60" s="51" t="s">
        <v>61</v>
      </c>
      <c r="U60" s="48"/>
      <c r="V60" s="48"/>
      <c r="Z60" s="80" t="s">
        <v>59</v>
      </c>
      <c r="AA60" s="72">
        <f>IF(Ss=2,$AD$37,0)</f>
        <v>0</v>
      </c>
      <c r="AB60" s="72">
        <v>0</v>
      </c>
      <c r="AC60" s="72">
        <v>0</v>
      </c>
      <c r="AD60" s="72">
        <v>0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>
        <v>0</v>
      </c>
      <c r="AK60" s="68"/>
      <c r="AL60" s="68"/>
      <c r="AM60" s="68"/>
      <c r="AN60" s="68"/>
      <c r="AO60" s="68"/>
      <c r="AP60" s="51" t="s">
        <v>61</v>
      </c>
      <c r="AQ60" s="48"/>
      <c r="AR60" s="48"/>
      <c r="AV60" s="80" t="s">
        <v>59</v>
      </c>
      <c r="AW60" s="72">
        <f>IF(strategy=2,$AZ$37,0)</f>
        <v>0</v>
      </c>
      <c r="AX60" s="72">
        <v>0</v>
      </c>
      <c r="AY60" s="72">
        <v>0</v>
      </c>
      <c r="AZ60" s="72">
        <v>0</v>
      </c>
      <c r="BA60" s="72">
        <v>0</v>
      </c>
      <c r="BB60" s="72">
        <v>0</v>
      </c>
      <c r="BC60" s="72">
        <v>0</v>
      </c>
      <c r="BD60" s="72">
        <v>0</v>
      </c>
      <c r="BE60" s="72">
        <v>0</v>
      </c>
      <c r="BF60" s="72">
        <v>0</v>
      </c>
      <c r="BG60" s="68"/>
      <c r="BH60" s="68"/>
      <c r="BL60" s="51" t="s">
        <v>61</v>
      </c>
      <c r="BM60" s="48"/>
      <c r="BN60" s="48"/>
      <c r="BR60" s="80" t="s">
        <v>59</v>
      </c>
      <c r="BS60" s="72">
        <f>IF(S=2,$BV$37,0)</f>
        <v>0</v>
      </c>
      <c r="BT60" s="72">
        <v>0</v>
      </c>
      <c r="BU60" s="72">
        <v>0</v>
      </c>
      <c r="BV60" s="72">
        <v>0</v>
      </c>
      <c r="BW60" s="72">
        <v>0</v>
      </c>
      <c r="BX60" s="72">
        <v>0</v>
      </c>
      <c r="BY60" s="72">
        <v>0</v>
      </c>
      <c r="BZ60" s="72">
        <v>0</v>
      </c>
      <c r="CA60" s="72">
        <v>0</v>
      </c>
      <c r="CB60" s="72">
        <v>0</v>
      </c>
    </row>
    <row r="61" spans="1:80" ht="15" x14ac:dyDescent="0.4">
      <c r="A61" s="97"/>
      <c r="B61" s="97"/>
      <c r="C61" s="97"/>
      <c r="D61" s="97"/>
      <c r="E61" s="121"/>
      <c r="F61" s="97"/>
      <c r="G61" s="97"/>
      <c r="H61" s="97"/>
      <c r="I61" s="117"/>
      <c r="J61" s="97"/>
      <c r="K61" s="122" t="s">
        <v>29</v>
      </c>
      <c r="L61" s="122">
        <v>0.25</v>
      </c>
      <c r="M61" s="120" t="s">
        <v>30</v>
      </c>
      <c r="N61" s="122">
        <v>0.5</v>
      </c>
      <c r="O61" s="128">
        <f>1-EXP(-P61*$E$2)</f>
        <v>0.20977646069456468</v>
      </c>
      <c r="P61" s="126">
        <f>BI34</f>
        <v>7.0631823720271187</v>
      </c>
      <c r="Q61" s="97"/>
      <c r="R61" s="97"/>
      <c r="S61" s="97"/>
      <c r="T61" s="48"/>
      <c r="U61" s="48"/>
      <c r="V61" s="48"/>
      <c r="Z61" s="80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68"/>
      <c r="AL61" s="68"/>
      <c r="AM61" s="68"/>
      <c r="AN61" s="68"/>
      <c r="AO61" s="68"/>
      <c r="AP61" s="48"/>
      <c r="AQ61" s="48"/>
      <c r="AR61" s="48"/>
      <c r="AV61" s="80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68"/>
      <c r="BH61" s="68"/>
      <c r="BL61" s="48"/>
      <c r="BM61" s="48"/>
      <c r="BN61" s="48"/>
      <c r="BR61" s="80"/>
      <c r="BS61" s="72"/>
      <c r="BT61" s="72"/>
      <c r="BU61" s="72"/>
      <c r="BV61" s="72"/>
      <c r="BW61" s="72"/>
      <c r="BX61" s="72"/>
      <c r="BY61" s="72"/>
      <c r="BZ61" s="72"/>
      <c r="CA61" s="72"/>
      <c r="CB61" s="72"/>
    </row>
    <row r="62" spans="1:80" ht="15" x14ac:dyDescent="0.4">
      <c r="A62" s="97"/>
      <c r="B62" s="97"/>
      <c r="C62" s="97"/>
      <c r="D62" s="97"/>
      <c r="E62" s="121"/>
      <c r="F62" s="97"/>
      <c r="G62" s="97"/>
      <c r="H62" s="97"/>
      <c r="I62" s="117"/>
      <c r="J62" s="97"/>
      <c r="K62" s="97">
        <f>O58*N58+O61*N61+O64*N64</f>
        <v>0.19485739687869069</v>
      </c>
      <c r="L62" s="97"/>
      <c r="M62" s="117"/>
      <c r="N62" s="97"/>
      <c r="O62" s="128"/>
      <c r="P62" s="126"/>
      <c r="Q62" s="97"/>
      <c r="R62" s="97"/>
      <c r="S62" s="97"/>
      <c r="T62" s="51" t="s">
        <v>62</v>
      </c>
      <c r="U62" s="48"/>
      <c r="V62" s="48"/>
      <c r="Z62" s="80" t="s">
        <v>59</v>
      </c>
      <c r="AA62" s="72">
        <f t="shared" ref="AA62:AJ62" si="24">IF(Ss=3,$AB$20*(AA56-AA58),0)</f>
        <v>0</v>
      </c>
      <c r="AB62" s="72">
        <f t="shared" si="24"/>
        <v>0</v>
      </c>
      <c r="AC62" s="72">
        <f t="shared" si="24"/>
        <v>0</v>
      </c>
      <c r="AD62" s="72">
        <f t="shared" si="24"/>
        <v>0</v>
      </c>
      <c r="AE62" s="72">
        <f t="shared" si="24"/>
        <v>0</v>
      </c>
      <c r="AF62" s="72">
        <f t="shared" si="24"/>
        <v>0</v>
      </c>
      <c r="AG62" s="72">
        <f t="shared" si="24"/>
        <v>0</v>
      </c>
      <c r="AH62" s="72">
        <f t="shared" si="24"/>
        <v>0</v>
      </c>
      <c r="AI62" s="72">
        <f t="shared" si="24"/>
        <v>0</v>
      </c>
      <c r="AJ62" s="72">
        <f t="shared" si="24"/>
        <v>0</v>
      </c>
      <c r="AK62" s="68"/>
      <c r="AL62" s="68"/>
      <c r="AM62" s="68"/>
      <c r="AN62" s="68"/>
      <c r="AO62" s="68"/>
      <c r="AP62" s="51" t="s">
        <v>62</v>
      </c>
      <c r="AQ62" s="48"/>
      <c r="AR62" s="48"/>
      <c r="AV62" s="80" t="s">
        <v>59</v>
      </c>
      <c r="AW62" s="72">
        <f t="shared" ref="AW62:BF62" si="25">IF(strategy=3,$AX$20*(AW56-AW58),0)</f>
        <v>0</v>
      </c>
      <c r="AX62" s="72">
        <f t="shared" si="25"/>
        <v>0</v>
      </c>
      <c r="AY62" s="72">
        <f t="shared" si="25"/>
        <v>0</v>
      </c>
      <c r="AZ62" s="72">
        <f t="shared" si="25"/>
        <v>0</v>
      </c>
      <c r="BA62" s="72">
        <f t="shared" si="25"/>
        <v>0</v>
      </c>
      <c r="BB62" s="72">
        <f t="shared" si="25"/>
        <v>0</v>
      </c>
      <c r="BC62" s="72">
        <f t="shared" si="25"/>
        <v>0</v>
      </c>
      <c r="BD62" s="72">
        <f t="shared" si="25"/>
        <v>0</v>
      </c>
      <c r="BE62" s="72">
        <f t="shared" si="25"/>
        <v>0</v>
      </c>
      <c r="BF62" s="72">
        <f t="shared" si="25"/>
        <v>0</v>
      </c>
      <c r="BG62" s="68"/>
      <c r="BH62" s="68"/>
      <c r="BL62" s="51" t="s">
        <v>62</v>
      </c>
      <c r="BM62" s="48"/>
      <c r="BN62" s="48"/>
      <c r="BR62" s="80" t="s">
        <v>59</v>
      </c>
      <c r="BS62" s="72">
        <f t="shared" ref="BS62:CB62" si="26">IF(S=3,$BT$20*(BS56-BS58),0)</f>
        <v>0</v>
      </c>
      <c r="BT62" s="72">
        <f t="shared" si="26"/>
        <v>0</v>
      </c>
      <c r="BU62" s="72">
        <f t="shared" si="26"/>
        <v>0</v>
      </c>
      <c r="BV62" s="72">
        <f t="shared" si="26"/>
        <v>0</v>
      </c>
      <c r="BW62" s="72">
        <f t="shared" si="26"/>
        <v>0</v>
      </c>
      <c r="BX62" s="72">
        <f t="shared" si="26"/>
        <v>0</v>
      </c>
      <c r="BY62" s="72">
        <f t="shared" si="26"/>
        <v>0</v>
      </c>
      <c r="BZ62" s="72">
        <f t="shared" si="26"/>
        <v>0</v>
      </c>
      <c r="CA62" s="72">
        <f t="shared" si="26"/>
        <v>0</v>
      </c>
      <c r="CB62" s="72">
        <f t="shared" si="26"/>
        <v>0</v>
      </c>
    </row>
    <row r="63" spans="1:80" ht="15" x14ac:dyDescent="0.4">
      <c r="A63" s="97"/>
      <c r="B63" s="97"/>
      <c r="C63" s="97"/>
      <c r="D63" s="97"/>
      <c r="E63" s="121"/>
      <c r="F63" s="97"/>
      <c r="G63" s="97"/>
      <c r="H63" s="97"/>
      <c r="I63" s="117"/>
      <c r="J63" s="97"/>
      <c r="K63" s="97"/>
      <c r="L63" s="97"/>
      <c r="M63" s="123"/>
      <c r="N63" s="97"/>
      <c r="O63" s="128"/>
      <c r="P63" s="126"/>
      <c r="Q63" s="97"/>
      <c r="R63" s="97"/>
      <c r="S63" s="97"/>
      <c r="T63" s="51" t="s">
        <v>63</v>
      </c>
      <c r="U63" s="48"/>
      <c r="V63" s="48"/>
      <c r="Z63" s="80" t="s">
        <v>59</v>
      </c>
      <c r="AA63" s="72">
        <f>$AB$21*(AA56)</f>
        <v>26.337499999999999</v>
      </c>
      <c r="AB63" s="72">
        <f t="shared" ref="AB63:AJ63" si="27">$AB$21*(AB56)</f>
        <v>26.337499999999999</v>
      </c>
      <c r="AC63" s="72">
        <f t="shared" si="27"/>
        <v>26.337499999999999</v>
      </c>
      <c r="AD63" s="72">
        <f t="shared" si="27"/>
        <v>26.337499999999999</v>
      </c>
      <c r="AE63" s="72">
        <f t="shared" si="27"/>
        <v>26.337499999999999</v>
      </c>
      <c r="AF63" s="72">
        <f t="shared" si="27"/>
        <v>26.337499999999999</v>
      </c>
      <c r="AG63" s="72">
        <f t="shared" si="27"/>
        <v>26.337499999999999</v>
      </c>
      <c r="AH63" s="72">
        <f t="shared" si="27"/>
        <v>26.337499999999999</v>
      </c>
      <c r="AI63" s="72">
        <f t="shared" si="27"/>
        <v>26.337499999999999</v>
      </c>
      <c r="AJ63" s="72">
        <f t="shared" si="27"/>
        <v>26.337499999999999</v>
      </c>
      <c r="AK63" s="68"/>
      <c r="AL63" s="68"/>
      <c r="AM63" s="68"/>
      <c r="AN63" s="68"/>
      <c r="AO63" s="68"/>
      <c r="AP63" s="51" t="s">
        <v>63</v>
      </c>
      <c r="AQ63" s="48"/>
      <c r="AR63" s="48"/>
      <c r="AV63" s="80" t="s">
        <v>59</v>
      </c>
      <c r="AW63" s="72">
        <f t="shared" ref="AW63:BF63" si="28">$AX$21*(AW56)</f>
        <v>26.337499999999999</v>
      </c>
      <c r="AX63" s="72">
        <f t="shared" si="28"/>
        <v>26.337499999999999</v>
      </c>
      <c r="AY63" s="72">
        <f t="shared" si="28"/>
        <v>26.337499999999999</v>
      </c>
      <c r="AZ63" s="72">
        <f t="shared" si="28"/>
        <v>26.337499999999999</v>
      </c>
      <c r="BA63" s="72">
        <f t="shared" si="28"/>
        <v>26.337499999999999</v>
      </c>
      <c r="BB63" s="72">
        <f t="shared" si="28"/>
        <v>26.337499999999999</v>
      </c>
      <c r="BC63" s="72">
        <f t="shared" si="28"/>
        <v>26.337499999999999</v>
      </c>
      <c r="BD63" s="72">
        <f t="shared" si="28"/>
        <v>26.337499999999999</v>
      </c>
      <c r="BE63" s="72">
        <f t="shared" si="28"/>
        <v>26.337499999999999</v>
      </c>
      <c r="BF63" s="72">
        <f t="shared" si="28"/>
        <v>26.337499999999999</v>
      </c>
      <c r="BG63" s="68"/>
      <c r="BH63" s="68"/>
      <c r="BL63" s="51" t="s">
        <v>63</v>
      </c>
      <c r="BM63" s="48"/>
      <c r="BN63" s="48"/>
      <c r="BR63" s="80" t="s">
        <v>59</v>
      </c>
      <c r="BS63" s="72">
        <f t="shared" ref="BS63:CB63" si="29">$BT$21*(BS56)</f>
        <v>26.337499999999999</v>
      </c>
      <c r="BT63" s="72">
        <f t="shared" si="29"/>
        <v>26.337499999999999</v>
      </c>
      <c r="BU63" s="72">
        <f t="shared" si="29"/>
        <v>26.337499999999999</v>
      </c>
      <c r="BV63" s="72">
        <f t="shared" si="29"/>
        <v>26.337499999999999</v>
      </c>
      <c r="BW63" s="72">
        <f t="shared" si="29"/>
        <v>26.337499999999999</v>
      </c>
      <c r="BX63" s="72">
        <f t="shared" si="29"/>
        <v>26.337499999999999</v>
      </c>
      <c r="BY63" s="72">
        <f t="shared" si="29"/>
        <v>26.337499999999999</v>
      </c>
      <c r="BZ63" s="72">
        <f t="shared" si="29"/>
        <v>26.337499999999999</v>
      </c>
      <c r="CA63" s="72">
        <f t="shared" si="29"/>
        <v>26.337499999999999</v>
      </c>
      <c r="CB63" s="72">
        <f t="shared" si="29"/>
        <v>26.337499999999999</v>
      </c>
    </row>
    <row r="64" spans="1:80" ht="15" x14ac:dyDescent="0.4">
      <c r="A64" s="97"/>
      <c r="B64" s="97"/>
      <c r="C64" s="97"/>
      <c r="D64" s="97"/>
      <c r="E64" s="121"/>
      <c r="F64" s="97"/>
      <c r="G64" s="97"/>
      <c r="H64" s="97"/>
      <c r="I64" s="117"/>
      <c r="J64" s="97"/>
      <c r="K64" s="97"/>
      <c r="L64" s="97"/>
      <c r="M64" s="122" t="s">
        <v>29</v>
      </c>
      <c r="N64" s="122">
        <v>0.25</v>
      </c>
      <c r="O64" s="128">
        <f>1-EXP(-P64*$E$2)</f>
        <v>4.5996446292180138E-2</v>
      </c>
      <c r="P64" s="126">
        <f>BI33</f>
        <v>1.4126364744054221</v>
      </c>
      <c r="Q64" s="97"/>
      <c r="R64" s="97"/>
      <c r="S64" s="97"/>
      <c r="T64" s="48"/>
      <c r="U64" s="48"/>
      <c r="V64" s="48"/>
      <c r="Z64" s="80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68"/>
      <c r="AL64" s="68"/>
      <c r="AM64" s="68"/>
      <c r="AN64" s="68"/>
      <c r="AO64" s="68"/>
      <c r="AP64" s="48"/>
      <c r="AQ64" s="48"/>
      <c r="AR64" s="48"/>
      <c r="AV64" s="80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68"/>
      <c r="BH64" s="68"/>
      <c r="BL64" s="48"/>
      <c r="BM64" s="48"/>
      <c r="BN64" s="48"/>
      <c r="BR64" s="80"/>
      <c r="BS64" s="72"/>
      <c r="BT64" s="72"/>
      <c r="BU64" s="72"/>
      <c r="BV64" s="72"/>
      <c r="BW64" s="72"/>
      <c r="BX64" s="72"/>
      <c r="BY64" s="72"/>
      <c r="BZ64" s="72"/>
      <c r="CA64" s="72"/>
      <c r="CB64" s="72"/>
    </row>
    <row r="65" spans="1:80" ht="15" x14ac:dyDescent="0.4">
      <c r="A65" s="97"/>
      <c r="B65" s="97"/>
      <c r="C65" s="97"/>
      <c r="D65" s="97"/>
      <c r="E65" s="121"/>
      <c r="F65" s="97"/>
      <c r="G65" s="97"/>
      <c r="H65" s="97"/>
      <c r="I65" s="117"/>
      <c r="J65" s="97"/>
      <c r="K65" s="97"/>
      <c r="L65" s="97"/>
      <c r="M65" s="97"/>
      <c r="N65" s="97"/>
      <c r="O65" s="128"/>
      <c r="P65" s="126"/>
      <c r="Q65" s="97"/>
      <c r="R65" s="97"/>
      <c r="S65" s="97"/>
      <c r="T65" s="51" t="s">
        <v>64</v>
      </c>
      <c r="U65" s="48"/>
      <c r="V65" s="48"/>
      <c r="Z65" s="80" t="s">
        <v>59</v>
      </c>
      <c r="AA65" s="72">
        <f t="shared" ref="AA65:AJ65" si="30">IF(Ss=1,AA56-AA58,IF(Ss=2,AA56-AA58-AA60,IF(Ss=3,AA56-AA58-AA62,IF(Ss=4,AA56-AA58-AA63,"error"))))</f>
        <v>2.5</v>
      </c>
      <c r="AB65" s="72">
        <f t="shared" si="30"/>
        <v>2.5</v>
      </c>
      <c r="AC65" s="72">
        <f t="shared" si="30"/>
        <v>2.5</v>
      </c>
      <c r="AD65" s="72">
        <f t="shared" si="30"/>
        <v>2.5</v>
      </c>
      <c r="AE65" s="72">
        <f t="shared" si="30"/>
        <v>2.5</v>
      </c>
      <c r="AF65" s="72">
        <f t="shared" si="30"/>
        <v>2.5</v>
      </c>
      <c r="AG65" s="72">
        <f t="shared" si="30"/>
        <v>2.5</v>
      </c>
      <c r="AH65" s="72">
        <f t="shared" si="30"/>
        <v>2.5</v>
      </c>
      <c r="AI65" s="72">
        <f t="shared" si="30"/>
        <v>2.5</v>
      </c>
      <c r="AJ65" s="72">
        <f t="shared" si="30"/>
        <v>2.5</v>
      </c>
      <c r="AK65" s="68"/>
      <c r="AL65" s="68"/>
      <c r="AM65" s="68"/>
      <c r="AN65" s="68"/>
      <c r="AO65" s="68"/>
      <c r="AP65" s="51" t="s">
        <v>64</v>
      </c>
      <c r="AQ65" s="48"/>
      <c r="AR65" s="48"/>
      <c r="AV65" s="80" t="s">
        <v>59</v>
      </c>
      <c r="AW65" s="72">
        <f t="shared" ref="AW65:BF65" si="31">IF(strategy=1,AW56-AW58,IF(strategy=2,AW56-AW58-AW60,IF(strategy=3,AW56-AW58-AW62,IF(strategy=4,AW56-AW58-AW63,"error"))))</f>
        <v>3.125</v>
      </c>
      <c r="AX65" s="72">
        <f t="shared" si="31"/>
        <v>3.125</v>
      </c>
      <c r="AY65" s="72">
        <f t="shared" si="31"/>
        <v>3.125</v>
      </c>
      <c r="AZ65" s="72">
        <f t="shared" si="31"/>
        <v>3.125</v>
      </c>
      <c r="BA65" s="72">
        <f t="shared" si="31"/>
        <v>3.125</v>
      </c>
      <c r="BB65" s="72">
        <f t="shared" si="31"/>
        <v>3.125</v>
      </c>
      <c r="BC65" s="72">
        <f t="shared" si="31"/>
        <v>3.125</v>
      </c>
      <c r="BD65" s="72">
        <f t="shared" si="31"/>
        <v>3.125</v>
      </c>
      <c r="BE65" s="72">
        <f t="shared" si="31"/>
        <v>3.125</v>
      </c>
      <c r="BF65" s="72">
        <f t="shared" si="31"/>
        <v>3.125</v>
      </c>
      <c r="BG65" s="68"/>
      <c r="BH65" s="68"/>
      <c r="BL65" s="51" t="s">
        <v>64</v>
      </c>
      <c r="BM65" s="48"/>
      <c r="BN65" s="48"/>
      <c r="BR65" s="80" t="s">
        <v>59</v>
      </c>
      <c r="BS65" s="72">
        <f t="shared" ref="BS65:CB65" si="32">IF(S=1,BS56-BS58,IF(S=2,BS56-BS58-BS60,IF(S=3,BS56-BS58-BS62,IF(S=4,BS56-BS58-BS63,"error"))))</f>
        <v>3.75</v>
      </c>
      <c r="BT65" s="72">
        <f t="shared" si="32"/>
        <v>3.75</v>
      </c>
      <c r="BU65" s="72">
        <f t="shared" si="32"/>
        <v>3.75</v>
      </c>
      <c r="BV65" s="72">
        <f t="shared" si="32"/>
        <v>3.75</v>
      </c>
      <c r="BW65" s="72">
        <f t="shared" si="32"/>
        <v>3.75</v>
      </c>
      <c r="BX65" s="72">
        <f t="shared" si="32"/>
        <v>3.75</v>
      </c>
      <c r="BY65" s="72">
        <f t="shared" si="32"/>
        <v>3.75</v>
      </c>
      <c r="BZ65" s="72">
        <f t="shared" si="32"/>
        <v>3.75</v>
      </c>
      <c r="CA65" s="72">
        <f t="shared" si="32"/>
        <v>3.75</v>
      </c>
      <c r="CB65" s="72">
        <f t="shared" si="32"/>
        <v>3.75</v>
      </c>
    </row>
    <row r="66" spans="1:80" ht="15" x14ac:dyDescent="0.4">
      <c r="A66" s="97"/>
      <c r="B66" s="97"/>
      <c r="C66" s="97"/>
      <c r="D66" s="97"/>
      <c r="E66" s="121"/>
      <c r="F66" s="97"/>
      <c r="G66" s="97"/>
      <c r="H66" s="97"/>
      <c r="I66" s="117"/>
      <c r="J66" s="97"/>
      <c r="K66" s="97"/>
      <c r="L66" s="97"/>
      <c r="M66" s="97"/>
      <c r="N66" s="97"/>
      <c r="O66" s="128"/>
      <c r="P66" s="126"/>
      <c r="Q66" s="97"/>
      <c r="R66" s="97"/>
      <c r="S66" s="97"/>
      <c r="T66" s="48"/>
      <c r="U66" s="48"/>
      <c r="V66" s="48"/>
      <c r="Z66" s="80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68"/>
      <c r="AL66" s="68"/>
      <c r="AM66" s="68"/>
      <c r="AN66" s="68"/>
      <c r="AO66" s="68"/>
      <c r="AP66" s="48"/>
      <c r="AQ66" s="48"/>
      <c r="AR66" s="48"/>
      <c r="AV66" s="80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68"/>
      <c r="BH66" s="68"/>
      <c r="BL66" s="48"/>
      <c r="BM66" s="48"/>
      <c r="BN66" s="48"/>
      <c r="BR66" s="80"/>
      <c r="BS66" s="72"/>
      <c r="BT66" s="72"/>
      <c r="BU66" s="72"/>
      <c r="BV66" s="72"/>
      <c r="BW66" s="72"/>
      <c r="BX66" s="72"/>
      <c r="BY66" s="72"/>
      <c r="BZ66" s="72"/>
      <c r="CA66" s="72"/>
      <c r="CB66" s="72"/>
    </row>
    <row r="67" spans="1:80" ht="15" x14ac:dyDescent="0.4">
      <c r="A67" s="97"/>
      <c r="B67" s="97"/>
      <c r="C67" s="97"/>
      <c r="D67" s="97"/>
      <c r="E67" s="121"/>
      <c r="F67" s="97"/>
      <c r="G67" s="97"/>
      <c r="H67" s="97"/>
      <c r="I67" s="117"/>
      <c r="J67" s="97"/>
      <c r="K67" s="97"/>
      <c r="L67" s="97"/>
      <c r="M67" s="155" t="s">
        <v>42</v>
      </c>
      <c r="N67" s="155"/>
      <c r="O67" s="128"/>
      <c r="P67" s="126"/>
      <c r="Q67" s="97"/>
      <c r="R67" s="97"/>
      <c r="S67" s="97"/>
      <c r="T67" s="51" t="s">
        <v>65</v>
      </c>
      <c r="U67" s="48"/>
      <c r="V67" s="48"/>
      <c r="Z67" s="80" t="s">
        <v>59</v>
      </c>
      <c r="AA67" s="72">
        <f t="shared" ref="AA67:AJ67" si="33">TR_*AA65</f>
        <v>0.95</v>
      </c>
      <c r="AB67" s="72">
        <f t="shared" si="33"/>
        <v>0.95</v>
      </c>
      <c r="AC67" s="72">
        <f t="shared" si="33"/>
        <v>0.95</v>
      </c>
      <c r="AD67" s="72">
        <f t="shared" si="33"/>
        <v>0.95</v>
      </c>
      <c r="AE67" s="72">
        <f t="shared" si="33"/>
        <v>0.95</v>
      </c>
      <c r="AF67" s="72">
        <f t="shared" si="33"/>
        <v>0.95</v>
      </c>
      <c r="AG67" s="72">
        <f t="shared" si="33"/>
        <v>0.95</v>
      </c>
      <c r="AH67" s="72">
        <f t="shared" si="33"/>
        <v>0.95</v>
      </c>
      <c r="AI67" s="72">
        <f t="shared" si="33"/>
        <v>0.95</v>
      </c>
      <c r="AJ67" s="72">
        <f t="shared" si="33"/>
        <v>0.95</v>
      </c>
      <c r="AK67" s="68"/>
      <c r="AL67" s="68"/>
      <c r="AM67" s="68"/>
      <c r="AN67" s="68"/>
      <c r="AO67" s="68"/>
      <c r="AP67" s="51" t="s">
        <v>65</v>
      </c>
      <c r="AQ67" s="48"/>
      <c r="AR67" s="48"/>
      <c r="AV67" s="80" t="s">
        <v>59</v>
      </c>
      <c r="AW67" s="72">
        <f t="shared" ref="AW67:BF67" si="34">tax_rate*AW65</f>
        <v>1.1875</v>
      </c>
      <c r="AX67" s="72">
        <f t="shared" si="34"/>
        <v>1.1875</v>
      </c>
      <c r="AY67" s="72">
        <f t="shared" si="34"/>
        <v>1.1875</v>
      </c>
      <c r="AZ67" s="72">
        <f t="shared" si="34"/>
        <v>1.1875</v>
      </c>
      <c r="BA67" s="72">
        <f t="shared" si="34"/>
        <v>1.1875</v>
      </c>
      <c r="BB67" s="72">
        <f t="shared" si="34"/>
        <v>1.1875</v>
      </c>
      <c r="BC67" s="72">
        <f t="shared" si="34"/>
        <v>1.1875</v>
      </c>
      <c r="BD67" s="72">
        <f t="shared" si="34"/>
        <v>1.1875</v>
      </c>
      <c r="BE67" s="72">
        <f t="shared" si="34"/>
        <v>1.1875</v>
      </c>
      <c r="BF67" s="72">
        <f t="shared" si="34"/>
        <v>1.1875</v>
      </c>
      <c r="BG67" s="68"/>
      <c r="BH67" s="68"/>
      <c r="BL67" s="51" t="s">
        <v>65</v>
      </c>
      <c r="BM67" s="48"/>
      <c r="BN67" s="48"/>
      <c r="BR67" s="80" t="s">
        <v>59</v>
      </c>
      <c r="BS67" s="72">
        <f t="shared" ref="BS67:CB67" si="35">TR*BS65</f>
        <v>1.425</v>
      </c>
      <c r="BT67" s="72">
        <f t="shared" si="35"/>
        <v>1.425</v>
      </c>
      <c r="BU67" s="72">
        <f t="shared" si="35"/>
        <v>1.425</v>
      </c>
      <c r="BV67" s="72">
        <f t="shared" si="35"/>
        <v>1.425</v>
      </c>
      <c r="BW67" s="72">
        <f t="shared" si="35"/>
        <v>1.425</v>
      </c>
      <c r="BX67" s="72">
        <f t="shared" si="35"/>
        <v>1.425</v>
      </c>
      <c r="BY67" s="72">
        <f t="shared" si="35"/>
        <v>1.425</v>
      </c>
      <c r="BZ67" s="72">
        <f t="shared" si="35"/>
        <v>1.425</v>
      </c>
      <c r="CA67" s="72">
        <f t="shared" si="35"/>
        <v>1.425</v>
      </c>
      <c r="CB67" s="72">
        <f t="shared" si="35"/>
        <v>1.425</v>
      </c>
    </row>
    <row r="68" spans="1:80" ht="15" x14ac:dyDescent="0.4">
      <c r="A68" s="97"/>
      <c r="B68" s="97"/>
      <c r="C68" s="97"/>
      <c r="D68" s="97"/>
      <c r="E68" s="121"/>
      <c r="F68" s="97"/>
      <c r="G68" s="97"/>
      <c r="H68" s="97"/>
      <c r="I68" s="117"/>
      <c r="J68" s="97"/>
      <c r="K68" s="97"/>
      <c r="L68" s="97"/>
      <c r="M68" s="97"/>
      <c r="N68" s="97"/>
      <c r="O68" s="128"/>
      <c r="P68" s="126"/>
      <c r="Q68" s="97"/>
      <c r="R68" s="97"/>
      <c r="S68" s="97"/>
      <c r="T68" s="51" t="s">
        <v>66</v>
      </c>
      <c r="U68" s="48"/>
      <c r="V68" s="48"/>
      <c r="Z68" s="80" t="s">
        <v>59</v>
      </c>
      <c r="AA68" s="72">
        <f>IF(AA67&lt;0,ABS(AA67),0)</f>
        <v>0</v>
      </c>
      <c r="AB68" s="72">
        <f>IF((AB67-AA68)&lt;0,ABS(AA68-AB67),0)</f>
        <v>0</v>
      </c>
      <c r="AC68" s="72">
        <f t="shared" ref="AC68:AJ68" si="36">IF((AC67-AB68)&lt;0,ABS(AB68-AC67),0)</f>
        <v>0</v>
      </c>
      <c r="AD68" s="72">
        <f t="shared" si="36"/>
        <v>0</v>
      </c>
      <c r="AE68" s="72">
        <f t="shared" si="36"/>
        <v>0</v>
      </c>
      <c r="AF68" s="72">
        <f t="shared" si="36"/>
        <v>0</v>
      </c>
      <c r="AG68" s="72">
        <f t="shared" si="36"/>
        <v>0</v>
      </c>
      <c r="AH68" s="72">
        <f t="shared" si="36"/>
        <v>0</v>
      </c>
      <c r="AI68" s="72">
        <f t="shared" si="36"/>
        <v>0</v>
      </c>
      <c r="AJ68" s="72">
        <f t="shared" si="36"/>
        <v>0</v>
      </c>
      <c r="AK68" s="68"/>
      <c r="AL68" s="68"/>
      <c r="AM68" s="68"/>
      <c r="AN68" s="68"/>
      <c r="AO68" s="68"/>
      <c r="AP68" s="51" t="s">
        <v>66</v>
      </c>
      <c r="AQ68" s="48"/>
      <c r="AR68" s="48"/>
      <c r="AV68" s="80" t="s">
        <v>59</v>
      </c>
      <c r="AW68" s="72">
        <f>IF(AW67&lt;0,ABS(AW67),0)</f>
        <v>0</v>
      </c>
      <c r="AX68" s="72">
        <f>IF((AX67-AW68)&lt;0,ABS(AW68-AX67),0)</f>
        <v>0</v>
      </c>
      <c r="AY68" s="72">
        <f t="shared" ref="AY68:BF68" si="37">IF((AY67-AX68)&lt;0,ABS(AX68-AY67),0)</f>
        <v>0</v>
      </c>
      <c r="AZ68" s="72">
        <f t="shared" si="37"/>
        <v>0</v>
      </c>
      <c r="BA68" s="72">
        <f t="shared" si="37"/>
        <v>0</v>
      </c>
      <c r="BB68" s="72">
        <f t="shared" si="37"/>
        <v>0</v>
      </c>
      <c r="BC68" s="72">
        <f t="shared" si="37"/>
        <v>0</v>
      </c>
      <c r="BD68" s="72">
        <f t="shared" si="37"/>
        <v>0</v>
      </c>
      <c r="BE68" s="72">
        <f t="shared" si="37"/>
        <v>0</v>
      </c>
      <c r="BF68" s="72">
        <f t="shared" si="37"/>
        <v>0</v>
      </c>
      <c r="BG68" s="68"/>
      <c r="BH68" s="68"/>
      <c r="BL68" s="51" t="s">
        <v>66</v>
      </c>
      <c r="BM68" s="48"/>
      <c r="BN68" s="48"/>
      <c r="BR68" s="80" t="s">
        <v>59</v>
      </c>
      <c r="BS68" s="72">
        <f>IF(BS67&lt;0,ABS(BS67),0)</f>
        <v>0</v>
      </c>
      <c r="BT68" s="72">
        <f>IF((BT67-BS68)&lt;0,ABS(BS68-BT67),0)</f>
        <v>0</v>
      </c>
      <c r="BU68" s="72">
        <f t="shared" ref="BU68:CB68" si="38">IF((BU67-BT68)&lt;0,ABS(BT68-BU67),0)</f>
        <v>0</v>
      </c>
      <c r="BV68" s="72">
        <f t="shared" si="38"/>
        <v>0</v>
      </c>
      <c r="BW68" s="72">
        <f t="shared" si="38"/>
        <v>0</v>
      </c>
      <c r="BX68" s="72">
        <f t="shared" si="38"/>
        <v>0</v>
      </c>
      <c r="BY68" s="72">
        <f t="shared" si="38"/>
        <v>0</v>
      </c>
      <c r="BZ68" s="72">
        <f t="shared" si="38"/>
        <v>0</v>
      </c>
      <c r="CA68" s="72">
        <f t="shared" si="38"/>
        <v>0</v>
      </c>
      <c r="CB68" s="72">
        <f t="shared" si="38"/>
        <v>0</v>
      </c>
    </row>
    <row r="69" spans="1:80" ht="15" x14ac:dyDescent="0.4">
      <c r="A69" s="97"/>
      <c r="B69" s="97"/>
      <c r="C69" s="97"/>
      <c r="D69" s="97"/>
      <c r="E69" s="121"/>
      <c r="F69" s="97"/>
      <c r="G69" s="97"/>
      <c r="H69" s="97"/>
      <c r="I69" s="117"/>
      <c r="J69" s="97"/>
      <c r="K69" s="97"/>
      <c r="L69" s="97"/>
      <c r="M69" s="120" t="s">
        <v>31</v>
      </c>
      <c r="N69" s="122">
        <v>0.25</v>
      </c>
      <c r="O69" s="128">
        <f>1-EXP(-P69*$E$2)</f>
        <v>0.5693461826541717</v>
      </c>
      <c r="P69" s="126">
        <f>CG35</f>
        <v>25.273521589112942</v>
      </c>
      <c r="Q69" s="97"/>
      <c r="R69" s="97"/>
      <c r="S69" s="97"/>
      <c r="T69" s="51" t="s">
        <v>67</v>
      </c>
      <c r="U69" s="48"/>
      <c r="V69" s="48"/>
      <c r="Z69" s="80" t="s">
        <v>59</v>
      </c>
      <c r="AA69" s="72">
        <f>IF(AA67&lt;0,0,AA67)</f>
        <v>0.95</v>
      </c>
      <c r="AB69" s="72">
        <f>IF(AB67&lt;0,0,IF((AB67-AA68)&lt;0,0,(AB67-AA68)))</f>
        <v>0.95</v>
      </c>
      <c r="AC69" s="72">
        <f t="shared" ref="AC69:AJ69" si="39">IF(AC67&lt;0,0,IF((AC67-AB68)&lt;0,0,(AC67-AB68)))</f>
        <v>0.95</v>
      </c>
      <c r="AD69" s="72">
        <f t="shared" si="39"/>
        <v>0.95</v>
      </c>
      <c r="AE69" s="72">
        <f t="shared" si="39"/>
        <v>0.95</v>
      </c>
      <c r="AF69" s="72">
        <f t="shared" si="39"/>
        <v>0.95</v>
      </c>
      <c r="AG69" s="72">
        <f t="shared" si="39"/>
        <v>0.95</v>
      </c>
      <c r="AH69" s="72">
        <f t="shared" si="39"/>
        <v>0.95</v>
      </c>
      <c r="AI69" s="72">
        <f t="shared" si="39"/>
        <v>0.95</v>
      </c>
      <c r="AJ69" s="72">
        <f t="shared" si="39"/>
        <v>0.95</v>
      </c>
      <c r="AK69" s="68"/>
      <c r="AL69" s="68"/>
      <c r="AM69" s="68"/>
      <c r="AN69" s="68"/>
      <c r="AO69" s="68"/>
      <c r="AP69" s="51" t="s">
        <v>67</v>
      </c>
      <c r="AQ69" s="48"/>
      <c r="AR69" s="48"/>
      <c r="AV69" s="80" t="s">
        <v>59</v>
      </c>
      <c r="AW69" s="72">
        <f>IF(AW67&lt;0,0,AW67)</f>
        <v>1.1875</v>
      </c>
      <c r="AX69" s="72">
        <f>IF(AX67&lt;0,0,IF((AX67-AW68)&lt;0,0,(AX67-AW68)))</f>
        <v>1.1875</v>
      </c>
      <c r="AY69" s="72">
        <f t="shared" ref="AY69:BF69" si="40">IF(AY67&lt;0,0,IF((AY67-AX68)&lt;0,0,(AY67-AX68)))</f>
        <v>1.1875</v>
      </c>
      <c r="AZ69" s="72">
        <f t="shared" si="40"/>
        <v>1.1875</v>
      </c>
      <c r="BA69" s="72">
        <f t="shared" si="40"/>
        <v>1.1875</v>
      </c>
      <c r="BB69" s="72">
        <f t="shared" si="40"/>
        <v>1.1875</v>
      </c>
      <c r="BC69" s="72">
        <f t="shared" si="40"/>
        <v>1.1875</v>
      </c>
      <c r="BD69" s="72">
        <f t="shared" si="40"/>
        <v>1.1875</v>
      </c>
      <c r="BE69" s="72">
        <f t="shared" si="40"/>
        <v>1.1875</v>
      </c>
      <c r="BF69" s="72">
        <f t="shared" si="40"/>
        <v>1.1875</v>
      </c>
      <c r="BG69" s="68"/>
      <c r="BH69" s="68"/>
      <c r="BL69" s="51" t="s">
        <v>67</v>
      </c>
      <c r="BM69" s="48"/>
      <c r="BN69" s="48"/>
      <c r="BR69" s="80" t="s">
        <v>59</v>
      </c>
      <c r="BS69" s="72">
        <f>IF(BS67&lt;0,0,BS67)</f>
        <v>1.425</v>
      </c>
      <c r="BT69" s="72">
        <f>IF(BT67&lt;0,0,IF((BT67-BS68)&lt;0,0,(BT67-BS68)))</f>
        <v>1.425</v>
      </c>
      <c r="BU69" s="72">
        <f t="shared" ref="BU69:CB69" si="41">IF(BU67&lt;0,0,IF((BU67-BT68)&lt;0,0,(BU67-BT68)))</f>
        <v>1.425</v>
      </c>
      <c r="BV69" s="72">
        <f t="shared" si="41"/>
        <v>1.425</v>
      </c>
      <c r="BW69" s="72">
        <f t="shared" si="41"/>
        <v>1.425</v>
      </c>
      <c r="BX69" s="72">
        <f t="shared" si="41"/>
        <v>1.425</v>
      </c>
      <c r="BY69" s="72">
        <f t="shared" si="41"/>
        <v>1.425</v>
      </c>
      <c r="BZ69" s="72">
        <f t="shared" si="41"/>
        <v>1.425</v>
      </c>
      <c r="CA69" s="72">
        <f t="shared" si="41"/>
        <v>1.425</v>
      </c>
      <c r="CB69" s="72">
        <f t="shared" si="41"/>
        <v>1.425</v>
      </c>
    </row>
    <row r="70" spans="1:80" ht="15" x14ac:dyDescent="0.4">
      <c r="A70" s="97"/>
      <c r="B70" s="97"/>
      <c r="C70" s="97"/>
      <c r="D70" s="97"/>
      <c r="E70" s="121"/>
      <c r="F70" s="97"/>
      <c r="G70" s="97"/>
      <c r="H70" s="97"/>
      <c r="I70" s="117"/>
      <c r="J70" s="97"/>
      <c r="K70" s="155" t="s">
        <v>33</v>
      </c>
      <c r="L70" s="164"/>
      <c r="M70" s="117"/>
      <c r="N70" s="97"/>
      <c r="O70" s="128"/>
      <c r="P70" s="126"/>
      <c r="Q70" s="97"/>
      <c r="R70" s="97"/>
      <c r="S70" s="97"/>
      <c r="T70" s="48"/>
      <c r="U70" s="48"/>
      <c r="V70" s="48"/>
      <c r="Z70" s="80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3"/>
      <c r="AL70" s="73"/>
      <c r="AM70" s="73"/>
      <c r="AN70" s="68"/>
      <c r="AO70" s="68"/>
      <c r="AP70" s="48"/>
      <c r="AQ70" s="48"/>
      <c r="AR70" s="48"/>
      <c r="AV70" s="80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3"/>
      <c r="BH70" s="73"/>
      <c r="BL70" s="48"/>
      <c r="BM70" s="48"/>
      <c r="BN70" s="48"/>
      <c r="BR70" s="80"/>
      <c r="BS70" s="72"/>
      <c r="BT70" s="72"/>
      <c r="BU70" s="72"/>
      <c r="BV70" s="72"/>
      <c r="BW70" s="72"/>
      <c r="BX70" s="72"/>
      <c r="BY70" s="72"/>
      <c r="BZ70" s="72"/>
      <c r="CA70" s="72"/>
      <c r="CB70" s="72"/>
    </row>
    <row r="71" spans="1:80" ht="15" x14ac:dyDescent="0.4">
      <c r="A71" s="97"/>
      <c r="B71" s="97"/>
      <c r="C71" s="97"/>
      <c r="D71" s="97"/>
      <c r="E71" s="121"/>
      <c r="F71" s="97"/>
      <c r="G71" s="97"/>
      <c r="H71" s="97"/>
      <c r="I71" s="117"/>
      <c r="J71" s="97"/>
      <c r="K71" s="97"/>
      <c r="L71" s="97"/>
      <c r="M71" s="117"/>
      <c r="N71" s="97"/>
      <c r="O71" s="128"/>
      <c r="P71" s="126"/>
      <c r="Q71" s="97"/>
      <c r="R71" s="97"/>
      <c r="S71" s="97"/>
      <c r="T71" s="51" t="s">
        <v>68</v>
      </c>
      <c r="Z71" s="80" t="s">
        <v>69</v>
      </c>
      <c r="AA71" s="74">
        <f>AA65-AA69</f>
        <v>1.55</v>
      </c>
      <c r="AB71" s="74">
        <f t="shared" ref="AB71:AJ71" si="42">AB65-AB69</f>
        <v>1.55</v>
      </c>
      <c r="AC71" s="74">
        <f t="shared" si="42"/>
        <v>1.55</v>
      </c>
      <c r="AD71" s="74">
        <f t="shared" si="42"/>
        <v>1.55</v>
      </c>
      <c r="AE71" s="74">
        <f t="shared" si="42"/>
        <v>1.55</v>
      </c>
      <c r="AF71" s="74">
        <f t="shared" si="42"/>
        <v>1.55</v>
      </c>
      <c r="AG71" s="74">
        <f t="shared" si="42"/>
        <v>1.55</v>
      </c>
      <c r="AH71" s="74">
        <f t="shared" si="42"/>
        <v>1.55</v>
      </c>
      <c r="AI71" s="74">
        <f t="shared" si="42"/>
        <v>1.55</v>
      </c>
      <c r="AJ71" s="74">
        <f t="shared" si="42"/>
        <v>1.55</v>
      </c>
      <c r="AK71" s="75"/>
      <c r="AL71" s="75"/>
      <c r="AM71" s="75"/>
      <c r="AN71" s="68"/>
      <c r="AO71" s="68"/>
      <c r="AP71" s="51" t="s">
        <v>68</v>
      </c>
      <c r="AV71" s="80" t="s">
        <v>69</v>
      </c>
      <c r="AW71" s="74">
        <f>AW65-AW69</f>
        <v>1.9375</v>
      </c>
      <c r="AX71" s="74">
        <f t="shared" ref="AX71:BF71" si="43">AX65-AX69</f>
        <v>1.9375</v>
      </c>
      <c r="AY71" s="74">
        <f t="shared" si="43"/>
        <v>1.9375</v>
      </c>
      <c r="AZ71" s="74">
        <f t="shared" si="43"/>
        <v>1.9375</v>
      </c>
      <c r="BA71" s="74">
        <f t="shared" si="43"/>
        <v>1.9375</v>
      </c>
      <c r="BB71" s="74">
        <f t="shared" si="43"/>
        <v>1.9375</v>
      </c>
      <c r="BC71" s="74">
        <f t="shared" si="43"/>
        <v>1.9375</v>
      </c>
      <c r="BD71" s="74">
        <f t="shared" si="43"/>
        <v>1.9375</v>
      </c>
      <c r="BE71" s="74">
        <f t="shared" si="43"/>
        <v>1.9375</v>
      </c>
      <c r="BF71" s="74">
        <f t="shared" si="43"/>
        <v>1.9375</v>
      </c>
      <c r="BG71" s="75"/>
      <c r="BH71" s="75"/>
      <c r="BL71" s="51" t="s">
        <v>68</v>
      </c>
      <c r="BR71" s="80" t="s">
        <v>69</v>
      </c>
      <c r="BS71" s="74">
        <f>BS65-BS69</f>
        <v>2.3250000000000002</v>
      </c>
      <c r="BT71" s="74">
        <f t="shared" ref="BT71:CB71" si="44">BT65-BT69</f>
        <v>2.3250000000000002</v>
      </c>
      <c r="BU71" s="74">
        <f t="shared" si="44"/>
        <v>2.3250000000000002</v>
      </c>
      <c r="BV71" s="74">
        <f t="shared" si="44"/>
        <v>2.3250000000000002</v>
      </c>
      <c r="BW71" s="74">
        <f t="shared" si="44"/>
        <v>2.3250000000000002</v>
      </c>
      <c r="BX71" s="74">
        <f t="shared" si="44"/>
        <v>2.3250000000000002</v>
      </c>
      <c r="BY71" s="74">
        <f t="shared" si="44"/>
        <v>2.3250000000000002</v>
      </c>
      <c r="BZ71" s="74">
        <f t="shared" si="44"/>
        <v>2.3250000000000002</v>
      </c>
      <c r="CA71" s="74">
        <f t="shared" si="44"/>
        <v>2.3250000000000002</v>
      </c>
      <c r="CB71" s="74">
        <f t="shared" si="44"/>
        <v>2.3250000000000002</v>
      </c>
    </row>
    <row r="72" spans="1:80" x14ac:dyDescent="0.35">
      <c r="A72" s="97"/>
      <c r="B72" s="97"/>
      <c r="C72" s="97"/>
      <c r="D72" s="97"/>
      <c r="E72" s="121"/>
      <c r="F72" s="97"/>
      <c r="G72" s="97"/>
      <c r="H72" s="97"/>
      <c r="I72" s="117"/>
      <c r="J72" s="97"/>
      <c r="K72" s="120" t="s">
        <v>31</v>
      </c>
      <c r="L72" s="122">
        <v>0.25</v>
      </c>
      <c r="M72" s="120" t="s">
        <v>30</v>
      </c>
      <c r="N72" s="122">
        <v>0.5</v>
      </c>
      <c r="O72" s="128">
        <f>1-EXP(-P72*$E$2)</f>
        <v>0.42972342303555988</v>
      </c>
      <c r="P72" s="126">
        <f>CG34</f>
        <v>16.849014392741964</v>
      </c>
      <c r="Q72" s="97"/>
      <c r="R72" s="97"/>
      <c r="S72" s="97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</row>
    <row r="73" spans="1:80" ht="15" x14ac:dyDescent="0.4">
      <c r="A73" s="97"/>
      <c r="B73" s="97"/>
      <c r="C73" s="97"/>
      <c r="D73" s="97"/>
      <c r="E73" s="121"/>
      <c r="F73" s="97"/>
      <c r="G73" s="97"/>
      <c r="H73" s="97"/>
      <c r="I73" s="117"/>
      <c r="J73" s="97"/>
      <c r="K73" s="117">
        <f>O69*N69+O72*N72+O75*N75</f>
        <v>0.39988112781569862</v>
      </c>
      <c r="L73" s="97"/>
      <c r="M73" s="117"/>
      <c r="N73" s="97"/>
      <c r="O73" s="128"/>
      <c r="P73" s="126"/>
      <c r="Q73" s="97"/>
      <c r="R73" s="97"/>
      <c r="S73" s="97"/>
      <c r="T73" s="51" t="s">
        <v>70</v>
      </c>
      <c r="U73" s="48"/>
      <c r="V73" s="48"/>
      <c r="Z73" s="80" t="s">
        <v>71</v>
      </c>
      <c r="AA73" s="93">
        <f>AA71+NPV(DRS,AB71,AC71,AD71,AE71,AF71,AG71,AH71,AI71,AJ71)</f>
        <v>11.232676261827974</v>
      </c>
      <c r="AB73" s="92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68"/>
      <c r="AO73" s="68"/>
      <c r="AP73" s="51" t="s">
        <v>70</v>
      </c>
      <c r="AQ73" s="48"/>
      <c r="AR73" s="48"/>
      <c r="AV73" s="80" t="s">
        <v>71</v>
      </c>
      <c r="AW73" s="93">
        <f>AW71+NPV(discount_rate,AX71,AY71,AZ71,BA71,BB71,BC71,BD71,BE71,BF71)</f>
        <v>14.040845327284968</v>
      </c>
      <c r="AX73" s="92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L73" s="51" t="s">
        <v>70</v>
      </c>
      <c r="BM73" s="48"/>
      <c r="BN73" s="48"/>
      <c r="BR73" s="80" t="s">
        <v>71</v>
      </c>
      <c r="BS73" s="93">
        <f>BS71+NPV(DR,BT71,BU71,BV71,BW71,BX71,BY71,BZ71,CA71,CB71)</f>
        <v>16.849014392741964</v>
      </c>
      <c r="BT73" s="92"/>
      <c r="BU73" s="76"/>
      <c r="BV73" s="76"/>
      <c r="BW73" s="76"/>
      <c r="BX73" s="76"/>
      <c r="BY73" s="76"/>
      <c r="BZ73" s="76"/>
      <c r="CA73" s="76"/>
      <c r="CB73" s="76"/>
    </row>
    <row r="74" spans="1:80" x14ac:dyDescent="0.35">
      <c r="A74" s="97"/>
      <c r="B74" s="97"/>
      <c r="C74" s="97"/>
      <c r="D74" s="97"/>
      <c r="E74" s="121"/>
      <c r="F74" s="97"/>
      <c r="G74" s="97"/>
      <c r="H74" s="97"/>
      <c r="I74" s="117"/>
      <c r="J74" s="97"/>
      <c r="K74" s="117"/>
      <c r="L74" s="97"/>
      <c r="M74" s="123"/>
      <c r="N74" s="97"/>
      <c r="O74" s="128"/>
      <c r="P74" s="126"/>
      <c r="Q74" s="97"/>
      <c r="R74" s="97"/>
      <c r="S74" s="97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68"/>
      <c r="AO74" s="68"/>
      <c r="AP74" s="68"/>
    </row>
    <row r="75" spans="1:80" x14ac:dyDescent="0.35">
      <c r="A75" s="97"/>
      <c r="B75" s="97"/>
      <c r="C75" s="97"/>
      <c r="D75" s="97"/>
      <c r="E75" s="121"/>
      <c r="F75" s="97"/>
      <c r="G75" s="97"/>
      <c r="H75" s="97"/>
      <c r="I75" s="117"/>
      <c r="J75" s="97"/>
      <c r="K75" s="117"/>
      <c r="L75" s="97"/>
      <c r="M75" s="122" t="s">
        <v>29</v>
      </c>
      <c r="N75" s="122">
        <v>0.25</v>
      </c>
      <c r="O75" s="128">
        <f>1-EXP(-P75*$E$2)</f>
        <v>0.17073148253750303</v>
      </c>
      <c r="P75" s="126">
        <f>CG33</f>
        <v>5.616338130913987</v>
      </c>
      <c r="Q75" s="97"/>
      <c r="R75" s="97"/>
      <c r="S75" s="97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68"/>
      <c r="AO75" s="68"/>
      <c r="AP75" s="68"/>
    </row>
    <row r="76" spans="1:80" x14ac:dyDescent="0.35">
      <c r="A76" s="97"/>
      <c r="B76" s="97"/>
      <c r="C76" s="97"/>
      <c r="D76" s="97"/>
      <c r="E76" s="121"/>
      <c r="F76" s="97"/>
      <c r="G76" s="97"/>
      <c r="H76" s="97"/>
      <c r="I76" s="117"/>
      <c r="J76" s="97"/>
      <c r="K76" s="117"/>
      <c r="L76" s="97"/>
      <c r="M76" s="97"/>
      <c r="N76" s="97"/>
      <c r="O76" s="128"/>
      <c r="P76" s="126"/>
      <c r="Q76" s="97"/>
      <c r="R76" s="97"/>
      <c r="S76" s="97"/>
      <c r="AA76" s="94"/>
      <c r="AB76" s="75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</row>
    <row r="77" spans="1:80" x14ac:dyDescent="0.35">
      <c r="A77" s="97"/>
      <c r="B77" s="97"/>
      <c r="C77" s="97"/>
      <c r="D77" s="97"/>
      <c r="E77" s="121"/>
      <c r="F77" s="97"/>
      <c r="G77" s="97"/>
      <c r="H77" s="97"/>
      <c r="I77" s="117"/>
      <c r="J77" s="97"/>
      <c r="K77" s="117"/>
      <c r="L77" s="97"/>
      <c r="M77" s="155" t="s">
        <v>42</v>
      </c>
      <c r="N77" s="155"/>
      <c r="O77" s="128"/>
      <c r="P77" s="126"/>
      <c r="Q77" s="97"/>
      <c r="R77" s="97"/>
      <c r="S77" s="97"/>
      <c r="Z77" s="7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68"/>
      <c r="AO77" s="68"/>
      <c r="AP77" s="68"/>
    </row>
    <row r="78" spans="1:80" x14ac:dyDescent="0.35">
      <c r="A78" s="97"/>
      <c r="B78" s="97"/>
      <c r="C78" s="97"/>
      <c r="D78" s="97"/>
      <c r="E78" s="121"/>
      <c r="F78" s="97"/>
      <c r="G78" s="97"/>
      <c r="H78" s="97"/>
      <c r="I78" s="117"/>
      <c r="J78" s="97"/>
      <c r="K78" s="117"/>
      <c r="L78" s="97"/>
      <c r="M78" s="97"/>
      <c r="N78" s="97"/>
      <c r="O78" s="128"/>
      <c r="P78" s="126"/>
      <c r="Q78" s="97"/>
      <c r="R78" s="97"/>
      <c r="S78" s="97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</row>
    <row r="79" spans="1:80" x14ac:dyDescent="0.35">
      <c r="A79" s="97"/>
      <c r="B79" s="97"/>
      <c r="C79" s="97"/>
      <c r="D79" s="97"/>
      <c r="E79" s="121"/>
      <c r="F79" s="97"/>
      <c r="G79" s="97"/>
      <c r="H79" s="97"/>
      <c r="I79" s="117"/>
      <c r="J79" s="97"/>
      <c r="K79" s="117"/>
      <c r="L79" s="97"/>
      <c r="M79" s="120" t="s">
        <v>31</v>
      </c>
      <c r="N79" s="122">
        <v>0.25</v>
      </c>
      <c r="O79" s="128">
        <f>1-EXP(-P79*$E$2)</f>
        <v>0.5693461826541717</v>
      </c>
      <c r="P79" s="126">
        <f>CF35</f>
        <v>25.273521589112942</v>
      </c>
      <c r="Q79" s="97"/>
      <c r="R79" s="97"/>
      <c r="S79" s="97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</row>
    <row r="80" spans="1:80" x14ac:dyDescent="0.35">
      <c r="A80" s="97"/>
      <c r="B80" s="97"/>
      <c r="C80" s="97"/>
      <c r="D80" s="97"/>
      <c r="E80" s="121"/>
      <c r="F80" s="97"/>
      <c r="G80" s="97"/>
      <c r="H80" s="97"/>
      <c r="I80" s="117"/>
      <c r="J80" s="97"/>
      <c r="K80" s="117"/>
      <c r="L80" s="97"/>
      <c r="M80" s="117"/>
      <c r="N80" s="97"/>
      <c r="O80" s="128"/>
      <c r="P80" s="126"/>
      <c r="Q80" s="97"/>
      <c r="R80" s="97"/>
      <c r="S80" s="97"/>
      <c r="U80" s="13"/>
      <c r="AA80" s="77"/>
      <c r="AB80" s="77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</row>
    <row r="81" spans="1:42" x14ac:dyDescent="0.35">
      <c r="A81" s="97"/>
      <c r="B81" s="97"/>
      <c r="C81" s="97"/>
      <c r="D81" s="97"/>
      <c r="E81" s="121"/>
      <c r="F81" s="97"/>
      <c r="G81" s="97"/>
      <c r="H81" s="97"/>
      <c r="I81" s="123"/>
      <c r="J81" s="97"/>
      <c r="K81" s="117"/>
      <c r="L81" s="97"/>
      <c r="M81" s="117"/>
      <c r="N81" s="97"/>
      <c r="O81" s="128"/>
      <c r="P81" s="126"/>
      <c r="Q81" s="97"/>
      <c r="R81" s="97"/>
      <c r="S81" s="97"/>
      <c r="T81" s="13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68"/>
      <c r="AO81" s="68"/>
      <c r="AP81" s="68"/>
    </row>
    <row r="82" spans="1:42" x14ac:dyDescent="0.35">
      <c r="A82" s="97"/>
      <c r="B82" s="97"/>
      <c r="C82" s="97"/>
      <c r="D82" s="97"/>
      <c r="E82" s="121"/>
      <c r="F82" s="97"/>
      <c r="G82" s="97"/>
      <c r="H82" s="97"/>
      <c r="I82" s="122" t="s">
        <v>29</v>
      </c>
      <c r="J82" s="122">
        <v>0.25</v>
      </c>
      <c r="K82" s="120" t="s">
        <v>30</v>
      </c>
      <c r="L82" s="122">
        <v>0.5</v>
      </c>
      <c r="M82" s="120" t="s">
        <v>30</v>
      </c>
      <c r="N82" s="122">
        <v>0.5</v>
      </c>
      <c r="O82" s="128">
        <f>1-EXP(-P82*$E$2)</f>
        <v>0.42972342303555988</v>
      </c>
      <c r="P82" s="126">
        <f>CF34</f>
        <v>16.849014392741964</v>
      </c>
      <c r="Q82" s="97"/>
      <c r="R82" s="97"/>
      <c r="S82" s="97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68"/>
      <c r="AO82" s="68"/>
      <c r="AP82" s="68"/>
    </row>
    <row r="83" spans="1:42" x14ac:dyDescent="0.35">
      <c r="A83" s="97"/>
      <c r="B83" s="97"/>
      <c r="C83" s="97"/>
      <c r="D83" s="97"/>
      <c r="E83" s="121"/>
      <c r="F83" s="97"/>
      <c r="G83" s="97"/>
      <c r="H83" s="97"/>
      <c r="I83" s="97">
        <f>L72*K73+L82*K83+L92*K93</f>
        <v>0.35788361970695054</v>
      </c>
      <c r="J83" s="97"/>
      <c r="K83" s="117">
        <f>O79*N79+O82*N82+O85*N85</f>
        <v>0.39988112781569862</v>
      </c>
      <c r="L83" s="97"/>
      <c r="M83" s="117"/>
      <c r="N83" s="97"/>
      <c r="O83" s="128"/>
      <c r="P83" s="126"/>
      <c r="Q83" s="97"/>
      <c r="R83" s="97"/>
      <c r="S83" s="97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68"/>
      <c r="AO83" s="68"/>
      <c r="AP83" s="68"/>
    </row>
    <row r="84" spans="1:42" x14ac:dyDescent="0.35">
      <c r="A84" s="97"/>
      <c r="B84" s="97"/>
      <c r="C84" s="97"/>
      <c r="D84" s="97"/>
      <c r="E84" s="121"/>
      <c r="F84" s="97"/>
      <c r="G84" s="97"/>
      <c r="H84" s="97"/>
      <c r="I84" s="97"/>
      <c r="J84" s="97"/>
      <c r="K84" s="117"/>
      <c r="L84" s="97"/>
      <c r="M84" s="123"/>
      <c r="N84" s="97"/>
      <c r="O84" s="128"/>
      <c r="P84" s="126"/>
      <c r="Q84" s="97"/>
      <c r="R84" s="97"/>
      <c r="S84" s="97"/>
      <c r="U84" s="33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68"/>
      <c r="AO84" s="68"/>
      <c r="AP84" s="68"/>
    </row>
    <row r="85" spans="1:42" x14ac:dyDescent="0.35">
      <c r="A85" s="97"/>
      <c r="B85" s="97"/>
      <c r="C85" s="97"/>
      <c r="D85" s="97"/>
      <c r="E85" s="121"/>
      <c r="F85" s="97"/>
      <c r="G85" s="97"/>
      <c r="H85" s="97"/>
      <c r="I85" s="97"/>
      <c r="J85" s="97"/>
      <c r="K85" s="117"/>
      <c r="L85" s="97"/>
      <c r="M85" s="122" t="s">
        <v>29</v>
      </c>
      <c r="N85" s="122">
        <v>0.25</v>
      </c>
      <c r="O85" s="128">
        <f>1-EXP(-P85*$E$2)</f>
        <v>0.17073148253750303</v>
      </c>
      <c r="P85" s="126">
        <f>CF33</f>
        <v>5.616338130913987</v>
      </c>
      <c r="Q85" s="97"/>
      <c r="R85" s="97"/>
      <c r="S85" s="97"/>
      <c r="U85" s="33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68"/>
      <c r="AO85" s="68"/>
      <c r="AP85" s="68"/>
    </row>
    <row r="86" spans="1:42" x14ac:dyDescent="0.35">
      <c r="A86" s="97"/>
      <c r="B86" s="97"/>
      <c r="C86" s="97"/>
      <c r="D86" s="97"/>
      <c r="E86" s="121"/>
      <c r="F86" s="97"/>
      <c r="G86" s="97"/>
      <c r="H86" s="97"/>
      <c r="I86" s="97"/>
      <c r="J86" s="97"/>
      <c r="K86" s="117"/>
      <c r="L86" s="97"/>
      <c r="M86" s="97"/>
      <c r="N86" s="97"/>
      <c r="O86" s="128"/>
      <c r="P86" s="126"/>
      <c r="Q86" s="97"/>
      <c r="R86" s="97"/>
      <c r="S86" s="97"/>
      <c r="U86" s="33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68"/>
      <c r="AO86" s="68"/>
      <c r="AP86" s="68"/>
    </row>
    <row r="87" spans="1:42" x14ac:dyDescent="0.35">
      <c r="A87" s="97"/>
      <c r="B87" s="97"/>
      <c r="C87" s="97"/>
      <c r="D87" s="97"/>
      <c r="E87" s="121"/>
      <c r="F87" s="97"/>
      <c r="G87" s="97"/>
      <c r="H87" s="97"/>
      <c r="I87" s="97"/>
      <c r="J87" s="97"/>
      <c r="K87" s="117"/>
      <c r="L87" s="97"/>
      <c r="M87" s="155" t="s">
        <v>42</v>
      </c>
      <c r="N87" s="155"/>
      <c r="O87" s="128"/>
      <c r="P87" s="126"/>
      <c r="Q87" s="97"/>
      <c r="R87" s="97"/>
      <c r="S87" s="97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68"/>
      <c r="AO87" s="68"/>
      <c r="AP87" s="68"/>
    </row>
    <row r="88" spans="1:42" x14ac:dyDescent="0.35">
      <c r="A88" s="97"/>
      <c r="B88" s="97"/>
      <c r="C88" s="97"/>
      <c r="D88" s="97"/>
      <c r="E88" s="121"/>
      <c r="F88" s="97"/>
      <c r="G88" s="97"/>
      <c r="H88" s="97"/>
      <c r="I88" s="97"/>
      <c r="J88" s="97"/>
      <c r="K88" s="117"/>
      <c r="L88" s="97"/>
      <c r="M88" s="97"/>
      <c r="N88" s="97"/>
      <c r="O88" s="128"/>
      <c r="P88" s="126"/>
      <c r="Q88" s="97"/>
      <c r="R88" s="97"/>
      <c r="S88" s="97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68"/>
      <c r="AO88" s="68"/>
      <c r="AP88" s="68"/>
    </row>
    <row r="89" spans="1:42" x14ac:dyDescent="0.35">
      <c r="A89" s="97"/>
      <c r="B89" s="97"/>
      <c r="C89" s="97"/>
      <c r="D89" s="97"/>
      <c r="E89" s="121"/>
      <c r="F89" s="97"/>
      <c r="G89" s="97"/>
      <c r="H89" s="97"/>
      <c r="I89" s="97"/>
      <c r="J89" s="97"/>
      <c r="K89" s="117"/>
      <c r="L89" s="97"/>
      <c r="M89" s="120" t="s">
        <v>31</v>
      </c>
      <c r="N89" s="122">
        <v>0.25</v>
      </c>
      <c r="O89" s="128">
        <f>1-EXP(-P89*$E$2)</f>
        <v>0.34543929145188645</v>
      </c>
      <c r="P89" s="126">
        <f>CE35</f>
        <v>12.713728269648815</v>
      </c>
      <c r="Q89" s="97"/>
      <c r="R89" s="97"/>
      <c r="S89" s="97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68"/>
      <c r="AO89" s="68"/>
      <c r="AP89" s="68"/>
    </row>
    <row r="90" spans="1:42" x14ac:dyDescent="0.35">
      <c r="A90" s="97"/>
      <c r="B90" s="97"/>
      <c r="C90" s="97"/>
      <c r="D90" s="97"/>
      <c r="E90" s="121"/>
      <c r="F90" s="97"/>
      <c r="G90" s="97"/>
      <c r="H90" s="97"/>
      <c r="I90" s="97"/>
      <c r="J90" s="97"/>
      <c r="K90" s="117"/>
      <c r="L90" s="97"/>
      <c r="M90" s="117"/>
      <c r="N90" s="97"/>
      <c r="O90" s="128"/>
      <c r="P90" s="126"/>
      <c r="Q90" s="97"/>
      <c r="R90" s="97"/>
      <c r="S90" s="97"/>
      <c r="Z90" s="12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68"/>
      <c r="AO90" s="68"/>
      <c r="AP90" s="68"/>
    </row>
    <row r="91" spans="1:42" x14ac:dyDescent="0.35">
      <c r="A91" s="97"/>
      <c r="B91" s="97"/>
      <c r="C91" s="97"/>
      <c r="D91" s="97"/>
      <c r="E91" s="121"/>
      <c r="F91" s="97"/>
      <c r="G91" s="97"/>
      <c r="H91" s="97"/>
      <c r="I91" s="97"/>
      <c r="J91" s="97"/>
      <c r="K91" s="123"/>
      <c r="L91" s="97"/>
      <c r="M91" s="117"/>
      <c r="N91" s="97"/>
      <c r="O91" s="128"/>
      <c r="P91" s="126"/>
      <c r="Q91" s="97"/>
      <c r="R91" s="97"/>
      <c r="S91" s="97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68"/>
      <c r="AO91" s="68"/>
      <c r="AP91" s="68"/>
    </row>
    <row r="92" spans="1:42" x14ac:dyDescent="0.35">
      <c r="A92" s="97"/>
      <c r="B92" s="97"/>
      <c r="C92" s="97"/>
      <c r="D92" s="97"/>
      <c r="E92" s="121"/>
      <c r="F92" s="97"/>
      <c r="G92" s="97"/>
      <c r="H92" s="97"/>
      <c r="I92" s="97"/>
      <c r="J92" s="97"/>
      <c r="K92" s="122" t="s">
        <v>29</v>
      </c>
      <c r="L92" s="122">
        <v>0.25</v>
      </c>
      <c r="M92" s="120" t="s">
        <v>30</v>
      </c>
      <c r="N92" s="122">
        <v>0.5</v>
      </c>
      <c r="O92" s="128">
        <f>1-EXP(-P92*$E$2)</f>
        <v>0.24612393527904375</v>
      </c>
      <c r="P92" s="126">
        <f>CE34</f>
        <v>8.4758188464325439</v>
      </c>
      <c r="Q92" s="97"/>
      <c r="R92" s="97"/>
      <c r="S92" s="97"/>
      <c r="AA92" s="75"/>
      <c r="AB92" s="79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68"/>
      <c r="AO92" s="68"/>
      <c r="AP92" s="68"/>
    </row>
    <row r="93" spans="1:42" x14ac:dyDescent="0.35">
      <c r="A93" s="97"/>
      <c r="B93" s="97"/>
      <c r="C93" s="97"/>
      <c r="D93" s="97"/>
      <c r="E93" s="121"/>
      <c r="F93" s="97"/>
      <c r="G93" s="97"/>
      <c r="H93" s="97"/>
      <c r="I93" s="97"/>
      <c r="J93" s="97"/>
      <c r="K93" s="97">
        <f>O89*N89+O92*N92+O95*N95</f>
        <v>0.23189109538070624</v>
      </c>
      <c r="L93" s="97"/>
      <c r="M93" s="117"/>
      <c r="N93" s="97"/>
      <c r="O93" s="128"/>
      <c r="P93" s="126"/>
      <c r="Q93" s="97"/>
      <c r="R93" s="97"/>
      <c r="S93" s="97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</row>
    <row r="94" spans="1:42" x14ac:dyDescent="0.35">
      <c r="A94" s="97"/>
      <c r="B94" s="97"/>
      <c r="C94" s="97"/>
      <c r="D94" s="97"/>
      <c r="E94" s="121"/>
      <c r="F94" s="97"/>
      <c r="G94" s="97"/>
      <c r="H94" s="97"/>
      <c r="I94" s="97"/>
      <c r="J94" s="97"/>
      <c r="K94" s="97"/>
      <c r="L94" s="97"/>
      <c r="M94" s="123"/>
      <c r="N94" s="97"/>
      <c r="O94" s="128"/>
      <c r="P94" s="126"/>
      <c r="Q94" s="97"/>
      <c r="R94" s="97"/>
      <c r="S94" s="97"/>
      <c r="T94" s="13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</row>
    <row r="95" spans="1:42" x14ac:dyDescent="0.35">
      <c r="A95" s="97"/>
      <c r="B95" s="97"/>
      <c r="C95" s="97"/>
      <c r="D95" s="97"/>
      <c r="E95" s="121"/>
      <c r="F95" s="97"/>
      <c r="G95" s="97"/>
      <c r="H95" s="97"/>
      <c r="I95" s="97"/>
      <c r="J95" s="97"/>
      <c r="K95" s="97"/>
      <c r="L95" s="97"/>
      <c r="M95" s="122" t="s">
        <v>29</v>
      </c>
      <c r="N95" s="122">
        <v>0.25</v>
      </c>
      <c r="O95" s="128">
        <f>1-EXP(-P95*$E$2)</f>
        <v>8.9877219512850992E-2</v>
      </c>
      <c r="P95" s="126">
        <f>CE33</f>
        <v>2.8252729488108481</v>
      </c>
      <c r="Q95" s="97"/>
      <c r="R95" s="97"/>
      <c r="S95" s="97"/>
      <c r="T95" s="2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</row>
    <row r="96" spans="1:42" x14ac:dyDescent="0.35">
      <c r="A96" s="97"/>
      <c r="B96" s="97"/>
      <c r="C96" s="97"/>
      <c r="D96" s="97"/>
      <c r="E96" s="121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126"/>
      <c r="Q96" s="97"/>
      <c r="R96" s="97"/>
      <c r="S96" s="97"/>
      <c r="U96" s="13"/>
      <c r="AA96" s="77"/>
      <c r="AB96" s="77"/>
      <c r="AC96" s="77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</row>
    <row r="97" spans="1:42" x14ac:dyDescent="0.35">
      <c r="A97" s="97"/>
      <c r="B97" s="97"/>
      <c r="C97" s="97"/>
      <c r="D97" s="97"/>
      <c r="E97" s="121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13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68"/>
      <c r="AO97" s="68"/>
      <c r="AP97" s="68"/>
    </row>
    <row r="98" spans="1:42" x14ac:dyDescent="0.35">
      <c r="A98" s="97"/>
      <c r="B98" s="97"/>
      <c r="C98" s="97"/>
      <c r="D98" s="97"/>
      <c r="E98" s="121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13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</row>
    <row r="99" spans="1:42" x14ac:dyDescent="0.35">
      <c r="A99" s="97"/>
      <c r="B99" s="97"/>
      <c r="C99" s="97"/>
      <c r="D99" s="97"/>
      <c r="E99" s="121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Z99" s="34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68"/>
      <c r="AO99" s="68"/>
      <c r="AP99" s="68"/>
    </row>
    <row r="100" spans="1:42" x14ac:dyDescent="0.35">
      <c r="A100" s="97"/>
      <c r="B100" s="97"/>
      <c r="C100" s="97"/>
      <c r="D100" s="97"/>
      <c r="E100" s="121"/>
      <c r="F100" s="97"/>
      <c r="G100" s="97"/>
      <c r="H100" s="97"/>
      <c r="I100" s="97"/>
      <c r="J100" s="97"/>
      <c r="K100" s="97"/>
      <c r="L100" s="97"/>
      <c r="M100" s="127" t="s">
        <v>84</v>
      </c>
      <c r="N100" s="127" t="s">
        <v>88</v>
      </c>
      <c r="O100" s="97"/>
      <c r="P100" s="97"/>
      <c r="Q100" s="97"/>
      <c r="R100" s="97"/>
      <c r="S100" s="97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</row>
    <row r="101" spans="1:42" x14ac:dyDescent="0.35">
      <c r="A101" s="97"/>
      <c r="B101" s="97"/>
      <c r="C101" s="97"/>
      <c r="D101" s="97"/>
      <c r="E101" s="121"/>
      <c r="F101" s="97"/>
      <c r="G101" s="97"/>
      <c r="H101" s="97"/>
      <c r="I101" s="97"/>
      <c r="J101" s="97"/>
      <c r="K101" s="155" t="s">
        <v>33</v>
      </c>
      <c r="L101" s="155"/>
      <c r="M101" s="97"/>
      <c r="N101" s="97"/>
      <c r="O101" s="97"/>
      <c r="P101" s="97"/>
      <c r="Q101" s="97"/>
      <c r="R101" s="97"/>
      <c r="S101" s="97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</row>
    <row r="102" spans="1:42" ht="19.149999999999999" x14ac:dyDescent="0.65">
      <c r="A102" s="97"/>
      <c r="B102" s="97"/>
      <c r="C102" s="97"/>
      <c r="D102" s="97"/>
      <c r="E102" s="121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38" t="s">
        <v>0</v>
      </c>
      <c r="AM102" s="75"/>
      <c r="AN102" s="68"/>
      <c r="AO102" s="68"/>
      <c r="AP102" s="68"/>
    </row>
    <row r="103" spans="1:42" ht="13.15" thickBot="1" x14ac:dyDescent="0.4">
      <c r="A103" s="97"/>
      <c r="B103" s="97"/>
      <c r="C103" s="97"/>
      <c r="D103" s="97"/>
      <c r="E103" s="121"/>
      <c r="F103" s="97"/>
      <c r="G103" s="97"/>
      <c r="H103" s="97"/>
      <c r="I103" s="97"/>
      <c r="J103" s="97"/>
      <c r="K103" s="120" t="s">
        <v>31</v>
      </c>
      <c r="L103" s="122">
        <v>0.25</v>
      </c>
      <c r="M103" s="128">
        <f>1-EXP(-N103*$E$2)</f>
        <v>0.83255386225850592</v>
      </c>
      <c r="N103" s="126">
        <f>AR124</f>
        <v>53.612806354583483</v>
      </c>
      <c r="O103" s="97"/>
      <c r="P103" s="97"/>
      <c r="Q103" s="97"/>
      <c r="R103" s="97"/>
      <c r="S103" s="97"/>
      <c r="AM103" s="75"/>
      <c r="AN103" s="68"/>
      <c r="AO103" s="68"/>
      <c r="AP103" s="68"/>
    </row>
    <row r="104" spans="1:42" ht="15.4" x14ac:dyDescent="0.45">
      <c r="A104" s="97"/>
      <c r="B104" s="97"/>
      <c r="C104" s="97"/>
      <c r="D104" s="97"/>
      <c r="E104" s="121"/>
      <c r="F104" s="97"/>
      <c r="G104" s="97"/>
      <c r="H104" s="97"/>
      <c r="I104" s="155" t="s">
        <v>42</v>
      </c>
      <c r="J104" s="164"/>
      <c r="K104" s="117"/>
      <c r="L104" s="97"/>
      <c r="M104" s="128"/>
      <c r="N104" s="126"/>
      <c r="O104" s="97"/>
      <c r="P104" s="97"/>
      <c r="Q104" s="97"/>
      <c r="R104" s="97"/>
      <c r="S104" s="97"/>
      <c r="T104" s="53" t="s">
        <v>1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75"/>
      <c r="AN104" s="68"/>
      <c r="AO104" s="68"/>
      <c r="AP104" s="68"/>
    </row>
    <row r="105" spans="1:42" x14ac:dyDescent="0.35">
      <c r="A105" s="97"/>
      <c r="B105" s="97"/>
      <c r="C105" s="97"/>
      <c r="D105" s="97"/>
      <c r="E105" s="121"/>
      <c r="F105" s="97"/>
      <c r="G105" s="97"/>
      <c r="H105" s="97"/>
      <c r="I105" s="97"/>
      <c r="J105" s="97"/>
      <c r="K105" s="117"/>
      <c r="L105" s="97"/>
      <c r="M105" s="128"/>
      <c r="N105" s="126"/>
      <c r="O105" s="97"/>
      <c r="P105" s="97"/>
      <c r="Q105" s="97"/>
      <c r="R105" s="97"/>
      <c r="S105" s="97"/>
      <c r="T105" s="2"/>
      <c r="AM105" s="68"/>
      <c r="AN105" s="68"/>
      <c r="AO105" s="68"/>
      <c r="AP105" s="68"/>
    </row>
    <row r="106" spans="1:42" x14ac:dyDescent="0.35">
      <c r="A106" s="97"/>
      <c r="B106" s="97"/>
      <c r="C106" s="97"/>
      <c r="D106" s="97"/>
      <c r="E106" s="121"/>
      <c r="F106" s="97"/>
      <c r="G106" s="97"/>
      <c r="H106" s="97"/>
      <c r="I106" s="120" t="s">
        <v>31</v>
      </c>
      <c r="J106" s="122">
        <v>0.25</v>
      </c>
      <c r="K106" s="120" t="s">
        <v>30</v>
      </c>
      <c r="L106" s="122">
        <v>0.5</v>
      </c>
      <c r="M106" s="128">
        <f>1-EXP(-N106*$E$2)</f>
        <v>0.5414284266429088</v>
      </c>
      <c r="N106" s="126">
        <f>AQ124</f>
        <v>23.389166885443927</v>
      </c>
      <c r="O106" s="97"/>
      <c r="P106" s="97"/>
      <c r="Q106" s="97"/>
      <c r="R106" s="97"/>
      <c r="S106" s="97"/>
      <c r="T106" s="3"/>
      <c r="X106" s="4" t="s">
        <v>2</v>
      </c>
      <c r="Y106" s="5"/>
      <c r="Z106" s="5"/>
      <c r="AA106" s="5"/>
      <c r="AB106" s="5"/>
      <c r="AC106" s="5"/>
      <c r="AD106" s="6">
        <v>2</v>
      </c>
      <c r="AE106" s="7" t="s">
        <v>3</v>
      </c>
      <c r="AM106" s="75"/>
      <c r="AN106" s="68"/>
      <c r="AO106" s="68"/>
      <c r="AP106" s="68"/>
    </row>
    <row r="107" spans="1:42" x14ac:dyDescent="0.35">
      <c r="A107" s="97"/>
      <c r="B107" s="97"/>
      <c r="C107" s="97"/>
      <c r="D107" s="97"/>
      <c r="E107" s="121"/>
      <c r="F107" s="97"/>
      <c r="G107" s="97"/>
      <c r="H107" s="97"/>
      <c r="I107" s="117">
        <f>M103*L103+M106*L106+M109*L109</f>
        <v>0.48906855265049931</v>
      </c>
      <c r="J107" s="97"/>
      <c r="K107" s="117"/>
      <c r="L107" s="97"/>
      <c r="M107" s="128"/>
      <c r="N107" s="126"/>
      <c r="O107" s="97"/>
      <c r="P107" s="97"/>
      <c r="Q107" s="97"/>
      <c r="R107" s="97"/>
      <c r="S107" s="97"/>
      <c r="X107" s="8" t="s">
        <v>4</v>
      </c>
      <c r="Y107" s="9"/>
      <c r="Z107" s="9"/>
      <c r="AA107" s="9"/>
      <c r="AB107" s="9"/>
      <c r="AC107" s="9"/>
      <c r="AD107" s="10" t="str">
        <f>INDEX(Y110:Y113,AD106)</f>
        <v>No Partnership / Expansion</v>
      </c>
      <c r="AE107" s="7" t="s">
        <v>5</v>
      </c>
      <c r="AM107" s="68"/>
      <c r="AN107" s="68"/>
      <c r="AO107" s="68"/>
      <c r="AP107" s="68"/>
    </row>
    <row r="108" spans="1:42" x14ac:dyDescent="0.35">
      <c r="A108" s="97"/>
      <c r="B108" s="97"/>
      <c r="C108" s="97"/>
      <c r="D108" s="97"/>
      <c r="E108" s="121"/>
      <c r="F108" s="97"/>
      <c r="G108" s="97"/>
      <c r="H108" s="97"/>
      <c r="I108" s="117"/>
      <c r="J108" s="97"/>
      <c r="K108" s="123"/>
      <c r="L108" s="97"/>
      <c r="M108" s="128"/>
      <c r="N108" s="126"/>
      <c r="O108" s="97"/>
      <c r="P108" s="97"/>
      <c r="Q108" s="97"/>
      <c r="R108" s="97"/>
      <c r="S108" s="97"/>
      <c r="AM108" s="68"/>
      <c r="AN108" s="68"/>
      <c r="AO108" s="68"/>
      <c r="AP108" s="68"/>
    </row>
    <row r="109" spans="1:42" x14ac:dyDescent="0.35">
      <c r="A109" s="97"/>
      <c r="B109" s="97"/>
      <c r="C109" s="97"/>
      <c r="D109" s="97"/>
      <c r="E109" s="121"/>
      <c r="F109" s="97"/>
      <c r="G109" s="97"/>
      <c r="H109" s="97"/>
      <c r="I109" s="117"/>
      <c r="J109" s="97"/>
      <c r="K109" s="122" t="s">
        <v>29</v>
      </c>
      <c r="L109" s="122">
        <v>0.25</v>
      </c>
      <c r="M109" s="128">
        <f>1-EXP(-N109*$E$2)</f>
        <v>4.0863495057673949E-2</v>
      </c>
      <c r="N109" s="126">
        <f>AP124</f>
        <v>1.2516561992447492</v>
      </c>
      <c r="O109" s="97"/>
      <c r="P109" s="97"/>
      <c r="Q109" s="97"/>
      <c r="R109" s="97"/>
      <c r="S109" s="97"/>
      <c r="X109" t="s">
        <v>6</v>
      </c>
      <c r="AM109" s="75"/>
      <c r="AN109" s="68"/>
      <c r="AO109" s="68"/>
      <c r="AP109" s="68"/>
    </row>
    <row r="110" spans="1:42" x14ac:dyDescent="0.35">
      <c r="A110" s="97"/>
      <c r="B110" s="97"/>
      <c r="C110" s="97"/>
      <c r="D110" s="97"/>
      <c r="E110" s="121"/>
      <c r="F110" s="97"/>
      <c r="G110" s="97"/>
      <c r="H110" s="97"/>
      <c r="I110" s="117"/>
      <c r="J110" s="97"/>
      <c r="K110" s="97"/>
      <c r="L110" s="97"/>
      <c r="M110" s="128"/>
      <c r="N110" s="126"/>
      <c r="O110" s="97"/>
      <c r="P110" s="97"/>
      <c r="Q110" s="97"/>
      <c r="R110" s="97"/>
      <c r="S110" s="97"/>
      <c r="X110">
        <v>1</v>
      </c>
      <c r="Y110" s="37" t="s">
        <v>7</v>
      </c>
      <c r="AM110" s="75"/>
      <c r="AN110" s="68"/>
      <c r="AO110" s="68"/>
      <c r="AP110" s="68"/>
    </row>
    <row r="111" spans="1:42" x14ac:dyDescent="0.35">
      <c r="A111" s="97"/>
      <c r="B111" s="97"/>
      <c r="C111" s="97"/>
      <c r="D111" s="97"/>
      <c r="E111" s="121"/>
      <c r="F111" s="97"/>
      <c r="G111" s="97"/>
      <c r="H111" s="97"/>
      <c r="I111" s="117"/>
      <c r="J111" s="97"/>
      <c r="K111" s="155" t="s">
        <v>33</v>
      </c>
      <c r="L111" s="155"/>
      <c r="M111" s="128"/>
      <c r="N111" s="126"/>
      <c r="O111" s="97"/>
      <c r="P111" s="97"/>
      <c r="Q111" s="97"/>
      <c r="R111" s="97"/>
      <c r="S111" s="97"/>
      <c r="X111">
        <v>2</v>
      </c>
      <c r="Y111" s="37" t="s">
        <v>8</v>
      </c>
      <c r="AF111" s="11"/>
      <c r="AM111" s="75"/>
      <c r="AN111" s="68"/>
      <c r="AO111" s="68"/>
      <c r="AP111" s="68"/>
    </row>
    <row r="112" spans="1:42" x14ac:dyDescent="0.35">
      <c r="A112" s="97"/>
      <c r="B112" s="97"/>
      <c r="C112" s="97"/>
      <c r="D112" s="97"/>
      <c r="E112" s="121"/>
      <c r="F112" s="97"/>
      <c r="G112" s="97"/>
      <c r="H112" s="97"/>
      <c r="I112" s="117"/>
      <c r="J112" s="97"/>
      <c r="K112" s="97"/>
      <c r="L112" s="97"/>
      <c r="M112" s="128"/>
      <c r="N112" s="126"/>
      <c r="O112" s="97"/>
      <c r="P112" s="97"/>
      <c r="Q112" s="97"/>
      <c r="R112" s="97"/>
      <c r="S112" s="97"/>
      <c r="X112">
        <v>3</v>
      </c>
      <c r="Y112" s="37" t="s">
        <v>9</v>
      </c>
      <c r="AF112" s="11"/>
      <c r="AM112" s="75"/>
      <c r="AN112" s="68"/>
      <c r="AO112" s="68"/>
      <c r="AP112" s="68"/>
    </row>
    <row r="113" spans="1:49" x14ac:dyDescent="0.35">
      <c r="A113" s="97"/>
      <c r="B113" s="97"/>
      <c r="C113" s="97"/>
      <c r="D113" s="97"/>
      <c r="E113" s="121"/>
      <c r="F113" s="97"/>
      <c r="G113" s="97"/>
      <c r="H113" s="97"/>
      <c r="I113" s="117"/>
      <c r="J113" s="97"/>
      <c r="K113" s="120" t="s">
        <v>31</v>
      </c>
      <c r="L113" s="122">
        <v>0.25</v>
      </c>
      <c r="M113" s="128">
        <f>1-EXP(-N113*$E$2)</f>
        <v>0.63175188324477016</v>
      </c>
      <c r="N113" s="126">
        <f>AR123</f>
        <v>29.969950130736763</v>
      </c>
      <c r="O113" s="97"/>
      <c r="P113" s="97"/>
      <c r="Q113" s="97"/>
      <c r="R113" s="97"/>
      <c r="S113" s="97"/>
      <c r="X113">
        <v>4</v>
      </c>
      <c r="Y113" s="37" t="s">
        <v>10</v>
      </c>
      <c r="AM113" s="68"/>
      <c r="AN113" s="68"/>
      <c r="AO113" s="68"/>
      <c r="AP113" s="68"/>
    </row>
    <row r="114" spans="1:49" ht="13.15" thickBot="1" x14ac:dyDescent="0.4">
      <c r="A114" s="97"/>
      <c r="B114" s="97"/>
      <c r="C114" s="97"/>
      <c r="D114" s="97"/>
      <c r="E114" s="121"/>
      <c r="F114" s="97"/>
      <c r="G114" s="97"/>
      <c r="H114" s="97"/>
      <c r="I114" s="117"/>
      <c r="J114" s="97"/>
      <c r="K114" s="117"/>
      <c r="L114" s="97"/>
      <c r="M114" s="128"/>
      <c r="N114" s="126"/>
      <c r="O114" s="97"/>
      <c r="P114" s="97"/>
      <c r="Q114" s="97"/>
      <c r="R114" s="97"/>
      <c r="S114" s="97"/>
      <c r="AM114" s="75"/>
      <c r="AN114" s="68"/>
      <c r="AO114" s="68"/>
      <c r="AP114" s="68"/>
    </row>
    <row r="115" spans="1:49" ht="15.4" x14ac:dyDescent="0.45">
      <c r="A115" s="97"/>
      <c r="B115" s="97"/>
      <c r="C115" s="97"/>
      <c r="D115" s="97"/>
      <c r="E115" s="121"/>
      <c r="F115" s="165" t="s">
        <v>8</v>
      </c>
      <c r="G115" s="156"/>
      <c r="H115" s="157"/>
      <c r="I115" s="117"/>
      <c r="J115" s="97"/>
      <c r="K115" s="117"/>
      <c r="L115" s="97"/>
      <c r="M115" s="128"/>
      <c r="N115" s="126"/>
      <c r="O115" s="97"/>
      <c r="P115" s="97"/>
      <c r="Q115" s="97"/>
      <c r="R115" s="97"/>
      <c r="S115" s="97"/>
      <c r="T115" s="53" t="s">
        <v>11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75"/>
      <c r="AN115" s="68"/>
      <c r="AO115" s="68"/>
      <c r="AP115" s="68"/>
    </row>
    <row r="116" spans="1:49" x14ac:dyDescent="0.35">
      <c r="A116" s="97"/>
      <c r="B116" s="97"/>
      <c r="C116" s="97"/>
      <c r="D116" s="97"/>
      <c r="E116" s="121"/>
      <c r="F116" s="120" t="s">
        <v>84</v>
      </c>
      <c r="G116" s="122">
        <f>J106*I107+J116*I117+J126*I127</f>
        <v>0.18721892933080275</v>
      </c>
      <c r="H116" s="122"/>
      <c r="I116" s="120" t="s">
        <v>30</v>
      </c>
      <c r="J116" s="122">
        <v>0.5</v>
      </c>
      <c r="K116" s="120" t="s">
        <v>30</v>
      </c>
      <c r="L116" s="122">
        <v>0.5</v>
      </c>
      <c r="M116" s="128">
        <f>1-EXP(-N116*$E$2)</f>
        <v>0.30392597338874849</v>
      </c>
      <c r="N116" s="126">
        <f>AQ123</f>
        <v>10.868977926897351</v>
      </c>
      <c r="O116" s="97"/>
      <c r="P116" s="97"/>
      <c r="Q116" s="97"/>
      <c r="R116" s="97"/>
      <c r="S116" s="97"/>
      <c r="AM116" s="68"/>
      <c r="AN116" s="68"/>
      <c r="AO116" s="68"/>
      <c r="AP116" s="68"/>
    </row>
    <row r="117" spans="1:49" ht="15.4" x14ac:dyDescent="0.45">
      <c r="A117" s="97"/>
      <c r="B117" s="97"/>
      <c r="C117" s="97"/>
      <c r="D117" s="97"/>
      <c r="E117" s="121"/>
      <c r="F117" s="97" t="s">
        <v>87</v>
      </c>
      <c r="G117" s="126">
        <f>-LN(-G116+1)/$E$2</f>
        <v>6.2188047440398453</v>
      </c>
      <c r="H117" s="97"/>
      <c r="I117" s="117">
        <f>M113*L113+M116*L116+M119*L119</f>
        <v>0.27924287324036667</v>
      </c>
      <c r="J117" s="97"/>
      <c r="K117" s="117"/>
      <c r="L117" s="97"/>
      <c r="M117" s="128"/>
      <c r="N117" s="126"/>
      <c r="O117" s="97"/>
      <c r="P117" s="97"/>
      <c r="Q117" s="97"/>
      <c r="R117" s="97"/>
      <c r="S117" s="97"/>
      <c r="T117" s="49"/>
      <c r="U117" s="49" t="s">
        <v>12</v>
      </c>
      <c r="V117" s="49"/>
      <c r="W117" s="49"/>
      <c r="X117" s="49"/>
      <c r="Y117" s="49"/>
      <c r="Z117" s="49"/>
      <c r="AA117" s="55" t="s">
        <v>13</v>
      </c>
      <c r="AB117" s="55" t="s">
        <v>14</v>
      </c>
      <c r="AC117" s="56" t="s">
        <v>15</v>
      </c>
      <c r="AD117" s="55"/>
      <c r="AE117" s="55"/>
      <c r="AF117" s="55"/>
      <c r="AG117" s="55"/>
      <c r="AH117" s="55"/>
      <c r="AI117" s="55"/>
      <c r="AJ117" s="55"/>
      <c r="AK117" s="55"/>
      <c r="AL117" s="55"/>
      <c r="AM117" s="75"/>
      <c r="AN117" s="68"/>
      <c r="AO117" s="68"/>
      <c r="AP117" s="68"/>
      <c r="AW117" s="142"/>
    </row>
    <row r="118" spans="1:49" x14ac:dyDescent="0.35">
      <c r="A118" s="97"/>
      <c r="B118" s="97"/>
      <c r="C118" s="97"/>
      <c r="D118" s="97"/>
      <c r="E118" s="121"/>
      <c r="F118" s="97"/>
      <c r="G118" s="97"/>
      <c r="H118" s="97"/>
      <c r="I118" s="117"/>
      <c r="J118" s="97"/>
      <c r="K118" s="123"/>
      <c r="L118" s="97"/>
      <c r="M118" s="128"/>
      <c r="N118" s="126"/>
      <c r="O118" s="97"/>
      <c r="P118" s="97"/>
      <c r="Q118" s="97"/>
      <c r="R118" s="97"/>
      <c r="S118" s="97"/>
      <c r="T118" s="2"/>
      <c r="U118" s="4"/>
      <c r="V118" s="5"/>
      <c r="W118" s="5"/>
      <c r="X118" s="5"/>
      <c r="Y118" s="5"/>
      <c r="Z118" s="5"/>
      <c r="AA118" s="5"/>
      <c r="AB118" s="5"/>
      <c r="AC118" s="15"/>
      <c r="AD118" s="23"/>
      <c r="AE118" s="3"/>
      <c r="AF118" s="3"/>
      <c r="AG118" s="3"/>
      <c r="AH118" s="3"/>
      <c r="AI118" s="3"/>
      <c r="AJ118" s="3"/>
      <c r="AK118" s="3"/>
      <c r="AL118" s="3"/>
      <c r="AM118" s="68"/>
      <c r="AN118" s="68"/>
      <c r="AO118" s="68"/>
      <c r="AP118" s="68"/>
      <c r="AV118" s="143"/>
    </row>
    <row r="119" spans="1:49" x14ac:dyDescent="0.35">
      <c r="A119" s="97"/>
      <c r="B119" s="97"/>
      <c r="C119" s="97"/>
      <c r="D119" s="97"/>
      <c r="E119" s="121"/>
      <c r="F119" s="97"/>
      <c r="G119" s="97"/>
      <c r="H119" s="97"/>
      <c r="I119" s="117"/>
      <c r="J119" s="97"/>
      <c r="K119" s="122" t="s">
        <v>29</v>
      </c>
      <c r="L119" s="122">
        <v>0.25</v>
      </c>
      <c r="M119" s="128">
        <f>1-EXP(-N119*$E$2)</f>
        <v>-0.12263233706080046</v>
      </c>
      <c r="N119" s="126">
        <f>AP123</f>
        <v>-3.4702868585064568</v>
      </c>
      <c r="O119" s="97"/>
      <c r="P119" s="97"/>
      <c r="Q119" s="97"/>
      <c r="R119" s="97"/>
      <c r="S119" s="97"/>
      <c r="T119" s="24" t="s">
        <v>16</v>
      </c>
      <c r="U119" s="16" t="s">
        <v>17</v>
      </c>
      <c r="V119" s="3"/>
      <c r="W119" s="3"/>
      <c r="X119" s="3"/>
      <c r="Y119" s="3"/>
      <c r="Z119" s="3"/>
      <c r="AA119" s="17" t="s">
        <v>18</v>
      </c>
      <c r="AB119" s="27">
        <f>$H$1</f>
        <v>0.08</v>
      </c>
      <c r="AC119" s="25" t="s">
        <v>19</v>
      </c>
      <c r="AF119" s="26"/>
      <c r="AG119" s="26"/>
      <c r="AH119" s="26"/>
      <c r="AI119" s="26"/>
      <c r="AJ119" s="26"/>
      <c r="AK119" s="26"/>
      <c r="AL119" s="3"/>
      <c r="AM119" s="68"/>
      <c r="AN119" s="68"/>
      <c r="AO119" s="68"/>
      <c r="AP119" s="140" t="s">
        <v>33</v>
      </c>
      <c r="AV119" s="143"/>
    </row>
    <row r="120" spans="1:49" ht="15.4" x14ac:dyDescent="0.45">
      <c r="A120" s="97"/>
      <c r="B120" s="97"/>
      <c r="C120" s="97"/>
      <c r="D120" s="97"/>
      <c r="E120" s="121"/>
      <c r="F120" s="97"/>
      <c r="G120" s="97"/>
      <c r="H120" s="97"/>
      <c r="I120" s="117"/>
      <c r="J120" s="97"/>
      <c r="K120" s="97"/>
      <c r="L120" s="97"/>
      <c r="M120" s="128"/>
      <c r="N120" s="126"/>
      <c r="O120" s="97"/>
      <c r="P120" s="97"/>
      <c r="Q120" s="97"/>
      <c r="R120" s="97"/>
      <c r="S120" s="97"/>
      <c r="T120" s="24" t="s">
        <v>16</v>
      </c>
      <c r="U120" s="16" t="s">
        <v>20</v>
      </c>
      <c r="V120" s="3"/>
      <c r="W120" s="3"/>
      <c r="X120" s="3"/>
      <c r="Y120" s="3"/>
      <c r="Z120" s="3"/>
      <c r="AA120" s="17" t="s">
        <v>18</v>
      </c>
      <c r="AB120" s="91">
        <f>$H$2</f>
        <v>0.38</v>
      </c>
      <c r="AC120" s="25" t="s">
        <v>21</v>
      </c>
      <c r="AF120" s="26"/>
      <c r="AG120" s="26"/>
      <c r="AH120" s="26"/>
      <c r="AI120" s="26"/>
      <c r="AJ120" s="26"/>
      <c r="AK120" s="26"/>
      <c r="AL120" s="3"/>
      <c r="AM120" s="68"/>
      <c r="AN120" s="68"/>
      <c r="AO120" s="68"/>
      <c r="AP120" s="55" t="s">
        <v>29</v>
      </c>
      <c r="AQ120" s="55" t="s">
        <v>30</v>
      </c>
      <c r="AR120" s="55" t="s">
        <v>31</v>
      </c>
      <c r="AV120" s="143"/>
    </row>
    <row r="121" spans="1:49" x14ac:dyDescent="0.35">
      <c r="A121" s="97"/>
      <c r="B121" s="97"/>
      <c r="C121" s="97"/>
      <c r="D121" s="97"/>
      <c r="E121" s="121"/>
      <c r="F121" s="97"/>
      <c r="G121" s="97"/>
      <c r="H121" s="97"/>
      <c r="I121" s="117"/>
      <c r="J121" s="97"/>
      <c r="K121" s="155" t="s">
        <v>33</v>
      </c>
      <c r="L121" s="155"/>
      <c r="M121" s="128"/>
      <c r="N121" s="126"/>
      <c r="O121" s="97"/>
      <c r="P121" s="97"/>
      <c r="Q121" s="97"/>
      <c r="R121" s="97"/>
      <c r="S121" s="97"/>
      <c r="T121" s="24"/>
      <c r="U121" s="16" t="s">
        <v>22</v>
      </c>
      <c r="V121" s="3"/>
      <c r="W121" s="3"/>
      <c r="X121" s="3"/>
      <c r="Y121" s="3"/>
      <c r="Z121" s="3"/>
      <c r="AA121" s="17" t="s">
        <v>18</v>
      </c>
      <c r="AB121" s="91">
        <v>0.6</v>
      </c>
      <c r="AC121" s="25" t="s">
        <v>23</v>
      </c>
      <c r="AF121" s="26"/>
      <c r="AG121" s="26"/>
      <c r="AH121" s="26"/>
      <c r="AI121" s="26"/>
      <c r="AJ121" s="26"/>
      <c r="AK121" s="26"/>
      <c r="AL121" s="3"/>
      <c r="AM121" s="78"/>
      <c r="AN121" s="68"/>
      <c r="AO121" s="141">
        <f>AA174</f>
        <v>10.868977926897351</v>
      </c>
      <c r="AP121" s="150">
        <v>0.95</v>
      </c>
      <c r="AQ121" s="150">
        <v>2.75</v>
      </c>
      <c r="AR121" s="150">
        <v>5.4</v>
      </c>
      <c r="AV121" s="143"/>
    </row>
    <row r="122" spans="1:49" ht="15.4" x14ac:dyDescent="0.45">
      <c r="A122" s="97"/>
      <c r="B122" s="97"/>
      <c r="C122" s="97"/>
      <c r="D122" s="97"/>
      <c r="E122" s="121"/>
      <c r="F122" s="97"/>
      <c r="G122" s="97"/>
      <c r="H122" s="97"/>
      <c r="I122" s="117"/>
      <c r="J122" s="97"/>
      <c r="K122" s="97"/>
      <c r="L122" s="97"/>
      <c r="M122" s="128"/>
      <c r="N122" s="126"/>
      <c r="O122" s="97"/>
      <c r="P122" s="97"/>
      <c r="Q122" s="97"/>
      <c r="R122" s="97"/>
      <c r="S122" s="97"/>
      <c r="T122" s="24"/>
      <c r="U122" s="16" t="s">
        <v>24</v>
      </c>
      <c r="V122" s="3"/>
      <c r="W122" s="3"/>
      <c r="X122" s="3"/>
      <c r="Y122" s="3"/>
      <c r="Z122" s="3"/>
      <c r="AA122" s="17" t="s">
        <v>18</v>
      </c>
      <c r="AB122" s="28">
        <f>$H$3</f>
        <v>0.98</v>
      </c>
      <c r="AC122" s="25" t="s">
        <v>25</v>
      </c>
      <c r="AF122" s="40"/>
      <c r="AG122" s="40"/>
      <c r="AH122" s="40"/>
      <c r="AI122" s="40"/>
      <c r="AJ122" s="40"/>
      <c r="AK122" s="40"/>
      <c r="AL122" s="3"/>
      <c r="AM122" s="139" t="s">
        <v>42</v>
      </c>
      <c r="AN122" s="55" t="s">
        <v>29</v>
      </c>
      <c r="AO122" s="85">
        <v>9.75</v>
      </c>
      <c r="AP122" s="68">
        <f t="dataTable" ref="AP122:AR124" dt2D="1" dtr="1" r1="AD132" r2="AD136"/>
        <v>-12.221554073539643</v>
      </c>
      <c r="AQ122">
        <v>-7.9044986339305341</v>
      </c>
      <c r="AR122">
        <v>-2.5556032253308487</v>
      </c>
      <c r="AV122" s="143"/>
    </row>
    <row r="123" spans="1:49" ht="15.4" x14ac:dyDescent="0.45">
      <c r="A123" s="97"/>
      <c r="B123" s="97"/>
      <c r="C123" s="97"/>
      <c r="D123" s="97"/>
      <c r="E123" s="121"/>
      <c r="F123" s="97"/>
      <c r="G123" s="97"/>
      <c r="H123" s="97"/>
      <c r="I123" s="117"/>
      <c r="J123" s="97"/>
      <c r="K123" s="120" t="s">
        <v>31</v>
      </c>
      <c r="L123" s="122">
        <v>0.25</v>
      </c>
      <c r="M123" s="128">
        <f>1-EXP(-N123*$E$2)</f>
        <v>-8.8920429924182143E-2</v>
      </c>
      <c r="N123" s="126">
        <f>AR122</f>
        <v>-2.5556032253308487</v>
      </c>
      <c r="O123" s="97"/>
      <c r="P123" s="97"/>
      <c r="Q123" s="97"/>
      <c r="R123" s="97"/>
      <c r="S123" s="97"/>
      <c r="T123" s="24"/>
      <c r="U123" s="16"/>
      <c r="V123" s="3"/>
      <c r="W123" s="3"/>
      <c r="X123" s="3"/>
      <c r="Y123" s="3"/>
      <c r="Z123" s="3"/>
      <c r="AA123" s="17"/>
      <c r="AB123" s="40"/>
      <c r="AC123" s="25"/>
      <c r="AF123" s="40"/>
      <c r="AG123" s="40"/>
      <c r="AH123" s="40"/>
      <c r="AI123" s="40"/>
      <c r="AJ123" s="40"/>
      <c r="AK123" s="40"/>
      <c r="AL123" s="3"/>
      <c r="AM123" s="75"/>
      <c r="AN123" s="55" t="s">
        <v>30</v>
      </c>
      <c r="AO123" s="86">
        <v>10.75</v>
      </c>
      <c r="AP123" s="68">
        <v>-3.4702868585064568</v>
      </c>
      <c r="AQ123">
        <v>10.868977926897351</v>
      </c>
      <c r="AR123">
        <v>29.969950130736763</v>
      </c>
      <c r="AV123" s="143"/>
    </row>
    <row r="124" spans="1:49" ht="15.4" x14ac:dyDescent="0.45">
      <c r="A124" s="97"/>
      <c r="B124" s="97"/>
      <c r="C124" s="97"/>
      <c r="D124" s="97"/>
      <c r="E124" s="121"/>
      <c r="F124" s="97"/>
      <c r="G124" s="97"/>
      <c r="H124" s="97"/>
      <c r="I124" s="117"/>
      <c r="J124" s="97"/>
      <c r="K124" s="117"/>
      <c r="L124" s="97"/>
      <c r="M124" s="128"/>
      <c r="N124" s="126"/>
      <c r="O124" s="97"/>
      <c r="P124" s="97"/>
      <c r="Q124" s="97"/>
      <c r="R124" s="97"/>
      <c r="S124" s="97"/>
      <c r="T124" s="24"/>
      <c r="U124" s="16"/>
      <c r="V124" s="3"/>
      <c r="W124" s="3"/>
      <c r="X124" s="3"/>
      <c r="Y124" s="3"/>
      <c r="Z124" s="3"/>
      <c r="AA124" s="17"/>
      <c r="AB124" s="39"/>
      <c r="AC124" s="25"/>
      <c r="AF124" s="39"/>
      <c r="AG124" s="39"/>
      <c r="AH124" s="39"/>
      <c r="AI124" s="39"/>
      <c r="AJ124" s="39"/>
      <c r="AK124" s="39"/>
      <c r="AL124" s="3"/>
      <c r="AM124" s="75"/>
      <c r="AN124" s="55" t="s">
        <v>31</v>
      </c>
      <c r="AO124" s="87">
        <v>11.5</v>
      </c>
      <c r="AP124" s="68">
        <v>1.2516561992447492</v>
      </c>
      <c r="AQ124">
        <v>23.389166885443927</v>
      </c>
      <c r="AR124">
        <v>53.612806354583483</v>
      </c>
      <c r="AV124" s="143"/>
    </row>
    <row r="125" spans="1:49" x14ac:dyDescent="0.35">
      <c r="A125" s="97"/>
      <c r="B125" s="97"/>
      <c r="C125" s="97"/>
      <c r="D125" s="97"/>
      <c r="E125" s="121"/>
      <c r="F125" s="97"/>
      <c r="G125" s="97"/>
      <c r="H125" s="97"/>
      <c r="I125" s="123"/>
      <c r="J125" s="97"/>
      <c r="K125" s="117"/>
      <c r="L125" s="97"/>
      <c r="M125" s="128"/>
      <c r="N125" s="126"/>
      <c r="O125" s="97"/>
      <c r="P125" s="97"/>
      <c r="Q125" s="97"/>
      <c r="R125" s="97"/>
      <c r="S125" s="97"/>
      <c r="T125" s="24"/>
      <c r="U125" s="16"/>
      <c r="V125" s="3"/>
      <c r="W125" s="3"/>
      <c r="X125" s="3"/>
      <c r="Y125" s="3"/>
      <c r="Z125" s="3"/>
      <c r="AA125" s="17"/>
      <c r="AB125" s="39"/>
      <c r="AC125" s="25"/>
      <c r="AF125" s="39"/>
      <c r="AG125" s="39"/>
      <c r="AH125" s="39"/>
      <c r="AI125" s="39"/>
      <c r="AJ125" s="39"/>
      <c r="AK125" s="39"/>
      <c r="AL125" s="3"/>
      <c r="AM125" s="75"/>
      <c r="AN125" s="68"/>
      <c r="AO125" s="68"/>
      <c r="AP125" s="68"/>
      <c r="AV125" s="143"/>
    </row>
    <row r="126" spans="1:49" x14ac:dyDescent="0.35">
      <c r="A126" s="97"/>
      <c r="B126" s="97"/>
      <c r="C126" s="97"/>
      <c r="D126" s="97"/>
      <c r="E126" s="121"/>
      <c r="F126" s="97"/>
      <c r="G126" s="97"/>
      <c r="H126" s="97"/>
      <c r="I126" s="122" t="s">
        <v>29</v>
      </c>
      <c r="J126" s="122">
        <v>0.25</v>
      </c>
      <c r="K126" s="120" t="s">
        <v>30</v>
      </c>
      <c r="L126" s="122">
        <v>0.5</v>
      </c>
      <c r="M126" s="128">
        <f>1-EXP(-N126*$E$2)</f>
        <v>-0.30145554457153056</v>
      </c>
      <c r="N126" s="126">
        <f>AQ122</f>
        <v>-7.9044986339305341</v>
      </c>
      <c r="O126" s="97"/>
      <c r="P126" s="97"/>
      <c r="Q126" s="97"/>
      <c r="R126" s="97"/>
      <c r="S126" s="97"/>
      <c r="T126" s="24" t="s">
        <v>16</v>
      </c>
      <c r="U126" s="18"/>
      <c r="V126" s="19"/>
      <c r="W126" s="19"/>
      <c r="X126" s="19"/>
      <c r="Y126" s="19"/>
      <c r="Z126" s="19"/>
      <c r="AA126" s="19"/>
      <c r="AB126" s="19"/>
      <c r="AC126" s="59"/>
      <c r="AD126" s="23"/>
      <c r="AE126" s="3"/>
      <c r="AF126" s="3"/>
      <c r="AG126" s="3"/>
      <c r="AH126" s="3"/>
      <c r="AI126" s="3"/>
      <c r="AJ126" s="3"/>
      <c r="AK126" s="3"/>
      <c r="AL126" s="3"/>
      <c r="AM126" s="75"/>
      <c r="AN126" s="68"/>
      <c r="AO126" s="68"/>
      <c r="AP126" s="68"/>
      <c r="AV126" s="143"/>
    </row>
    <row r="127" spans="1:49" ht="13.15" thickBot="1" x14ac:dyDescent="0.4">
      <c r="A127" s="97"/>
      <c r="B127" s="97"/>
      <c r="C127" s="97"/>
      <c r="D127" s="97"/>
      <c r="E127" s="121"/>
      <c r="F127" s="97"/>
      <c r="G127" s="97"/>
      <c r="H127" s="97"/>
      <c r="I127" s="97">
        <f>M123*L123+M126*L126+M129*L129</f>
        <v>-0.29867858180802148</v>
      </c>
      <c r="J127" s="97"/>
      <c r="K127" s="117"/>
      <c r="L127" s="97"/>
      <c r="M127" s="128"/>
      <c r="N127" s="126"/>
      <c r="O127" s="97"/>
      <c r="P127" s="97"/>
      <c r="Q127" s="97"/>
      <c r="R127" s="97"/>
      <c r="S127" s="97"/>
      <c r="T127" s="24"/>
      <c r="U127" s="3"/>
      <c r="V127" s="3"/>
      <c r="W127" s="3"/>
      <c r="X127" s="3"/>
      <c r="Y127" s="3"/>
      <c r="Z127" s="3"/>
      <c r="AA127" s="3"/>
      <c r="AB127" s="3"/>
      <c r="AD127" s="23"/>
      <c r="AE127" s="3"/>
      <c r="AF127" s="3"/>
      <c r="AG127" s="3"/>
      <c r="AH127" s="3"/>
      <c r="AI127" s="3"/>
      <c r="AJ127" s="3"/>
      <c r="AK127" s="3"/>
      <c r="AL127" s="3"/>
      <c r="AM127" s="75"/>
      <c r="AN127" s="68"/>
      <c r="AO127" s="68"/>
      <c r="AP127" s="68"/>
      <c r="AV127" s="143"/>
    </row>
    <row r="128" spans="1:49" ht="15.4" x14ac:dyDescent="0.45">
      <c r="A128" s="97"/>
      <c r="B128" s="97"/>
      <c r="C128" s="97"/>
      <c r="D128" s="97"/>
      <c r="E128" s="121"/>
      <c r="F128" s="97"/>
      <c r="G128" s="97"/>
      <c r="H128" s="97"/>
      <c r="I128" s="97"/>
      <c r="J128" s="97"/>
      <c r="K128" s="123"/>
      <c r="L128" s="97"/>
      <c r="M128" s="128"/>
      <c r="N128" s="126"/>
      <c r="O128" s="97"/>
      <c r="P128" s="97"/>
      <c r="Q128" s="97"/>
      <c r="R128" s="97"/>
      <c r="S128" s="97"/>
      <c r="T128" s="53" t="s">
        <v>26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75"/>
      <c r="AN128" s="68"/>
      <c r="AO128" s="68"/>
      <c r="AP128" s="68"/>
      <c r="AV128" s="143"/>
    </row>
    <row r="129" spans="1:48" ht="15.4" x14ac:dyDescent="0.45">
      <c r="A129" s="97"/>
      <c r="B129" s="97"/>
      <c r="C129" s="97"/>
      <c r="D129" s="97"/>
      <c r="E129" s="121"/>
      <c r="F129" s="97"/>
      <c r="G129" s="97"/>
      <c r="H129" s="97"/>
      <c r="I129" s="97"/>
      <c r="J129" s="97"/>
      <c r="K129" s="122" t="s">
        <v>29</v>
      </c>
      <c r="L129" s="122">
        <v>0.25</v>
      </c>
      <c r="M129" s="128">
        <f>1-EXP(-N129*$E$2)</f>
        <v>-0.50288280816484265</v>
      </c>
      <c r="N129" s="126">
        <f>AP122</f>
        <v>-12.221554073539643</v>
      </c>
      <c r="O129" s="97"/>
      <c r="P129" s="97"/>
      <c r="Q129" s="97"/>
      <c r="R129" s="97"/>
      <c r="S129" s="97"/>
      <c r="T129" s="54"/>
      <c r="AM129" s="75"/>
      <c r="AN129" s="68"/>
      <c r="AO129" s="68"/>
      <c r="AP129" s="68"/>
      <c r="AV129" s="143"/>
    </row>
    <row r="130" spans="1:48" ht="15.4" x14ac:dyDescent="0.45">
      <c r="A130" s="97"/>
      <c r="B130" s="97"/>
      <c r="C130" s="97"/>
      <c r="D130" s="97"/>
      <c r="E130" s="121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49"/>
      <c r="U130" s="49" t="s">
        <v>12</v>
      </c>
      <c r="V130" s="49"/>
      <c r="W130" s="49"/>
      <c r="X130" s="49"/>
      <c r="Y130" s="49"/>
      <c r="Z130" s="49"/>
      <c r="AA130" s="55" t="s">
        <v>13</v>
      </c>
      <c r="AB130" s="55" t="s">
        <v>27</v>
      </c>
      <c r="AC130" s="56"/>
      <c r="AD130" s="55" t="s">
        <v>28</v>
      </c>
      <c r="AE130" s="55" t="s">
        <v>15</v>
      </c>
      <c r="AF130" s="55" t="s">
        <v>29</v>
      </c>
      <c r="AG130" s="55" t="s">
        <v>30</v>
      </c>
      <c r="AH130" s="55" t="s">
        <v>31</v>
      </c>
      <c r="AI130" s="9"/>
      <c r="AK130" s="55"/>
      <c r="AM130" s="75"/>
      <c r="AN130" s="68"/>
      <c r="AO130" s="68"/>
      <c r="AP130" s="68"/>
      <c r="AV130" s="143"/>
    </row>
    <row r="131" spans="1:48" x14ac:dyDescent="0.35">
      <c r="A131" s="97"/>
      <c r="B131" s="97"/>
      <c r="C131" s="97"/>
      <c r="D131" s="97"/>
      <c r="E131" s="121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24" t="s">
        <v>16</v>
      </c>
      <c r="U131" s="60" t="s">
        <v>32</v>
      </c>
      <c r="V131" s="5"/>
      <c r="W131" s="5"/>
      <c r="X131" s="5"/>
      <c r="Y131" s="5"/>
      <c r="Z131" s="5"/>
      <c r="AA131" s="5"/>
      <c r="AB131" s="5"/>
      <c r="AC131" s="14"/>
      <c r="AD131" s="21"/>
      <c r="AE131" s="5"/>
      <c r="AF131" s="5"/>
      <c r="AG131" s="5"/>
      <c r="AH131" s="5"/>
      <c r="AI131" s="58"/>
      <c r="AK131" s="3"/>
      <c r="AM131" s="75"/>
      <c r="AN131" s="68"/>
      <c r="AO131" s="68"/>
      <c r="AP131" s="68"/>
      <c r="AV131" s="143"/>
    </row>
    <row r="132" spans="1:48" x14ac:dyDescent="0.35">
      <c r="A132" s="97"/>
      <c r="B132" s="97"/>
      <c r="C132" s="97"/>
      <c r="D132" s="97"/>
      <c r="E132" s="121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46" t="s">
        <v>16</v>
      </c>
      <c r="U132" s="140" t="s">
        <v>33</v>
      </c>
      <c r="V132" s="95"/>
      <c r="W132" s="95"/>
      <c r="X132" s="3"/>
      <c r="Y132" s="3"/>
      <c r="Z132" s="3"/>
      <c r="AA132" s="17" t="s">
        <v>34</v>
      </c>
      <c r="AB132" s="44">
        <v>2</v>
      </c>
      <c r="AC132" s="7"/>
      <c r="AD132" s="41">
        <f>INDEX(AF132:AH132,AB132)</f>
        <v>2.75</v>
      </c>
      <c r="AE132" s="7" t="s">
        <v>35</v>
      </c>
      <c r="AF132" s="150">
        <v>0.95</v>
      </c>
      <c r="AG132" s="150">
        <v>2.75</v>
      </c>
      <c r="AH132" s="150">
        <v>5.4</v>
      </c>
      <c r="AI132" s="58"/>
      <c r="AK132" s="42"/>
      <c r="AM132" s="75"/>
      <c r="AN132" s="68"/>
      <c r="AO132" s="68"/>
      <c r="AP132" s="68"/>
      <c r="AV132" s="143"/>
    </row>
    <row r="133" spans="1:48" x14ac:dyDescent="0.35">
      <c r="A133" s="97"/>
      <c r="B133" s="97"/>
      <c r="C133" s="97"/>
      <c r="D133" s="97"/>
      <c r="E133" s="121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46" t="s">
        <v>16</v>
      </c>
      <c r="U133" s="43" t="s">
        <v>36</v>
      </c>
      <c r="V133" s="95"/>
      <c r="W133" s="95"/>
      <c r="X133" s="3"/>
      <c r="Y133" s="3"/>
      <c r="Z133" s="3"/>
      <c r="AA133" s="17" t="s">
        <v>34</v>
      </c>
      <c r="AB133" s="44">
        <v>2</v>
      </c>
      <c r="AC133" s="7"/>
      <c r="AD133" s="41">
        <f>INDEX(AF133:AH133,AB133)</f>
        <v>1.6</v>
      </c>
      <c r="AE133" s="7" t="s">
        <v>37</v>
      </c>
      <c r="AF133" s="62">
        <v>1.3</v>
      </c>
      <c r="AG133" s="63">
        <v>1.6</v>
      </c>
      <c r="AH133" s="64">
        <v>1.8</v>
      </c>
      <c r="AI133" s="58"/>
      <c r="AK133" s="3"/>
      <c r="AM133" s="68"/>
      <c r="AN133" s="68"/>
      <c r="AO133" s="68"/>
      <c r="AP133" s="68"/>
      <c r="AV133" s="143"/>
    </row>
    <row r="134" spans="1:48" x14ac:dyDescent="0.35">
      <c r="A134" s="97"/>
      <c r="B134" s="97"/>
      <c r="C134" s="97"/>
      <c r="D134" s="97"/>
      <c r="E134" s="121"/>
      <c r="F134" s="97"/>
      <c r="G134" s="97"/>
      <c r="H134" s="97"/>
      <c r="I134" s="97"/>
      <c r="J134" s="97"/>
      <c r="K134" s="97"/>
      <c r="L134" s="97"/>
      <c r="M134" s="97"/>
      <c r="N134" s="97"/>
      <c r="O134" s="127" t="s">
        <v>84</v>
      </c>
      <c r="P134" s="127" t="s">
        <v>88</v>
      </c>
      <c r="Q134" s="97"/>
      <c r="R134" s="97"/>
      <c r="S134" s="97"/>
      <c r="T134" s="24" t="s">
        <v>16</v>
      </c>
      <c r="U134" s="43" t="s">
        <v>38</v>
      </c>
      <c r="V134" s="3"/>
      <c r="X134" s="3"/>
      <c r="Y134" s="3"/>
      <c r="Z134" s="3"/>
      <c r="AA134" s="17" t="s">
        <v>39</v>
      </c>
      <c r="AB134" s="44">
        <v>2</v>
      </c>
      <c r="AC134" s="7"/>
      <c r="AD134" s="84">
        <f>INDEX(AF134:AH134,AB134)</f>
        <v>7.0000000000000007E-2</v>
      </c>
      <c r="AE134" s="7" t="s">
        <v>40</v>
      </c>
      <c r="AF134" s="81">
        <v>-0.05</v>
      </c>
      <c r="AG134" s="82">
        <v>7.0000000000000007E-2</v>
      </c>
      <c r="AH134" s="83">
        <v>0.09</v>
      </c>
      <c r="AI134" s="58"/>
      <c r="AK134" s="47"/>
      <c r="AM134" s="68"/>
      <c r="AN134" s="68"/>
      <c r="AO134" s="68"/>
      <c r="AP134" s="68"/>
      <c r="AV134" s="143"/>
    </row>
    <row r="135" spans="1:48" x14ac:dyDescent="0.35">
      <c r="A135" s="97"/>
      <c r="B135" s="97"/>
      <c r="C135" s="97"/>
      <c r="D135" s="97"/>
      <c r="E135" s="121"/>
      <c r="F135" s="97"/>
      <c r="G135" s="97"/>
      <c r="H135" s="97"/>
      <c r="I135" s="97"/>
      <c r="J135" s="97"/>
      <c r="K135" s="97"/>
      <c r="L135" s="97"/>
      <c r="M135" s="155" t="s">
        <v>42</v>
      </c>
      <c r="N135" s="155"/>
      <c r="O135" s="97"/>
      <c r="P135" s="97"/>
      <c r="Q135" s="97"/>
      <c r="R135" s="97"/>
      <c r="S135" s="97"/>
      <c r="T135" s="24" t="s">
        <v>16</v>
      </c>
      <c r="U135" s="13" t="s">
        <v>41</v>
      </c>
      <c r="W135" s="3"/>
      <c r="X135" s="3"/>
      <c r="Y135" s="3"/>
      <c r="Z135" s="3"/>
      <c r="AA135" s="3"/>
      <c r="AB135" s="132"/>
      <c r="AD135" s="40"/>
      <c r="AE135" s="3"/>
      <c r="AF135" s="26"/>
      <c r="AG135" s="26"/>
      <c r="AH135" s="26"/>
      <c r="AI135" s="58"/>
      <c r="AK135" s="3"/>
      <c r="AM135" s="68"/>
      <c r="AN135" s="68"/>
      <c r="AO135" s="68"/>
      <c r="AP135" s="68"/>
      <c r="AV135" s="143"/>
    </row>
    <row r="136" spans="1:48" x14ac:dyDescent="0.35">
      <c r="A136" s="97"/>
      <c r="B136" s="97"/>
      <c r="C136" s="97"/>
      <c r="D136" s="97"/>
      <c r="E136" s="121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24" t="s">
        <v>16</v>
      </c>
      <c r="U136" s="139" t="s">
        <v>42</v>
      </c>
      <c r="V136" s="3"/>
      <c r="W136" s="3"/>
      <c r="X136" s="3"/>
      <c r="Y136" s="3"/>
      <c r="Z136" s="3"/>
      <c r="AA136" s="17" t="s">
        <v>43</v>
      </c>
      <c r="AB136" s="44">
        <v>2</v>
      </c>
      <c r="AD136" s="84">
        <f>INDEX(AF136:AH136,AB136)</f>
        <v>10.75</v>
      </c>
      <c r="AE136" s="7" t="s">
        <v>44</v>
      </c>
      <c r="AF136" s="85">
        <v>9.75</v>
      </c>
      <c r="AG136" s="86">
        <v>10.75</v>
      </c>
      <c r="AH136" s="87">
        <v>11.5</v>
      </c>
      <c r="AI136" s="58"/>
      <c r="AM136" s="68"/>
      <c r="AN136" s="68"/>
      <c r="AO136" s="68"/>
      <c r="AP136" s="68"/>
      <c r="AV136" s="143"/>
    </row>
    <row r="137" spans="1:48" x14ac:dyDescent="0.35">
      <c r="A137" s="97"/>
      <c r="B137" s="97"/>
      <c r="C137" s="97"/>
      <c r="D137" s="97"/>
      <c r="E137" s="121"/>
      <c r="F137" s="97"/>
      <c r="G137" s="97"/>
      <c r="H137" s="97"/>
      <c r="I137" s="97"/>
      <c r="J137" s="97"/>
      <c r="K137" s="97"/>
      <c r="L137" s="97"/>
      <c r="M137" s="120" t="s">
        <v>31</v>
      </c>
      <c r="N137" s="122">
        <v>0.25</v>
      </c>
      <c r="O137" s="128">
        <f>1-EXP(-P137*$E$2)</f>
        <v>0.63883823351259683</v>
      </c>
      <c r="P137" s="126">
        <f>AK197</f>
        <v>30.552879432172091</v>
      </c>
      <c r="Q137" s="97"/>
      <c r="R137" s="97"/>
      <c r="S137" s="97"/>
      <c r="T137" s="24" t="s">
        <v>16</v>
      </c>
      <c r="U137" s="16" t="s">
        <v>45</v>
      </c>
      <c r="W137" s="3"/>
      <c r="X137" s="3"/>
      <c r="Y137" s="3"/>
      <c r="Z137" s="3"/>
      <c r="AA137" s="17" t="s">
        <v>43</v>
      </c>
      <c r="AB137" s="44">
        <v>2</v>
      </c>
      <c r="AC137" s="7"/>
      <c r="AD137" s="41">
        <f>INDEX(AF137:AH137,AB137)</f>
        <v>9.5</v>
      </c>
      <c r="AE137" s="7" t="s">
        <v>46</v>
      </c>
      <c r="AF137" s="85">
        <v>9.25</v>
      </c>
      <c r="AG137" s="86">
        <v>9.5</v>
      </c>
      <c r="AH137" s="87">
        <v>9.75</v>
      </c>
      <c r="AI137" s="58"/>
      <c r="AM137" s="78"/>
      <c r="AN137" s="68"/>
      <c r="AO137" s="68"/>
      <c r="AP137" s="68"/>
      <c r="AV137" s="143"/>
    </row>
    <row r="138" spans="1:48" x14ac:dyDescent="0.35">
      <c r="A138" s="97"/>
      <c r="B138" s="97"/>
      <c r="C138" s="97"/>
      <c r="D138" s="97"/>
      <c r="E138" s="121"/>
      <c r="F138" s="97"/>
      <c r="G138" s="97"/>
      <c r="H138" s="97"/>
      <c r="I138" s="97"/>
      <c r="J138" s="97"/>
      <c r="K138" s="155" t="s">
        <v>33</v>
      </c>
      <c r="L138" s="164"/>
      <c r="M138" s="117"/>
      <c r="N138" s="97"/>
      <c r="O138" s="128"/>
      <c r="P138" s="126"/>
      <c r="Q138" s="97"/>
      <c r="R138" s="97"/>
      <c r="S138" s="97"/>
      <c r="T138" s="24"/>
      <c r="U138" s="16" t="s">
        <v>47</v>
      </c>
      <c r="W138" s="3"/>
      <c r="X138" s="3"/>
      <c r="Y138" s="3"/>
      <c r="Z138" s="3"/>
      <c r="AA138" s="17" t="s">
        <v>48</v>
      </c>
      <c r="AB138" s="44">
        <v>2</v>
      </c>
      <c r="AC138" s="7"/>
      <c r="AD138" s="84">
        <f>INDEX(AF138:AH138,AB138)</f>
        <v>14.5</v>
      </c>
      <c r="AE138" s="7" t="s">
        <v>49</v>
      </c>
      <c r="AF138" s="88">
        <v>13</v>
      </c>
      <c r="AG138" s="89">
        <v>14.5</v>
      </c>
      <c r="AH138" s="90">
        <v>17</v>
      </c>
      <c r="AI138" s="58"/>
      <c r="AM138" s="68"/>
      <c r="AN138" s="68"/>
      <c r="AO138" s="68"/>
      <c r="AP138" s="68"/>
      <c r="AV138" s="143"/>
    </row>
    <row r="139" spans="1:48" x14ac:dyDescent="0.35">
      <c r="A139" s="97"/>
      <c r="B139" s="97"/>
      <c r="C139" s="97"/>
      <c r="D139" s="97"/>
      <c r="E139" s="121"/>
      <c r="F139" s="97"/>
      <c r="G139" s="97"/>
      <c r="H139" s="97"/>
      <c r="I139" s="97"/>
      <c r="J139" s="97"/>
      <c r="K139" s="97"/>
      <c r="L139" s="97"/>
      <c r="M139" s="117"/>
      <c r="N139" s="97"/>
      <c r="O139" s="128"/>
      <c r="P139" s="126"/>
      <c r="Q139" s="97"/>
      <c r="R139" s="97"/>
      <c r="S139" s="97"/>
      <c r="U139" s="16"/>
      <c r="AB139" s="66"/>
      <c r="AI139" s="58"/>
      <c r="AM139" s="75"/>
      <c r="AN139" s="68"/>
      <c r="AO139" s="68"/>
      <c r="AP139" s="68"/>
    </row>
    <row r="140" spans="1:48" x14ac:dyDescent="0.35">
      <c r="A140" s="97"/>
      <c r="B140" s="97"/>
      <c r="C140" s="97"/>
      <c r="D140" s="97"/>
      <c r="E140" s="121"/>
      <c r="F140" s="97"/>
      <c r="G140" s="97"/>
      <c r="H140" s="97"/>
      <c r="I140" s="97"/>
      <c r="J140" s="97"/>
      <c r="K140" s="120" t="s">
        <v>31</v>
      </c>
      <c r="L140" s="122">
        <v>0.25</v>
      </c>
      <c r="M140" s="120" t="s">
        <v>30</v>
      </c>
      <c r="N140" s="122">
        <v>0.5</v>
      </c>
      <c r="O140" s="128">
        <f>1-EXP(-P140*$E$2)</f>
        <v>0.47086851360869486</v>
      </c>
      <c r="P140" s="126">
        <f>AK196</f>
        <v>19.09554964510756</v>
      </c>
      <c r="Q140" s="97"/>
      <c r="R140" s="97"/>
      <c r="S140" s="97"/>
      <c r="T140" s="24" t="s">
        <v>16</v>
      </c>
      <c r="U140" s="22"/>
      <c r="V140" s="3"/>
      <c r="W140" s="3"/>
      <c r="X140" s="3"/>
      <c r="Y140" s="3"/>
      <c r="Z140" s="3"/>
      <c r="AB140" s="66"/>
      <c r="AI140" s="58"/>
      <c r="AM140" s="68"/>
      <c r="AN140" s="68"/>
      <c r="AO140" s="68"/>
      <c r="AP140" s="68"/>
    </row>
    <row r="141" spans="1:48" x14ac:dyDescent="0.35">
      <c r="A141" s="97"/>
      <c r="B141" s="97"/>
      <c r="C141" s="97"/>
      <c r="D141" s="97"/>
      <c r="E141" s="121"/>
      <c r="F141" s="97"/>
      <c r="G141" s="97"/>
      <c r="H141" s="97"/>
      <c r="I141" s="97"/>
      <c r="J141" s="97"/>
      <c r="K141" s="117">
        <f>O137*N137+O140*N140+O143*N143</f>
        <v>0.42502724872615916</v>
      </c>
      <c r="L141" s="97"/>
      <c r="M141" s="117"/>
      <c r="N141" s="97"/>
      <c r="O141" s="128"/>
      <c r="P141" s="126"/>
      <c r="Q141" s="97"/>
      <c r="R141" s="97"/>
      <c r="S141" s="97"/>
      <c r="T141" s="46" t="s">
        <v>16</v>
      </c>
      <c r="U141" s="43"/>
      <c r="V141" s="95"/>
      <c r="W141" s="3"/>
      <c r="X141" s="3"/>
      <c r="Y141" s="3"/>
      <c r="Z141" s="3"/>
      <c r="AA141" s="17"/>
      <c r="AB141" s="65"/>
      <c r="AC141" s="7"/>
      <c r="AD141" s="42"/>
      <c r="AE141" s="7"/>
      <c r="AF141" s="42"/>
      <c r="AG141" s="42"/>
      <c r="AH141" s="42"/>
      <c r="AI141" s="58"/>
      <c r="AM141" s="68"/>
      <c r="AN141" s="68"/>
      <c r="AO141" s="68"/>
      <c r="AP141" s="68"/>
    </row>
    <row r="142" spans="1:48" x14ac:dyDescent="0.35">
      <c r="A142" s="97"/>
      <c r="B142" s="97"/>
      <c r="C142" s="97"/>
      <c r="D142" s="97"/>
      <c r="E142" s="121"/>
      <c r="F142" s="97"/>
      <c r="G142" s="97"/>
      <c r="H142" s="97"/>
      <c r="I142" s="97"/>
      <c r="J142" s="97"/>
      <c r="K142" s="117"/>
      <c r="L142" s="97"/>
      <c r="M142" s="123"/>
      <c r="N142" s="97"/>
      <c r="O142" s="128"/>
      <c r="P142" s="126"/>
      <c r="Q142" s="97"/>
      <c r="R142" s="97"/>
      <c r="S142" s="97"/>
      <c r="T142" s="2"/>
      <c r="U142" s="29"/>
      <c r="V142" s="19"/>
      <c r="W142" s="19"/>
      <c r="X142" s="19"/>
      <c r="Y142" s="19"/>
      <c r="Z142" s="19"/>
      <c r="AA142" s="20"/>
      <c r="AB142" s="20"/>
      <c r="AC142" s="9"/>
      <c r="AD142" s="30"/>
      <c r="AE142" s="61"/>
      <c r="AF142" s="30"/>
      <c r="AG142" s="30"/>
      <c r="AH142" s="30"/>
      <c r="AI142" s="59"/>
      <c r="AK142" s="42"/>
      <c r="AM142" s="75"/>
      <c r="AN142" s="68"/>
      <c r="AO142" s="68"/>
      <c r="AP142" s="68"/>
    </row>
    <row r="143" spans="1:48" ht="13.15" thickBot="1" x14ac:dyDescent="0.4">
      <c r="A143" s="97"/>
      <c r="B143" s="97"/>
      <c r="C143" s="97"/>
      <c r="D143" s="97"/>
      <c r="E143" s="121"/>
      <c r="F143" s="97"/>
      <c r="G143" s="97"/>
      <c r="H143" s="97"/>
      <c r="I143" s="97"/>
      <c r="J143" s="97"/>
      <c r="K143" s="117"/>
      <c r="L143" s="97"/>
      <c r="M143" s="122" t="s">
        <v>29</v>
      </c>
      <c r="N143" s="122">
        <v>0.25</v>
      </c>
      <c r="O143" s="128">
        <f>1-EXP(-P143*$E$2)</f>
        <v>0.11953373417465019</v>
      </c>
      <c r="P143" s="126">
        <f>AK195</f>
        <v>3.8191099290215114</v>
      </c>
      <c r="Q143" s="97"/>
      <c r="R143" s="97"/>
      <c r="S143" s="97"/>
      <c r="AM143" s="75"/>
      <c r="AN143" s="68"/>
      <c r="AO143" s="68"/>
      <c r="AP143" s="68"/>
    </row>
    <row r="144" spans="1:48" ht="15.4" x14ac:dyDescent="0.45">
      <c r="A144" s="97"/>
      <c r="B144" s="97"/>
      <c r="C144" s="97"/>
      <c r="D144" s="97"/>
      <c r="E144" s="121"/>
      <c r="F144" s="97"/>
      <c r="G144" s="97"/>
      <c r="H144" s="97"/>
      <c r="I144" s="97"/>
      <c r="J144" s="97"/>
      <c r="K144" s="117"/>
      <c r="L144" s="97"/>
      <c r="M144" s="97"/>
      <c r="N144" s="97"/>
      <c r="O144" s="128"/>
      <c r="P144" s="126"/>
      <c r="Q144" s="97"/>
      <c r="R144" s="97"/>
      <c r="S144" s="97"/>
      <c r="T144" s="53" t="s">
        <v>50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75"/>
      <c r="AN144" s="68"/>
      <c r="AO144" s="68"/>
      <c r="AP144" s="68"/>
    </row>
    <row r="145" spans="1:42" ht="15.4" x14ac:dyDescent="0.45">
      <c r="A145" s="97"/>
      <c r="B145" s="158" t="str">
        <f>_xlfn.XLOOKUP(C146,C7:C10,B7:B10)</f>
        <v>No Partnership / No Expansion</v>
      </c>
      <c r="C145" s="158"/>
      <c r="D145" s="158"/>
      <c r="E145" s="159"/>
      <c r="F145" s="97"/>
      <c r="G145" s="97"/>
      <c r="H145" s="97"/>
      <c r="I145" s="97"/>
      <c r="J145" s="97"/>
      <c r="K145" s="117"/>
      <c r="L145" s="97"/>
      <c r="M145" s="155" t="s">
        <v>42</v>
      </c>
      <c r="N145" s="155"/>
      <c r="O145" s="128"/>
      <c r="P145" s="126"/>
      <c r="Q145" s="97"/>
      <c r="R145" s="97"/>
      <c r="S145" s="97"/>
      <c r="T145" s="54"/>
      <c r="AM145" s="68"/>
      <c r="AN145" s="68"/>
      <c r="AO145" s="68"/>
      <c r="AP145" s="68"/>
    </row>
    <row r="146" spans="1:42" ht="15.4" x14ac:dyDescent="0.45">
      <c r="A146" s="97"/>
      <c r="B146" s="129" t="s">
        <v>89</v>
      </c>
      <c r="C146" s="130">
        <f>MAX(G52,G117,G182,G247)</f>
        <v>10.840479388120144</v>
      </c>
      <c r="D146" s="122"/>
      <c r="E146" s="125"/>
      <c r="F146" s="97"/>
      <c r="G146" s="97"/>
      <c r="H146" s="97"/>
      <c r="I146" s="97"/>
      <c r="J146" s="97"/>
      <c r="K146" s="117"/>
      <c r="L146" s="97"/>
      <c r="M146" s="97"/>
      <c r="N146" s="97"/>
      <c r="O146" s="128"/>
      <c r="P146" s="126"/>
      <c r="Q146" s="97"/>
      <c r="R146" s="97"/>
      <c r="S146" s="97"/>
      <c r="T146" s="54" t="str">
        <f>b</f>
        <v>No Partnership / Expansion</v>
      </c>
      <c r="AM146" s="75"/>
      <c r="AN146" s="68"/>
      <c r="AO146" s="68"/>
      <c r="AP146" s="68"/>
    </row>
    <row r="147" spans="1:42" x14ac:dyDescent="0.35">
      <c r="A147" s="97"/>
      <c r="B147" s="97"/>
      <c r="C147" s="97"/>
      <c r="D147" s="97"/>
      <c r="E147" s="121"/>
      <c r="F147" s="97"/>
      <c r="G147" s="97"/>
      <c r="H147" s="97"/>
      <c r="I147" s="97"/>
      <c r="J147" s="97"/>
      <c r="K147" s="117"/>
      <c r="L147" s="97"/>
      <c r="M147" s="120" t="s">
        <v>31</v>
      </c>
      <c r="N147" s="122">
        <v>0.25</v>
      </c>
      <c r="O147" s="128">
        <f>1-EXP(-P147*$E$2)</f>
        <v>0.52641049639291071</v>
      </c>
      <c r="P147" s="126">
        <f>AJ197</f>
        <v>22.422430759491952</v>
      </c>
      <c r="Q147" s="97"/>
      <c r="R147" s="97"/>
      <c r="S147" s="97"/>
      <c r="T147" s="13"/>
      <c r="AM147" s="68"/>
      <c r="AN147" s="68"/>
      <c r="AO147" s="68"/>
      <c r="AP147" s="68"/>
    </row>
    <row r="148" spans="1:42" ht="15" x14ac:dyDescent="0.4">
      <c r="A148" s="97"/>
      <c r="B148" s="97"/>
      <c r="C148" s="97"/>
      <c r="D148" s="97"/>
      <c r="E148" s="121"/>
      <c r="F148" s="97"/>
      <c r="G148" s="97"/>
      <c r="H148" s="97"/>
      <c r="I148" s="155" t="s">
        <v>38</v>
      </c>
      <c r="J148" s="164"/>
      <c r="K148" s="117"/>
      <c r="L148" s="97"/>
      <c r="M148" s="117"/>
      <c r="N148" s="97"/>
      <c r="O148" s="128"/>
      <c r="P148" s="126"/>
      <c r="Q148" s="97"/>
      <c r="R148" s="97"/>
      <c r="S148" s="97"/>
      <c r="T148" s="51" t="s">
        <v>51</v>
      </c>
      <c r="U148" s="48"/>
      <c r="V148" s="48"/>
      <c r="Z148" s="7"/>
      <c r="AA148" s="52">
        <v>2026</v>
      </c>
      <c r="AB148" s="52">
        <f t="shared" ref="AB148:AJ148" si="45">AA148+1</f>
        <v>2027</v>
      </c>
      <c r="AC148" s="52">
        <f t="shared" si="45"/>
        <v>2028</v>
      </c>
      <c r="AD148" s="52">
        <f t="shared" si="45"/>
        <v>2029</v>
      </c>
      <c r="AE148" s="52">
        <f t="shared" si="45"/>
        <v>2030</v>
      </c>
      <c r="AF148" s="52">
        <f t="shared" si="45"/>
        <v>2031</v>
      </c>
      <c r="AG148" s="52">
        <f t="shared" si="45"/>
        <v>2032</v>
      </c>
      <c r="AH148" s="52">
        <f t="shared" si="45"/>
        <v>2033</v>
      </c>
      <c r="AI148" s="52">
        <f t="shared" si="45"/>
        <v>2034</v>
      </c>
      <c r="AJ148" s="52">
        <f t="shared" si="45"/>
        <v>2035</v>
      </c>
      <c r="AM148" s="68"/>
      <c r="AN148" s="68"/>
      <c r="AO148" s="68"/>
      <c r="AP148" s="68"/>
    </row>
    <row r="149" spans="1:42" ht="15" x14ac:dyDescent="0.4">
      <c r="A149" s="97"/>
      <c r="B149" s="97"/>
      <c r="C149" s="97"/>
      <c r="D149" s="97"/>
      <c r="E149" s="121"/>
      <c r="F149" s="97"/>
      <c r="G149" s="97"/>
      <c r="H149" s="97"/>
      <c r="I149" s="97"/>
      <c r="J149" s="97"/>
      <c r="K149" s="117"/>
      <c r="L149" s="97"/>
      <c r="M149" s="117"/>
      <c r="N149" s="97"/>
      <c r="O149" s="128"/>
      <c r="P149" s="126"/>
      <c r="Q149" s="97"/>
      <c r="R149" s="97"/>
      <c r="S149" s="97"/>
      <c r="T149" s="51" t="s">
        <v>52</v>
      </c>
      <c r="U149" s="48"/>
      <c r="V149" s="48"/>
      <c r="Z149" s="7"/>
      <c r="AA149" s="52">
        <f t="shared" ref="AA149:AJ149" si="46">AA148-$AA$148</f>
        <v>0</v>
      </c>
      <c r="AB149" s="52">
        <f t="shared" si="46"/>
        <v>1</v>
      </c>
      <c r="AC149" s="52">
        <f t="shared" si="46"/>
        <v>2</v>
      </c>
      <c r="AD149" s="52">
        <f t="shared" si="46"/>
        <v>3</v>
      </c>
      <c r="AE149" s="52">
        <f t="shared" si="46"/>
        <v>4</v>
      </c>
      <c r="AF149" s="52">
        <f t="shared" si="46"/>
        <v>5</v>
      </c>
      <c r="AG149" s="52">
        <f t="shared" si="46"/>
        <v>6</v>
      </c>
      <c r="AH149" s="52">
        <f t="shared" si="46"/>
        <v>7</v>
      </c>
      <c r="AI149" s="52">
        <f t="shared" si="46"/>
        <v>8</v>
      </c>
      <c r="AJ149" s="52">
        <f t="shared" si="46"/>
        <v>9</v>
      </c>
      <c r="AM149" s="75"/>
      <c r="AN149" s="68"/>
      <c r="AO149" s="68"/>
      <c r="AP149" s="68"/>
    </row>
    <row r="150" spans="1:42" ht="15.4" x14ac:dyDescent="0.45">
      <c r="A150" s="97"/>
      <c r="B150" s="97"/>
      <c r="C150" s="97"/>
      <c r="D150" s="97"/>
      <c r="E150" s="121"/>
      <c r="F150" s="97"/>
      <c r="G150" s="97"/>
      <c r="H150" s="97"/>
      <c r="I150" s="120" t="s">
        <v>31</v>
      </c>
      <c r="J150" s="122">
        <v>0.25</v>
      </c>
      <c r="K150" s="120" t="s">
        <v>30</v>
      </c>
      <c r="L150" s="122">
        <v>0.5</v>
      </c>
      <c r="M150" s="120" t="s">
        <v>30</v>
      </c>
      <c r="N150" s="122">
        <v>0.5</v>
      </c>
      <c r="O150" s="128">
        <f>1-EXP(-P150*$E$2)</f>
        <v>0.37320388969299334</v>
      </c>
      <c r="P150" s="126">
        <f>AJ196</f>
        <v>14.014019224682471</v>
      </c>
      <c r="Q150" s="97"/>
      <c r="R150" s="97"/>
      <c r="S150" s="97"/>
      <c r="T150" s="49"/>
      <c r="U150" s="48"/>
      <c r="V150" s="48"/>
      <c r="Z150" s="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8"/>
      <c r="AL150" s="68"/>
      <c r="AM150" s="75"/>
      <c r="AN150" s="68"/>
      <c r="AO150" s="68"/>
      <c r="AP150" s="68"/>
    </row>
    <row r="151" spans="1:42" ht="15.4" x14ac:dyDescent="0.45">
      <c r="A151" s="97"/>
      <c r="B151" s="97"/>
      <c r="C151" s="97"/>
      <c r="D151" s="97"/>
      <c r="E151" s="121"/>
      <c r="F151" s="97"/>
      <c r="G151" s="97"/>
      <c r="H151" s="97"/>
      <c r="I151" s="117">
        <f>L140*K141+L150*K151+L160*K161</f>
        <v>0.31181345988493786</v>
      </c>
      <c r="J151" s="97"/>
      <c r="K151" s="117">
        <f>O147*N147+O150*N150+O153*N153</f>
        <v>0.34050339629550863</v>
      </c>
      <c r="L151" s="97"/>
      <c r="M151" s="117"/>
      <c r="N151" s="97"/>
      <c r="O151" s="128"/>
      <c r="P151" s="126"/>
      <c r="Q151" s="97"/>
      <c r="R151" s="97"/>
      <c r="S151" s="97"/>
      <c r="T151" s="49" t="s">
        <v>53</v>
      </c>
      <c r="U151" s="50"/>
      <c r="V151" s="50"/>
      <c r="W151" s="3"/>
      <c r="X151" s="3"/>
      <c r="Y151" s="3"/>
      <c r="Z151" s="3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8"/>
      <c r="AL151" s="68"/>
      <c r="AM151" s="75"/>
      <c r="AN151" s="68"/>
      <c r="AO151" s="68"/>
      <c r="AP151" s="68"/>
    </row>
    <row r="152" spans="1:42" ht="15" x14ac:dyDescent="0.4">
      <c r="A152" s="97"/>
      <c r="B152" s="97"/>
      <c r="C152" s="97"/>
      <c r="D152" s="97"/>
      <c r="E152" s="121"/>
      <c r="F152" s="97"/>
      <c r="G152" s="97"/>
      <c r="H152" s="97"/>
      <c r="I152" s="117"/>
      <c r="J152" s="97"/>
      <c r="K152" s="117"/>
      <c r="L152" s="97"/>
      <c r="M152" s="123"/>
      <c r="N152" s="97"/>
      <c r="O152" s="128"/>
      <c r="P152" s="126"/>
      <c r="Q152" s="97"/>
      <c r="R152" s="97"/>
      <c r="S152" s="97"/>
      <c r="T152" s="48"/>
      <c r="U152" s="48" t="s">
        <v>54</v>
      </c>
      <c r="V152" s="48"/>
      <c r="Z152" s="11" t="s">
        <v>55</v>
      </c>
      <c r="AA152" s="70">
        <f>IF(h&lt;3,g,0)</f>
        <v>2.75</v>
      </c>
      <c r="AB152" s="70">
        <f t="shared" ref="AB152:AJ153" si="47">AA152*(1+$AD$134)</f>
        <v>2.9425000000000003</v>
      </c>
      <c r="AC152" s="70">
        <f t="shared" si="47"/>
        <v>3.1484750000000004</v>
      </c>
      <c r="AD152" s="70">
        <f t="shared" si="47"/>
        <v>3.3688682500000007</v>
      </c>
      <c r="AE152" s="70">
        <f t="shared" si="47"/>
        <v>3.604689027500001</v>
      </c>
      <c r="AF152" s="70">
        <f t="shared" si="47"/>
        <v>3.8570172594250014</v>
      </c>
      <c r="AG152" s="70">
        <f t="shared" si="47"/>
        <v>4.1270084675847514</v>
      </c>
      <c r="AH152" s="70">
        <f t="shared" si="47"/>
        <v>4.4158990603156845</v>
      </c>
      <c r="AI152" s="70">
        <f t="shared" si="47"/>
        <v>4.7250119945377831</v>
      </c>
      <c r="AJ152" s="70">
        <f t="shared" si="47"/>
        <v>5.0557628341554279</v>
      </c>
      <c r="AK152" s="68"/>
      <c r="AL152" s="68"/>
      <c r="AM152" s="75"/>
      <c r="AN152" s="68"/>
      <c r="AO152" s="68"/>
      <c r="AP152" s="68"/>
    </row>
    <row r="153" spans="1:42" ht="15" x14ac:dyDescent="0.4">
      <c r="A153" s="97"/>
      <c r="B153" s="97"/>
      <c r="C153" s="97"/>
      <c r="D153" s="97"/>
      <c r="E153" s="121"/>
      <c r="F153" s="97"/>
      <c r="G153" s="97"/>
      <c r="H153" s="97"/>
      <c r="I153" s="117"/>
      <c r="J153" s="97"/>
      <c r="K153" s="117"/>
      <c r="L153" s="97"/>
      <c r="M153" s="122" t="s">
        <v>29</v>
      </c>
      <c r="N153" s="122">
        <v>0.25</v>
      </c>
      <c r="O153" s="128">
        <f>1-EXP(-P153*$E$2)</f>
        <v>8.9195309403136913E-2</v>
      </c>
      <c r="P153" s="126">
        <f>AJ195</f>
        <v>2.8028038449364923</v>
      </c>
      <c r="Q153" s="97"/>
      <c r="R153" s="97"/>
      <c r="S153" s="97"/>
      <c r="T153" s="48"/>
      <c r="U153" s="48" t="s">
        <v>56</v>
      </c>
      <c r="V153" s="48"/>
      <c r="Z153" s="11" t="s">
        <v>55</v>
      </c>
      <c r="AA153" s="70">
        <f>IF(h&gt;2,g*AD133,0)</f>
        <v>0</v>
      </c>
      <c r="AB153" s="70">
        <f t="shared" si="47"/>
        <v>0</v>
      </c>
      <c r="AC153" s="70">
        <f t="shared" si="47"/>
        <v>0</v>
      </c>
      <c r="AD153" s="70">
        <f t="shared" si="47"/>
        <v>0</v>
      </c>
      <c r="AE153" s="70">
        <f t="shared" si="47"/>
        <v>0</v>
      </c>
      <c r="AF153" s="70">
        <f t="shared" si="47"/>
        <v>0</v>
      </c>
      <c r="AG153" s="70">
        <f t="shared" si="47"/>
        <v>0</v>
      </c>
      <c r="AH153" s="70">
        <f t="shared" si="47"/>
        <v>0</v>
      </c>
      <c r="AI153" s="70">
        <f t="shared" si="47"/>
        <v>0</v>
      </c>
      <c r="AJ153" s="70">
        <f t="shared" si="47"/>
        <v>0</v>
      </c>
      <c r="AK153" s="68"/>
      <c r="AL153" s="68"/>
      <c r="AM153" s="68"/>
      <c r="AN153" s="68"/>
      <c r="AO153" s="68"/>
      <c r="AP153" s="68"/>
    </row>
    <row r="154" spans="1:42" ht="15" x14ac:dyDescent="0.4">
      <c r="A154" s="97"/>
      <c r="B154" s="97"/>
      <c r="C154" s="97"/>
      <c r="D154" s="97"/>
      <c r="E154" s="121"/>
      <c r="F154" s="97"/>
      <c r="G154" s="97"/>
      <c r="H154" s="97"/>
      <c r="I154" s="117"/>
      <c r="J154" s="97"/>
      <c r="K154" s="117"/>
      <c r="L154" s="97"/>
      <c r="M154" s="97"/>
      <c r="N154" s="97"/>
      <c r="O154" s="128"/>
      <c r="P154" s="126"/>
      <c r="Q154" s="97"/>
      <c r="R154" s="97"/>
      <c r="S154" s="97"/>
      <c r="T154" s="48"/>
      <c r="U154" s="48" t="s">
        <v>57</v>
      </c>
      <c r="V154" s="48"/>
      <c r="Z154" s="11" t="s">
        <v>55</v>
      </c>
      <c r="AA154" s="71">
        <f>IF(h=1,2.5,IF(OR(h=2,h=3),8.5,IF(h=4,0,"error")))</f>
        <v>8.5</v>
      </c>
      <c r="AB154" s="71">
        <f t="shared" ref="AB154:AJ154" si="48">$AA$154</f>
        <v>8.5</v>
      </c>
      <c r="AC154" s="71">
        <f t="shared" si="48"/>
        <v>8.5</v>
      </c>
      <c r="AD154" s="71">
        <f t="shared" si="48"/>
        <v>8.5</v>
      </c>
      <c r="AE154" s="71">
        <f t="shared" si="48"/>
        <v>8.5</v>
      </c>
      <c r="AF154" s="71">
        <f t="shared" si="48"/>
        <v>8.5</v>
      </c>
      <c r="AG154" s="71">
        <f t="shared" si="48"/>
        <v>8.5</v>
      </c>
      <c r="AH154" s="71">
        <f t="shared" si="48"/>
        <v>8.5</v>
      </c>
      <c r="AI154" s="71">
        <f t="shared" si="48"/>
        <v>8.5</v>
      </c>
      <c r="AJ154" s="71">
        <f t="shared" si="48"/>
        <v>8.5</v>
      </c>
      <c r="AK154" s="68"/>
      <c r="AL154" s="68"/>
      <c r="AM154" s="75"/>
      <c r="AN154" s="68"/>
      <c r="AO154" s="68"/>
      <c r="AP154" s="68"/>
    </row>
    <row r="155" spans="1:42" ht="15" x14ac:dyDescent="0.4">
      <c r="A155" s="97"/>
      <c r="B155" s="97"/>
      <c r="C155" s="97"/>
      <c r="D155" s="97"/>
      <c r="E155" s="121"/>
      <c r="F155" s="97"/>
      <c r="G155" s="97"/>
      <c r="H155" s="97"/>
      <c r="I155" s="117"/>
      <c r="J155" s="97"/>
      <c r="K155" s="117"/>
      <c r="L155" s="97"/>
      <c r="M155" s="155" t="s">
        <v>42</v>
      </c>
      <c r="N155" s="155"/>
      <c r="O155" s="128"/>
      <c r="P155" s="126"/>
      <c r="Q155" s="97"/>
      <c r="R155" s="97"/>
      <c r="S155" s="97"/>
      <c r="T155" s="48"/>
      <c r="U155" s="48" t="s">
        <v>53</v>
      </c>
      <c r="V155" s="48"/>
      <c r="Z155" s="11" t="s">
        <v>55</v>
      </c>
      <c r="AA155" s="70">
        <f t="shared" ref="AA155:AJ155" si="49">MIN(IF(h&lt;=2,AA152,AA153),IF(h=4,AA153,AA154))</f>
        <v>2.75</v>
      </c>
      <c r="AB155" s="70">
        <f t="shared" si="49"/>
        <v>2.9425000000000003</v>
      </c>
      <c r="AC155" s="70">
        <f t="shared" si="49"/>
        <v>3.1484750000000004</v>
      </c>
      <c r="AD155" s="70">
        <f t="shared" si="49"/>
        <v>3.3688682500000007</v>
      </c>
      <c r="AE155" s="70">
        <f t="shared" si="49"/>
        <v>3.604689027500001</v>
      </c>
      <c r="AF155" s="70">
        <f t="shared" si="49"/>
        <v>3.8570172594250014</v>
      </c>
      <c r="AG155" s="70">
        <f t="shared" si="49"/>
        <v>4.1270084675847514</v>
      </c>
      <c r="AH155" s="70">
        <f t="shared" si="49"/>
        <v>4.4158990603156845</v>
      </c>
      <c r="AI155" s="70">
        <f t="shared" si="49"/>
        <v>4.7250119945377831</v>
      </c>
      <c r="AJ155" s="70">
        <f t="shared" si="49"/>
        <v>5.0557628341554279</v>
      </c>
      <c r="AK155" s="68"/>
      <c r="AL155" s="68"/>
      <c r="AM155" s="75"/>
      <c r="AN155" s="68"/>
      <c r="AO155" s="68"/>
      <c r="AP155" s="68"/>
    </row>
    <row r="156" spans="1:42" ht="15" x14ac:dyDescent="0.4">
      <c r="A156" s="97"/>
      <c r="B156" s="97"/>
      <c r="C156" s="97"/>
      <c r="D156" s="97"/>
      <c r="E156" s="121"/>
      <c r="F156" s="97"/>
      <c r="G156" s="97"/>
      <c r="H156" s="97"/>
      <c r="I156" s="117"/>
      <c r="J156" s="97"/>
      <c r="K156" s="117"/>
      <c r="L156" s="97"/>
      <c r="M156" s="97"/>
      <c r="N156" s="97"/>
      <c r="O156" s="128"/>
      <c r="P156" s="126"/>
      <c r="Q156" s="97"/>
      <c r="R156" s="97"/>
      <c r="S156" s="97"/>
      <c r="T156" s="48"/>
      <c r="U156" s="48"/>
      <c r="V156" s="48"/>
      <c r="Z156" s="11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136"/>
      <c r="AK156" s="68"/>
      <c r="AL156" s="68"/>
      <c r="AM156" s="68"/>
      <c r="AN156" s="68"/>
      <c r="AO156" s="68"/>
      <c r="AP156" s="68"/>
    </row>
    <row r="157" spans="1:42" ht="15.4" x14ac:dyDescent="0.45">
      <c r="A157" s="97"/>
      <c r="B157" s="97"/>
      <c r="C157" s="97"/>
      <c r="D157" s="97"/>
      <c r="E157" s="121"/>
      <c r="F157" s="97"/>
      <c r="G157" s="97"/>
      <c r="H157" s="97"/>
      <c r="I157" s="117"/>
      <c r="J157" s="97"/>
      <c r="K157" s="117"/>
      <c r="L157" s="97"/>
      <c r="M157" s="120" t="s">
        <v>31</v>
      </c>
      <c r="N157" s="122">
        <v>0.25</v>
      </c>
      <c r="O157" s="128">
        <f>1-EXP(-P157*$E$2)</f>
        <v>0.23052018705979294</v>
      </c>
      <c r="P157" s="126">
        <f>AI197</f>
        <v>7.8612168012945807</v>
      </c>
      <c r="Q157" s="97"/>
      <c r="R157" s="97"/>
      <c r="S157" s="97"/>
      <c r="T157" s="49" t="s">
        <v>58</v>
      </c>
      <c r="U157" s="48"/>
      <c r="V157" s="48"/>
      <c r="Z157" s="80" t="s">
        <v>59</v>
      </c>
      <c r="AA157" s="72">
        <f t="shared" ref="AA157:AJ157" si="50">AA155*$AD$136</f>
        <v>29.5625</v>
      </c>
      <c r="AB157" s="72">
        <f t="shared" si="50"/>
        <v>31.631875000000004</v>
      </c>
      <c r="AC157" s="72">
        <f t="shared" si="50"/>
        <v>33.846106250000005</v>
      </c>
      <c r="AD157" s="72">
        <f t="shared" si="50"/>
        <v>36.215333687500006</v>
      </c>
      <c r="AE157" s="72">
        <f t="shared" si="50"/>
        <v>38.75040704562501</v>
      </c>
      <c r="AF157" s="72">
        <f t="shared" si="50"/>
        <v>41.462935538818762</v>
      </c>
      <c r="AG157" s="72">
        <f t="shared" si="50"/>
        <v>44.365341026536079</v>
      </c>
      <c r="AH157" s="72">
        <f t="shared" si="50"/>
        <v>47.470914898393609</v>
      </c>
      <c r="AI157" s="72">
        <f t="shared" si="50"/>
        <v>50.793878941281172</v>
      </c>
      <c r="AJ157" s="72">
        <f t="shared" si="50"/>
        <v>54.349450467170847</v>
      </c>
      <c r="AK157" s="68"/>
      <c r="AL157" s="68"/>
      <c r="AM157" s="75"/>
      <c r="AN157" s="68"/>
      <c r="AO157" s="68"/>
      <c r="AP157" s="68"/>
    </row>
    <row r="158" spans="1:42" ht="15.4" x14ac:dyDescent="0.45">
      <c r="A158" s="97"/>
      <c r="B158" s="97"/>
      <c r="C158" s="97"/>
      <c r="D158" s="97"/>
      <c r="E158" s="121"/>
      <c r="F158" s="97"/>
      <c r="G158" s="97"/>
      <c r="H158" s="97"/>
      <c r="I158" s="117"/>
      <c r="J158" s="97"/>
      <c r="K158" s="117"/>
      <c r="L158" s="97"/>
      <c r="M158" s="117"/>
      <c r="N158" s="97"/>
      <c r="O158" s="128"/>
      <c r="P158" s="126"/>
      <c r="Q158" s="97"/>
      <c r="R158" s="97"/>
      <c r="S158" s="97"/>
      <c r="T158" s="50"/>
      <c r="U158" s="48"/>
      <c r="V158" s="48"/>
      <c r="Z158" s="80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68"/>
      <c r="AL158" s="68"/>
      <c r="AM158" s="68"/>
      <c r="AN158" s="68"/>
      <c r="AO158" s="68"/>
      <c r="AP158" s="68"/>
    </row>
    <row r="159" spans="1:42" ht="15.4" x14ac:dyDescent="0.45">
      <c r="A159" s="97"/>
      <c r="B159" s="97"/>
      <c r="C159" s="97"/>
      <c r="D159" s="97"/>
      <c r="E159" s="121"/>
      <c r="F159" s="97"/>
      <c r="G159" s="97"/>
      <c r="H159" s="97"/>
      <c r="I159" s="117"/>
      <c r="J159" s="97"/>
      <c r="K159" s="123"/>
      <c r="L159" s="97"/>
      <c r="M159" s="117"/>
      <c r="N159" s="97"/>
      <c r="O159" s="128"/>
      <c r="P159" s="126"/>
      <c r="Q159" s="97"/>
      <c r="R159" s="97"/>
      <c r="S159" s="97"/>
      <c r="T159" s="49" t="s">
        <v>60</v>
      </c>
      <c r="U159" s="48"/>
      <c r="V159" s="48"/>
      <c r="Z159" s="80" t="s">
        <v>59</v>
      </c>
      <c r="AA159" s="72">
        <f t="shared" ref="AA159:AJ159" si="51">IF(h=4,0,AA155*$AD$137)</f>
        <v>26.125</v>
      </c>
      <c r="AB159" s="72">
        <f t="shared" si="51"/>
        <v>27.953750000000003</v>
      </c>
      <c r="AC159" s="72">
        <f t="shared" si="51"/>
        <v>29.910512500000003</v>
      </c>
      <c r="AD159" s="72">
        <f t="shared" si="51"/>
        <v>32.004248375000003</v>
      </c>
      <c r="AE159" s="72">
        <f t="shared" si="51"/>
        <v>34.244545761250009</v>
      </c>
      <c r="AF159" s="72">
        <f t="shared" si="51"/>
        <v>36.641663964537514</v>
      </c>
      <c r="AG159" s="72">
        <f t="shared" si="51"/>
        <v>39.206580442055142</v>
      </c>
      <c r="AH159" s="72">
        <f t="shared" si="51"/>
        <v>41.951041072999004</v>
      </c>
      <c r="AI159" s="72">
        <f t="shared" si="51"/>
        <v>44.887613948108942</v>
      </c>
      <c r="AJ159" s="72">
        <f t="shared" si="51"/>
        <v>48.029746924476562</v>
      </c>
      <c r="AK159" s="68"/>
      <c r="AL159" s="68"/>
    </row>
    <row r="160" spans="1:42" ht="15.4" x14ac:dyDescent="0.45">
      <c r="A160" s="97"/>
      <c r="B160" s="97"/>
      <c r="C160" s="97"/>
      <c r="D160" s="97"/>
      <c r="E160" s="121"/>
      <c r="F160" s="97"/>
      <c r="G160" s="97"/>
      <c r="H160" s="97"/>
      <c r="I160" s="117"/>
      <c r="J160" s="97"/>
      <c r="K160" s="122" t="s">
        <v>29</v>
      </c>
      <c r="L160" s="122">
        <v>0.25</v>
      </c>
      <c r="M160" s="120" t="s">
        <v>30</v>
      </c>
      <c r="N160" s="122">
        <v>0.5</v>
      </c>
      <c r="O160" s="128">
        <f>1-EXP(-P160*$E$2)</f>
        <v>0.15106728682887405</v>
      </c>
      <c r="P160" s="126">
        <f>AI196</f>
        <v>4.9132605008091126</v>
      </c>
      <c r="Q160" s="97"/>
      <c r="R160" s="97"/>
      <c r="S160" s="97"/>
      <c r="T160" s="50"/>
      <c r="U160" s="48"/>
      <c r="V160" s="48"/>
      <c r="Z160" s="80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68"/>
      <c r="AL160" s="68"/>
    </row>
    <row r="161" spans="1:49" ht="15" x14ac:dyDescent="0.4">
      <c r="A161" s="97"/>
      <c r="B161" s="97"/>
      <c r="C161" s="97"/>
      <c r="D161" s="97"/>
      <c r="E161" s="121"/>
      <c r="F161" s="97"/>
      <c r="G161" s="97"/>
      <c r="H161" s="97"/>
      <c r="I161" s="117"/>
      <c r="J161" s="97"/>
      <c r="K161" s="97">
        <f>O157*N157+O160*N160+O163*N163</f>
        <v>0.14121979822257485</v>
      </c>
      <c r="L161" s="97"/>
      <c r="M161" s="117"/>
      <c r="N161" s="97"/>
      <c r="O161" s="128"/>
      <c r="P161" s="126"/>
      <c r="Q161" s="97"/>
      <c r="R161" s="97"/>
      <c r="S161" s="97"/>
      <c r="T161" s="51" t="s">
        <v>61</v>
      </c>
      <c r="U161" s="48"/>
      <c r="V161" s="48"/>
      <c r="Z161" s="80" t="s">
        <v>59</v>
      </c>
      <c r="AA161" s="72">
        <f>IF(h=2,$AD$138,0)</f>
        <v>14.5</v>
      </c>
      <c r="AB161" s="72">
        <v>0</v>
      </c>
      <c r="AC161" s="72">
        <v>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68"/>
      <c r="AL161" s="68"/>
      <c r="AM161" s="32"/>
    </row>
    <row r="162" spans="1:49" ht="15" x14ac:dyDescent="0.4">
      <c r="A162" s="97"/>
      <c r="B162" s="97"/>
      <c r="C162" s="97"/>
      <c r="D162" s="97"/>
      <c r="E162" s="121"/>
      <c r="F162" s="97"/>
      <c r="G162" s="97"/>
      <c r="H162" s="97"/>
      <c r="I162" s="117"/>
      <c r="J162" s="97"/>
      <c r="K162" s="97"/>
      <c r="L162" s="97"/>
      <c r="M162" s="123"/>
      <c r="N162" s="97"/>
      <c r="O162" s="128"/>
      <c r="P162" s="126"/>
      <c r="Q162" s="97"/>
      <c r="R162" s="97"/>
      <c r="S162" s="97"/>
      <c r="T162" s="48"/>
      <c r="U162" s="48"/>
      <c r="V162" s="48"/>
      <c r="Z162" s="80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68"/>
      <c r="AL162" s="68"/>
      <c r="AM162" s="31"/>
    </row>
    <row r="163" spans="1:49" ht="15" x14ac:dyDescent="0.4">
      <c r="A163" s="97"/>
      <c r="B163" s="97"/>
      <c r="C163" s="97"/>
      <c r="D163" s="97"/>
      <c r="E163" s="121"/>
      <c r="F163" s="97"/>
      <c r="G163" s="97"/>
      <c r="H163" s="97"/>
      <c r="I163" s="117"/>
      <c r="J163" s="97"/>
      <c r="K163" s="97"/>
      <c r="L163" s="97"/>
      <c r="M163" s="122" t="s">
        <v>29</v>
      </c>
      <c r="N163" s="122">
        <v>0.25</v>
      </c>
      <c r="O163" s="128">
        <f>1-EXP(-P163*$E$2)</f>
        <v>3.2224432172758388E-2</v>
      </c>
      <c r="P163" s="126">
        <f>AI195</f>
        <v>0.98265210016182247</v>
      </c>
      <c r="Q163" s="97"/>
      <c r="R163" s="97"/>
      <c r="S163" s="97"/>
      <c r="T163" s="51" t="s">
        <v>62</v>
      </c>
      <c r="U163" s="48"/>
      <c r="V163" s="48"/>
      <c r="Z163" s="80" t="s">
        <v>59</v>
      </c>
      <c r="AA163" s="72">
        <f t="shared" ref="AA163:AJ163" si="52">IF(h=3,$AB$121*(AA157-AA159),0)</f>
        <v>0</v>
      </c>
      <c r="AB163" s="72">
        <f t="shared" si="52"/>
        <v>0</v>
      </c>
      <c r="AC163" s="72">
        <f t="shared" si="52"/>
        <v>0</v>
      </c>
      <c r="AD163" s="72">
        <f t="shared" si="52"/>
        <v>0</v>
      </c>
      <c r="AE163" s="72">
        <f t="shared" si="52"/>
        <v>0</v>
      </c>
      <c r="AF163" s="72">
        <f t="shared" si="52"/>
        <v>0</v>
      </c>
      <c r="AG163" s="72">
        <f t="shared" si="52"/>
        <v>0</v>
      </c>
      <c r="AH163" s="72">
        <f t="shared" si="52"/>
        <v>0</v>
      </c>
      <c r="AI163" s="72">
        <f t="shared" si="52"/>
        <v>0</v>
      </c>
      <c r="AJ163" s="72">
        <f t="shared" si="52"/>
        <v>0</v>
      </c>
      <c r="AK163" s="68"/>
      <c r="AL163" s="68"/>
      <c r="AM163" s="31"/>
    </row>
    <row r="164" spans="1:49" ht="15" x14ac:dyDescent="0.4">
      <c r="A164" s="97"/>
      <c r="B164" s="97"/>
      <c r="C164" s="97"/>
      <c r="D164" s="97"/>
      <c r="E164" s="121"/>
      <c r="F164" s="97"/>
      <c r="G164" s="97"/>
      <c r="H164" s="97"/>
      <c r="I164" s="117"/>
      <c r="J164" s="97"/>
      <c r="K164" s="155"/>
      <c r="L164" s="155"/>
      <c r="M164" s="97"/>
      <c r="N164" s="97"/>
      <c r="O164" s="128"/>
      <c r="P164" s="126"/>
      <c r="Q164" s="97"/>
      <c r="R164" s="97"/>
      <c r="S164" s="97"/>
      <c r="T164" s="51" t="s">
        <v>63</v>
      </c>
      <c r="U164" s="48"/>
      <c r="V164" s="48"/>
      <c r="Z164" s="80" t="s">
        <v>59</v>
      </c>
      <c r="AA164" s="72">
        <f t="shared" ref="AA164:AJ164" si="53">$AB$122*(AA157)</f>
        <v>28.971249999999998</v>
      </c>
      <c r="AB164" s="72">
        <f t="shared" si="53"/>
        <v>30.999237500000003</v>
      </c>
      <c r="AC164" s="72">
        <f t="shared" si="53"/>
        <v>33.169184125000008</v>
      </c>
      <c r="AD164" s="72">
        <f t="shared" si="53"/>
        <v>35.491027013750006</v>
      </c>
      <c r="AE164" s="72">
        <f t="shared" si="53"/>
        <v>37.975398904712513</v>
      </c>
      <c r="AF164" s="72">
        <f t="shared" si="53"/>
        <v>40.633676828042383</v>
      </c>
      <c r="AG164" s="72">
        <f t="shared" si="53"/>
        <v>43.478034206005354</v>
      </c>
      <c r="AH164" s="72">
        <f t="shared" si="53"/>
        <v>46.521496600425735</v>
      </c>
      <c r="AI164" s="72">
        <f t="shared" si="53"/>
        <v>49.778001362455548</v>
      </c>
      <c r="AJ164" s="72">
        <f t="shared" si="53"/>
        <v>53.262461457827428</v>
      </c>
      <c r="AK164" s="68"/>
      <c r="AL164" s="68"/>
      <c r="AM164" s="31"/>
    </row>
    <row r="165" spans="1:49" ht="15" x14ac:dyDescent="0.4">
      <c r="A165" s="97"/>
      <c r="B165" s="97"/>
      <c r="C165" s="97"/>
      <c r="D165" s="97"/>
      <c r="E165" s="121"/>
      <c r="F165" s="97"/>
      <c r="G165" s="97"/>
      <c r="H165" s="97"/>
      <c r="I165" s="117"/>
      <c r="J165" s="97"/>
      <c r="K165" s="124"/>
      <c r="L165" s="124"/>
      <c r="M165" s="97"/>
      <c r="N165" s="97"/>
      <c r="O165" s="128"/>
      <c r="P165" s="126"/>
      <c r="Q165" s="97"/>
      <c r="R165" s="97"/>
      <c r="S165" s="97"/>
      <c r="T165" s="48"/>
      <c r="U165" s="48"/>
      <c r="V165" s="48"/>
      <c r="Z165" s="80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68"/>
      <c r="AL165" s="68"/>
      <c r="AM165" s="31"/>
    </row>
    <row r="166" spans="1:49" ht="15" x14ac:dyDescent="0.4">
      <c r="A166" s="97"/>
      <c r="B166" s="97"/>
      <c r="C166" s="97"/>
      <c r="D166" s="97"/>
      <c r="E166" s="121"/>
      <c r="F166" s="97"/>
      <c r="G166" s="97"/>
      <c r="H166" s="97"/>
      <c r="I166" s="117"/>
      <c r="J166" s="97"/>
      <c r="K166" s="97"/>
      <c r="L166" s="97"/>
      <c r="M166" s="155" t="s">
        <v>42</v>
      </c>
      <c r="N166" s="155"/>
      <c r="O166" s="128"/>
      <c r="P166" s="126"/>
      <c r="Q166" s="97"/>
      <c r="R166" s="97"/>
      <c r="S166" s="97"/>
      <c r="T166" s="51" t="s">
        <v>64</v>
      </c>
      <c r="U166" s="48"/>
      <c r="V166" s="48"/>
      <c r="Z166" s="80" t="s">
        <v>59</v>
      </c>
      <c r="AA166" s="72">
        <f t="shared" ref="AA166:AJ166" si="54">IF(h=1,AA157-AA159,IF(h=2,AA157-AA159-AA161,IF(h=3,AA157-AA159-AA163,IF(h=4,AA157-AA159-AA164,"error"))))</f>
        <v>-11.0625</v>
      </c>
      <c r="AB166" s="72">
        <f t="shared" si="54"/>
        <v>3.6781250000000014</v>
      </c>
      <c r="AC166" s="72">
        <f t="shared" si="54"/>
        <v>3.9355937500000024</v>
      </c>
      <c r="AD166" s="72">
        <f t="shared" si="54"/>
        <v>4.2110853125000034</v>
      </c>
      <c r="AE166" s="72">
        <f t="shared" si="54"/>
        <v>4.5058612843750012</v>
      </c>
      <c r="AF166" s="72">
        <f t="shared" si="54"/>
        <v>4.8212715742812478</v>
      </c>
      <c r="AG166" s="72">
        <f t="shared" si="54"/>
        <v>5.1587605844809374</v>
      </c>
      <c r="AH166" s="72">
        <f t="shared" si="54"/>
        <v>5.5198738253946047</v>
      </c>
      <c r="AI166" s="72">
        <f t="shared" si="54"/>
        <v>5.9062649931722291</v>
      </c>
      <c r="AJ166" s="72">
        <f t="shared" si="54"/>
        <v>6.3197035426942847</v>
      </c>
      <c r="AK166" s="68"/>
      <c r="AL166" s="68"/>
      <c r="AM166" s="31"/>
    </row>
    <row r="167" spans="1:49" ht="15" x14ac:dyDescent="0.4">
      <c r="A167" s="97"/>
      <c r="B167" s="97"/>
      <c r="C167" s="97"/>
      <c r="D167" s="97"/>
      <c r="E167" s="121"/>
      <c r="F167" s="97"/>
      <c r="G167" s="97"/>
      <c r="H167" s="97"/>
      <c r="I167" s="117"/>
      <c r="J167" s="97"/>
      <c r="K167" s="97"/>
      <c r="L167" s="97"/>
      <c r="M167" s="97"/>
      <c r="N167" s="97"/>
      <c r="O167" s="128"/>
      <c r="P167" s="126"/>
      <c r="Q167" s="97"/>
      <c r="R167" s="97"/>
      <c r="S167" s="97"/>
      <c r="T167" s="48"/>
      <c r="U167" s="48"/>
      <c r="V167" s="48"/>
      <c r="Z167" s="80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68"/>
      <c r="AL167" s="68"/>
      <c r="AM167" s="31"/>
    </row>
    <row r="168" spans="1:49" ht="15" x14ac:dyDescent="0.4">
      <c r="A168" s="97"/>
      <c r="B168" s="97"/>
      <c r="C168" s="97"/>
      <c r="D168" s="97"/>
      <c r="E168" s="121"/>
      <c r="F168" s="97"/>
      <c r="G168" s="97"/>
      <c r="H168" s="97"/>
      <c r="I168" s="117"/>
      <c r="J168" s="97"/>
      <c r="K168" s="97"/>
      <c r="L168" s="97"/>
      <c r="M168" s="120" t="s">
        <v>31</v>
      </c>
      <c r="N168" s="122">
        <v>0.25</v>
      </c>
      <c r="O168" s="128">
        <f>1-EXP(-P168*$E$2)</f>
        <v>0.63883823351259683</v>
      </c>
      <c r="P168" s="126">
        <f>BF199</f>
        <v>30.552879432172091</v>
      </c>
      <c r="Q168" s="97"/>
      <c r="R168" s="97"/>
      <c r="S168" s="97"/>
      <c r="T168" s="51" t="s">
        <v>65</v>
      </c>
      <c r="U168" s="48"/>
      <c r="V168" s="48"/>
      <c r="Z168" s="80" t="s">
        <v>59</v>
      </c>
      <c r="AA168" s="72">
        <f t="shared" ref="AA168:AJ168" si="55">k*AA166</f>
        <v>-4.2037500000000003</v>
      </c>
      <c r="AB168" s="72">
        <f t="shared" si="55"/>
        <v>1.3976875000000006</v>
      </c>
      <c r="AC168" s="72">
        <f t="shared" si="55"/>
        <v>1.4955256250000009</v>
      </c>
      <c r="AD168" s="72">
        <f t="shared" si="55"/>
        <v>1.6002124187500013</v>
      </c>
      <c r="AE168" s="72">
        <f t="shared" si="55"/>
        <v>1.7122272880625005</v>
      </c>
      <c r="AF168" s="72">
        <f t="shared" si="55"/>
        <v>1.8320831982268742</v>
      </c>
      <c r="AG168" s="72">
        <f t="shared" si="55"/>
        <v>1.9603290221027563</v>
      </c>
      <c r="AH168" s="72">
        <f t="shared" si="55"/>
        <v>2.0975520536499497</v>
      </c>
      <c r="AI168" s="72">
        <f t="shared" si="55"/>
        <v>2.2443806974054472</v>
      </c>
      <c r="AJ168" s="72">
        <f t="shared" si="55"/>
        <v>2.4014873462238282</v>
      </c>
      <c r="AK168" s="68"/>
      <c r="AL168" s="68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</row>
    <row r="169" spans="1:49" ht="15" x14ac:dyDescent="0.4">
      <c r="A169" s="97"/>
      <c r="B169" s="97"/>
      <c r="C169" s="97"/>
      <c r="D169" s="97"/>
      <c r="E169" s="121"/>
      <c r="F169" s="97"/>
      <c r="G169" s="97"/>
      <c r="H169" s="97"/>
      <c r="I169" s="117"/>
      <c r="J169" s="97"/>
      <c r="K169" s="155" t="s">
        <v>33</v>
      </c>
      <c r="L169" s="164"/>
      <c r="M169" s="117"/>
      <c r="N169" s="97"/>
      <c r="O169" s="128"/>
      <c r="P169" s="126"/>
      <c r="Q169" s="97"/>
      <c r="R169" s="97"/>
      <c r="S169" s="97"/>
      <c r="T169" s="51" t="s">
        <v>66</v>
      </c>
      <c r="U169" s="48"/>
      <c r="V169" s="48"/>
      <c r="Z169" s="80" t="s">
        <v>59</v>
      </c>
      <c r="AA169" s="72">
        <f>IF(AA168&lt;0,ABS(AA168),0)</f>
        <v>4.2037500000000003</v>
      </c>
      <c r="AB169" s="72">
        <f t="shared" ref="AB169:AJ169" si="56">IF((AB168-AA169)&lt;0,ABS(AA169-AB168),0)</f>
        <v>2.8060624999999995</v>
      </c>
      <c r="AC169" s="72">
        <f t="shared" si="56"/>
        <v>1.3105368749999986</v>
      </c>
      <c r="AD169" s="72">
        <f t="shared" si="56"/>
        <v>0</v>
      </c>
      <c r="AE169" s="72">
        <f t="shared" si="56"/>
        <v>0</v>
      </c>
      <c r="AF169" s="72">
        <f t="shared" si="56"/>
        <v>0</v>
      </c>
      <c r="AG169" s="72">
        <f t="shared" si="56"/>
        <v>0</v>
      </c>
      <c r="AH169" s="72">
        <f t="shared" si="56"/>
        <v>0</v>
      </c>
      <c r="AI169" s="72">
        <f t="shared" si="56"/>
        <v>0</v>
      </c>
      <c r="AJ169" s="72">
        <f t="shared" si="56"/>
        <v>0</v>
      </c>
      <c r="AK169" s="68"/>
      <c r="AL169" s="68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</row>
    <row r="170" spans="1:49" ht="15" x14ac:dyDescent="0.4">
      <c r="A170" s="97"/>
      <c r="B170" s="97"/>
      <c r="C170" s="97"/>
      <c r="D170" s="97"/>
      <c r="E170" s="121"/>
      <c r="F170" s="97"/>
      <c r="G170" s="97"/>
      <c r="H170" s="97"/>
      <c r="I170" s="117"/>
      <c r="J170" s="97"/>
      <c r="K170" s="97"/>
      <c r="L170" s="97"/>
      <c r="M170" s="117"/>
      <c r="N170" s="97"/>
      <c r="O170" s="128"/>
      <c r="P170" s="126"/>
      <c r="Q170" s="97"/>
      <c r="R170" s="97"/>
      <c r="S170" s="97"/>
      <c r="T170" s="51" t="s">
        <v>67</v>
      </c>
      <c r="U170" s="48"/>
      <c r="V170" s="48"/>
      <c r="Z170" s="80" t="s">
        <v>59</v>
      </c>
      <c r="AA170" s="72">
        <f>IF(AA168&lt;0,0,AA168)</f>
        <v>0</v>
      </c>
      <c r="AB170" s="72">
        <f t="shared" ref="AB170:AJ170" si="57">IF(AB168&lt;0,0,IF((AB168-AA169)&lt;0,0,(AB168-AA169)))</f>
        <v>0</v>
      </c>
      <c r="AC170" s="72">
        <f t="shared" si="57"/>
        <v>0</v>
      </c>
      <c r="AD170" s="72">
        <f t="shared" si="57"/>
        <v>0.28967554375000271</v>
      </c>
      <c r="AE170" s="72">
        <f t="shared" si="57"/>
        <v>1.7122272880625005</v>
      </c>
      <c r="AF170" s="72">
        <f t="shared" si="57"/>
        <v>1.8320831982268742</v>
      </c>
      <c r="AG170" s="72">
        <f t="shared" si="57"/>
        <v>1.9603290221027563</v>
      </c>
      <c r="AH170" s="72">
        <f t="shared" si="57"/>
        <v>2.0975520536499497</v>
      </c>
      <c r="AI170" s="72">
        <f t="shared" si="57"/>
        <v>2.2443806974054472</v>
      </c>
      <c r="AJ170" s="72">
        <f t="shared" si="57"/>
        <v>2.4014873462238282</v>
      </c>
      <c r="AK170" s="68"/>
      <c r="AL170" s="68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</row>
    <row r="171" spans="1:49" ht="15" x14ac:dyDescent="0.4">
      <c r="A171" s="97"/>
      <c r="B171" s="97"/>
      <c r="C171" s="97"/>
      <c r="D171" s="97"/>
      <c r="E171" s="121"/>
      <c r="F171" s="97"/>
      <c r="G171" s="97"/>
      <c r="H171" s="97"/>
      <c r="I171" s="117"/>
      <c r="J171" s="97"/>
      <c r="K171" s="120" t="s">
        <v>31</v>
      </c>
      <c r="L171" s="122">
        <v>0.25</v>
      </c>
      <c r="M171" s="120" t="s">
        <v>30</v>
      </c>
      <c r="N171" s="122">
        <v>0.5</v>
      </c>
      <c r="O171" s="128">
        <f>1-EXP(-P171*$E$2)</f>
        <v>0.47086851360869486</v>
      </c>
      <c r="P171" s="126">
        <f>BF198</f>
        <v>19.09554964510756</v>
      </c>
      <c r="Q171" s="97"/>
      <c r="R171" s="97"/>
      <c r="S171" s="97"/>
      <c r="T171" s="48"/>
      <c r="U171" s="48"/>
      <c r="V171" s="48"/>
      <c r="Z171" s="80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3"/>
      <c r="AL171" s="73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</row>
    <row r="172" spans="1:49" ht="15" x14ac:dyDescent="0.4">
      <c r="A172" s="97"/>
      <c r="B172" s="97"/>
      <c r="C172" s="97"/>
      <c r="D172" s="97"/>
      <c r="E172" s="121"/>
      <c r="F172" s="97"/>
      <c r="G172" s="97"/>
      <c r="H172" s="97"/>
      <c r="I172" s="117"/>
      <c r="J172" s="97"/>
      <c r="K172" s="117">
        <f>O168*N168+O171*N171+O174*N174</f>
        <v>0.42502724872615916</v>
      </c>
      <c r="L172" s="97"/>
      <c r="M172" s="117"/>
      <c r="N172" s="97"/>
      <c r="O172" s="128"/>
      <c r="P172" s="126"/>
      <c r="Q172" s="97"/>
      <c r="R172" s="97"/>
      <c r="S172" s="97"/>
      <c r="T172" s="51" t="s">
        <v>68</v>
      </c>
      <c r="Z172" s="80" t="s">
        <v>69</v>
      </c>
      <c r="AA172" s="74">
        <f t="shared" ref="AA172:AJ172" si="58">AA166-AA170</f>
        <v>-11.0625</v>
      </c>
      <c r="AB172" s="74">
        <f t="shared" si="58"/>
        <v>3.6781250000000014</v>
      </c>
      <c r="AC172" s="74">
        <f t="shared" si="58"/>
        <v>3.9355937500000024</v>
      </c>
      <c r="AD172" s="74">
        <f t="shared" si="58"/>
        <v>3.9214097687500007</v>
      </c>
      <c r="AE172" s="74">
        <f t="shared" si="58"/>
        <v>2.7936339963125008</v>
      </c>
      <c r="AF172" s="74">
        <f t="shared" si="58"/>
        <v>2.9891883760543738</v>
      </c>
      <c r="AG172" s="74">
        <f t="shared" si="58"/>
        <v>3.1984315623781812</v>
      </c>
      <c r="AH172" s="74">
        <f t="shared" si="58"/>
        <v>3.422321771744655</v>
      </c>
      <c r="AI172" s="74">
        <f t="shared" si="58"/>
        <v>3.6618842957667819</v>
      </c>
      <c r="AJ172" s="74">
        <f t="shared" si="58"/>
        <v>3.9182161964704565</v>
      </c>
      <c r="AK172" s="75"/>
      <c r="AL172" s="75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</row>
    <row r="173" spans="1:49" x14ac:dyDescent="0.35">
      <c r="A173" s="97"/>
      <c r="B173" s="97"/>
      <c r="C173" s="97"/>
      <c r="D173" s="97"/>
      <c r="E173" s="121"/>
      <c r="F173" s="97"/>
      <c r="G173" s="97"/>
      <c r="H173" s="97"/>
      <c r="I173" s="117"/>
      <c r="J173" s="97"/>
      <c r="K173" s="117"/>
      <c r="L173" s="97"/>
      <c r="M173" s="123"/>
      <c r="N173" s="97"/>
      <c r="O173" s="128"/>
      <c r="P173" s="126"/>
      <c r="Q173" s="97"/>
      <c r="R173" s="97"/>
      <c r="S173" s="97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</row>
    <row r="174" spans="1:49" ht="15" x14ac:dyDescent="0.4">
      <c r="A174" s="97"/>
      <c r="B174" s="97"/>
      <c r="C174" s="97"/>
      <c r="D174" s="97"/>
      <c r="E174" s="121"/>
      <c r="F174" s="97"/>
      <c r="G174" s="97"/>
      <c r="H174" s="97"/>
      <c r="I174" s="117"/>
      <c r="J174" s="97"/>
      <c r="K174" s="117"/>
      <c r="L174" s="97"/>
      <c r="M174" s="122" t="s">
        <v>29</v>
      </c>
      <c r="N174" s="122">
        <v>0.25</v>
      </c>
      <c r="O174" s="128">
        <f>1-EXP(-P174*$E$2)</f>
        <v>0.11953373417465019</v>
      </c>
      <c r="P174" s="126">
        <f>BF197</f>
        <v>3.8191099290215114</v>
      </c>
      <c r="Q174" s="97"/>
      <c r="R174" s="97"/>
      <c r="S174" s="97"/>
      <c r="T174" s="51" t="s">
        <v>70</v>
      </c>
      <c r="U174" s="48"/>
      <c r="V174" s="48"/>
      <c r="Z174" s="80" t="s">
        <v>71</v>
      </c>
      <c r="AA174" s="93">
        <f>AA172+NPV(l,AB172,AC172,AD172,AE172,AF172,AG172,AH172,AI172,AJ172)</f>
        <v>10.868977926897351</v>
      </c>
      <c r="AB174" s="92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</row>
    <row r="175" spans="1:49" x14ac:dyDescent="0.35">
      <c r="A175" s="97"/>
      <c r="B175" s="97"/>
      <c r="C175" s="97"/>
      <c r="D175" s="97"/>
      <c r="E175" s="121"/>
      <c r="F175" s="97"/>
      <c r="G175" s="97"/>
      <c r="H175" s="97"/>
      <c r="I175" s="117"/>
      <c r="J175" s="97"/>
      <c r="K175" s="117"/>
      <c r="L175" s="97"/>
      <c r="M175" s="97"/>
      <c r="N175" s="97"/>
      <c r="O175" s="128"/>
      <c r="P175" s="126"/>
      <c r="Q175" s="97"/>
      <c r="R175" s="97"/>
      <c r="S175" s="97"/>
      <c r="T175" s="2"/>
    </row>
    <row r="176" spans="1:49" x14ac:dyDescent="0.35">
      <c r="A176" s="97"/>
      <c r="B176" s="97"/>
      <c r="C176" s="97"/>
      <c r="D176" s="97"/>
      <c r="E176" s="121"/>
      <c r="F176" s="97"/>
      <c r="G176" s="97"/>
      <c r="H176" s="97"/>
      <c r="I176" s="117"/>
      <c r="J176" s="97"/>
      <c r="K176" s="117"/>
      <c r="L176" s="97"/>
      <c r="M176" s="155" t="s">
        <v>42</v>
      </c>
      <c r="N176" s="155"/>
      <c r="O176" s="128"/>
      <c r="P176" s="126"/>
      <c r="Q176" s="97"/>
      <c r="R176" s="97"/>
      <c r="S176" s="97"/>
      <c r="U176" s="13"/>
      <c r="AA176" s="33"/>
      <c r="AB176" s="33"/>
      <c r="AC176" s="33"/>
    </row>
    <row r="177" spans="1:79" x14ac:dyDescent="0.35">
      <c r="A177" s="97"/>
      <c r="B177" s="97"/>
      <c r="C177" s="97"/>
      <c r="D177" s="97"/>
      <c r="E177" s="121"/>
      <c r="F177" s="97"/>
      <c r="G177" s="97"/>
      <c r="H177" s="97"/>
      <c r="I177" s="117"/>
      <c r="J177" s="97"/>
      <c r="K177" s="117"/>
      <c r="L177" s="97"/>
      <c r="M177" s="97"/>
      <c r="N177" s="97"/>
      <c r="O177" s="128"/>
      <c r="P177" s="126"/>
      <c r="Q177" s="97"/>
      <c r="R177" s="97"/>
      <c r="S177" s="97"/>
      <c r="T177" s="13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</row>
    <row r="178" spans="1:79" ht="19.149999999999999" x14ac:dyDescent="0.65">
      <c r="A178" s="97"/>
      <c r="B178" s="97"/>
      <c r="C178" s="97"/>
      <c r="D178" s="97"/>
      <c r="E178" s="121"/>
      <c r="F178" s="97"/>
      <c r="G178" s="97"/>
      <c r="H178" s="97"/>
      <c r="I178" s="117"/>
      <c r="J178" s="97"/>
      <c r="K178" s="117"/>
      <c r="L178" s="97"/>
      <c r="M178" s="120" t="s">
        <v>31</v>
      </c>
      <c r="N178" s="122">
        <v>0.25</v>
      </c>
      <c r="O178" s="128">
        <f>1-EXP(-P178*$E$2)</f>
        <v>0.50236678259415091</v>
      </c>
      <c r="P178" s="126">
        <f>BE199</f>
        <v>20.936759536450921</v>
      </c>
      <c r="Q178" s="97"/>
      <c r="R178" s="97"/>
      <c r="S178" s="38" t="s">
        <v>0</v>
      </c>
      <c r="AO178" s="38" t="s">
        <v>0</v>
      </c>
      <c r="BK178" s="38" t="s">
        <v>0</v>
      </c>
    </row>
    <row r="179" spans="1:79" ht="13.15" thickBot="1" x14ac:dyDescent="0.4">
      <c r="A179" s="97"/>
      <c r="B179" s="97"/>
      <c r="C179" s="97"/>
      <c r="D179" s="97"/>
      <c r="E179" s="121"/>
      <c r="F179" s="97"/>
      <c r="G179" s="97"/>
      <c r="H179" s="97"/>
      <c r="I179" s="117"/>
      <c r="J179" s="97"/>
      <c r="K179" s="117"/>
      <c r="L179" s="97"/>
      <c r="M179" s="117"/>
      <c r="N179" s="97"/>
      <c r="O179" s="128"/>
      <c r="P179" s="126"/>
      <c r="Q179" s="97"/>
      <c r="R179" s="97"/>
    </row>
    <row r="180" spans="1:79" ht="15.4" x14ac:dyDescent="0.45">
      <c r="A180" s="97"/>
      <c r="B180" s="97"/>
      <c r="C180" s="97"/>
      <c r="D180" s="97"/>
      <c r="E180" s="121"/>
      <c r="F180" s="165" t="s">
        <v>9</v>
      </c>
      <c r="G180" s="156"/>
      <c r="H180" s="157"/>
      <c r="I180" s="117"/>
      <c r="J180" s="97"/>
      <c r="K180" s="117"/>
      <c r="L180" s="97"/>
      <c r="M180" s="117"/>
      <c r="N180" s="97"/>
      <c r="O180" s="128"/>
      <c r="P180" s="126"/>
      <c r="Q180" s="97"/>
      <c r="R180" s="97"/>
      <c r="S180" s="53" t="s">
        <v>1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53" t="s">
        <v>1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K180" s="53" t="s">
        <v>1</v>
      </c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</row>
    <row r="181" spans="1:79" x14ac:dyDescent="0.35">
      <c r="A181" s="97"/>
      <c r="B181" s="97"/>
      <c r="C181" s="97"/>
      <c r="D181" s="97"/>
      <c r="E181" s="121"/>
      <c r="F181" s="120" t="s">
        <v>84</v>
      </c>
      <c r="G181" s="122">
        <f>J150*I151+J181*I182+J212*I213</f>
        <v>0.28470053394732936</v>
      </c>
      <c r="H181" s="122"/>
      <c r="I181" s="120" t="s">
        <v>30</v>
      </c>
      <c r="J181" s="122">
        <v>0.5</v>
      </c>
      <c r="K181" s="120" t="s">
        <v>30</v>
      </c>
      <c r="L181" s="122">
        <v>0.5</v>
      </c>
      <c r="M181" s="120" t="s">
        <v>30</v>
      </c>
      <c r="N181" s="122">
        <v>0.5</v>
      </c>
      <c r="O181" s="128">
        <f>1-EXP(-P181*$E$2)</f>
        <v>0.35350026478856877</v>
      </c>
      <c r="P181" s="126">
        <f>BE198</f>
        <v>13.085474710281828</v>
      </c>
      <c r="Q181" s="97"/>
      <c r="R181" s="97"/>
      <c r="S181" s="2"/>
      <c r="AO181" s="2"/>
      <c r="BK181" s="2"/>
    </row>
    <row r="182" spans="1:79" x14ac:dyDescent="0.35">
      <c r="A182" s="97"/>
      <c r="B182" s="97"/>
      <c r="C182" s="97"/>
      <c r="D182" s="97"/>
      <c r="E182" s="121"/>
      <c r="F182" s="97" t="s">
        <v>87</v>
      </c>
      <c r="G182" s="126">
        <f>-LN(-G181+1)/$E$2</f>
        <v>10.051619710030698</v>
      </c>
      <c r="H182" s="97"/>
      <c r="I182" s="117">
        <f>L171*K172+L181*K182+L191*K192</f>
        <v>0.30059968862525871</v>
      </c>
      <c r="J182" s="97"/>
      <c r="K182" s="117">
        <f>O178*N178+O181*N181+O184*N184</f>
        <v>0.32322674581681665</v>
      </c>
      <c r="L182" s="97"/>
      <c r="M182" s="117"/>
      <c r="N182" s="97"/>
      <c r="O182" s="128"/>
      <c r="P182" s="126"/>
      <c r="Q182" s="97"/>
      <c r="R182" s="97"/>
      <c r="S182" s="3"/>
      <c r="W182" s="4" t="s">
        <v>2</v>
      </c>
      <c r="X182" s="5"/>
      <c r="Y182" s="5"/>
      <c r="Z182" s="5"/>
      <c r="AA182" s="5"/>
      <c r="AB182" s="5"/>
      <c r="AC182" s="6">
        <v>3</v>
      </c>
      <c r="AD182" s="7" t="s">
        <v>3</v>
      </c>
      <c r="AO182" s="3"/>
      <c r="AS182" s="4" t="s">
        <v>2</v>
      </c>
      <c r="AT182" s="5"/>
      <c r="AU182" s="5"/>
      <c r="AV182" s="5"/>
      <c r="AW182" s="5"/>
      <c r="AX182" s="5"/>
      <c r="AY182" s="6">
        <v>3</v>
      </c>
      <c r="AZ182" s="7" t="s">
        <v>3</v>
      </c>
      <c r="BK182" s="3"/>
      <c r="BO182" s="4" t="s">
        <v>2</v>
      </c>
      <c r="BP182" s="5"/>
      <c r="BQ182" s="5"/>
      <c r="BR182" s="5"/>
      <c r="BS182" s="5"/>
      <c r="BT182" s="5"/>
      <c r="BU182" s="6">
        <v>3</v>
      </c>
      <c r="BV182" s="7" t="s">
        <v>3</v>
      </c>
    </row>
    <row r="183" spans="1:79" x14ac:dyDescent="0.35">
      <c r="A183" s="97"/>
      <c r="B183" s="97"/>
      <c r="C183" s="97"/>
      <c r="D183" s="97"/>
      <c r="E183" s="121"/>
      <c r="F183" s="97"/>
      <c r="G183" s="97"/>
      <c r="H183" s="97"/>
      <c r="I183" s="117"/>
      <c r="J183" s="97"/>
      <c r="K183" s="117"/>
      <c r="L183" s="97"/>
      <c r="M183" s="123"/>
      <c r="N183" s="97"/>
      <c r="O183" s="128"/>
      <c r="P183" s="126"/>
      <c r="Q183" s="97"/>
      <c r="R183" s="97"/>
      <c r="W183" s="8" t="s">
        <v>4</v>
      </c>
      <c r="X183" s="9"/>
      <c r="Y183" s="9"/>
      <c r="Z183" s="9"/>
      <c r="AA183" s="9"/>
      <c r="AB183" s="9"/>
      <c r="AC183" s="10" t="str">
        <f>INDEX(X186:X189,AC182)</f>
        <v>Joint Venture</v>
      </c>
      <c r="AD183" s="7" t="s">
        <v>5</v>
      </c>
      <c r="AS183" s="8" t="s">
        <v>4</v>
      </c>
      <c r="AT183" s="9"/>
      <c r="AU183" s="9"/>
      <c r="AV183" s="9"/>
      <c r="AW183" s="9"/>
      <c r="AX183" s="9"/>
      <c r="AY183" s="10" t="str">
        <f>INDEX(AT186:AT189,AY182)</f>
        <v>Joint Venture</v>
      </c>
      <c r="AZ183" s="7" t="s">
        <v>5</v>
      </c>
      <c r="BO183" s="8" t="s">
        <v>4</v>
      </c>
      <c r="BP183" s="9"/>
      <c r="BQ183" s="9"/>
      <c r="BR183" s="9"/>
      <c r="BS183" s="9"/>
      <c r="BT183" s="9"/>
      <c r="BU183" s="10" t="str">
        <f>INDEX(BP186:BP189,BU182)</f>
        <v>Joint Venture</v>
      </c>
      <c r="BV183" s="7" t="s">
        <v>5</v>
      </c>
    </row>
    <row r="184" spans="1:79" x14ac:dyDescent="0.35">
      <c r="A184" s="97"/>
      <c r="B184" s="97"/>
      <c r="C184" s="97"/>
      <c r="D184" s="97"/>
      <c r="E184" s="121"/>
      <c r="F184" s="97"/>
      <c r="G184" s="97"/>
      <c r="H184" s="97"/>
      <c r="I184" s="117"/>
      <c r="J184" s="97"/>
      <c r="K184" s="117"/>
      <c r="L184" s="97"/>
      <c r="M184" s="122" t="s">
        <v>29</v>
      </c>
      <c r="N184" s="122">
        <v>0.25</v>
      </c>
      <c r="O184" s="128">
        <f>1-EXP(-P184*$E$2)</f>
        <v>8.3539671095978041E-2</v>
      </c>
      <c r="P184" s="126">
        <f>BE197</f>
        <v>2.6170949420563625</v>
      </c>
      <c r="Q184" s="97"/>
      <c r="R184" s="97"/>
    </row>
    <row r="185" spans="1:79" x14ac:dyDescent="0.35">
      <c r="A185" s="97"/>
      <c r="B185" s="97"/>
      <c r="C185" s="97"/>
      <c r="D185" s="97"/>
      <c r="E185" s="121"/>
      <c r="F185" s="97"/>
      <c r="G185" s="97"/>
      <c r="H185" s="97"/>
      <c r="I185" s="117"/>
      <c r="J185" s="97"/>
      <c r="K185" s="117"/>
      <c r="L185" s="97"/>
      <c r="M185" s="97"/>
      <c r="N185" s="97"/>
      <c r="O185" s="128"/>
      <c r="P185" s="126"/>
      <c r="Q185" s="97"/>
      <c r="R185" s="97"/>
      <c r="W185" t="s">
        <v>6</v>
      </c>
      <c r="AS185" t="s">
        <v>6</v>
      </c>
      <c r="BO185" t="s">
        <v>6</v>
      </c>
    </row>
    <row r="186" spans="1:79" x14ac:dyDescent="0.35">
      <c r="A186" s="97"/>
      <c r="B186" s="97"/>
      <c r="C186" s="97"/>
      <c r="D186" s="97"/>
      <c r="E186" s="121"/>
      <c r="F186" s="97"/>
      <c r="G186" s="97"/>
      <c r="H186" s="97"/>
      <c r="I186" s="117"/>
      <c r="J186" s="97"/>
      <c r="K186" s="117"/>
      <c r="L186" s="97"/>
      <c r="M186" s="155" t="s">
        <v>42</v>
      </c>
      <c r="N186" s="155"/>
      <c r="O186" s="128"/>
      <c r="P186" s="126"/>
      <c r="Q186" s="97"/>
      <c r="R186" s="97"/>
      <c r="W186">
        <v>1</v>
      </c>
      <c r="X186" s="37" t="s">
        <v>7</v>
      </c>
      <c r="AS186">
        <v>1</v>
      </c>
      <c r="AT186" s="37" t="s">
        <v>7</v>
      </c>
      <c r="BO186">
        <v>1</v>
      </c>
      <c r="BP186" s="37" t="s">
        <v>7</v>
      </c>
    </row>
    <row r="187" spans="1:79" x14ac:dyDescent="0.35">
      <c r="A187" s="97"/>
      <c r="B187" s="97"/>
      <c r="C187" s="97"/>
      <c r="D187" s="97"/>
      <c r="E187" s="121"/>
      <c r="F187" s="97"/>
      <c r="G187" s="97"/>
      <c r="H187" s="97"/>
      <c r="I187" s="117"/>
      <c r="J187" s="97"/>
      <c r="K187" s="117"/>
      <c r="L187" s="97"/>
      <c r="M187" s="97"/>
      <c r="N187" s="97"/>
      <c r="O187" s="128"/>
      <c r="P187" s="126"/>
      <c r="Q187" s="97"/>
      <c r="R187" s="97"/>
      <c r="W187">
        <v>2</v>
      </c>
      <c r="X187" s="37" t="s">
        <v>8</v>
      </c>
      <c r="AE187" s="11"/>
      <c r="AS187">
        <v>2</v>
      </c>
      <c r="AT187" s="37" t="s">
        <v>8</v>
      </c>
      <c r="BA187" s="11"/>
      <c r="BO187">
        <v>2</v>
      </c>
      <c r="BP187" s="37" t="s">
        <v>8</v>
      </c>
      <c r="BW187" s="11"/>
    </row>
    <row r="188" spans="1:79" x14ac:dyDescent="0.35">
      <c r="A188" s="97"/>
      <c r="B188" s="97"/>
      <c r="C188" s="97"/>
      <c r="D188" s="97"/>
      <c r="E188" s="121"/>
      <c r="F188" s="97"/>
      <c r="G188" s="97"/>
      <c r="H188" s="97"/>
      <c r="I188" s="117"/>
      <c r="J188" s="97"/>
      <c r="K188" s="117"/>
      <c r="L188" s="97"/>
      <c r="M188" s="120" t="s">
        <v>31</v>
      </c>
      <c r="N188" s="122">
        <v>0.25</v>
      </c>
      <c r="O188" s="128">
        <f>1-EXP(-P188*$E$2)</f>
        <v>0.21422906340766046</v>
      </c>
      <c r="P188" s="126">
        <f>BD199</f>
        <v>7.2326987489557713</v>
      </c>
      <c r="Q188" s="97"/>
      <c r="R188" s="97"/>
      <c r="W188">
        <v>3</v>
      </c>
      <c r="X188" s="37" t="s">
        <v>9</v>
      </c>
      <c r="AE188" s="11"/>
      <c r="AS188">
        <v>3</v>
      </c>
      <c r="AT188" s="37" t="s">
        <v>9</v>
      </c>
      <c r="BA188" s="11"/>
      <c r="BO188">
        <v>3</v>
      </c>
      <c r="BP188" s="37" t="s">
        <v>9</v>
      </c>
      <c r="BW188" s="11"/>
    </row>
    <row r="189" spans="1:79" x14ac:dyDescent="0.35">
      <c r="A189" s="97"/>
      <c r="B189" s="97"/>
      <c r="C189" s="97"/>
      <c r="D189" s="97"/>
      <c r="E189" s="121"/>
      <c r="F189" s="97"/>
      <c r="G189" s="97"/>
      <c r="H189" s="97"/>
      <c r="I189" s="117"/>
      <c r="J189" s="97"/>
      <c r="K189" s="117"/>
      <c r="L189" s="97"/>
      <c r="M189" s="117"/>
      <c r="N189" s="97"/>
      <c r="O189" s="128"/>
      <c r="P189" s="126"/>
      <c r="Q189" s="97"/>
      <c r="R189" s="97"/>
      <c r="W189">
        <v>4</v>
      </c>
      <c r="X189" s="37" t="s">
        <v>10</v>
      </c>
      <c r="AS189">
        <v>4</v>
      </c>
      <c r="AT189" s="37" t="s">
        <v>10</v>
      </c>
      <c r="BO189">
        <v>4</v>
      </c>
      <c r="BP189" s="37" t="s">
        <v>10</v>
      </c>
    </row>
    <row r="190" spans="1:79" ht="13.15" thickBot="1" x14ac:dyDescent="0.4">
      <c r="A190" s="97"/>
      <c r="B190" s="97"/>
      <c r="C190" s="97"/>
      <c r="D190" s="97"/>
      <c r="E190" s="121"/>
      <c r="F190" s="97"/>
      <c r="G190" s="97"/>
      <c r="H190" s="97"/>
      <c r="I190" s="117"/>
      <c r="J190" s="97"/>
      <c r="K190" s="123"/>
      <c r="L190" s="97"/>
      <c r="M190" s="117"/>
      <c r="N190" s="97"/>
      <c r="O190" s="128"/>
      <c r="P190" s="126"/>
      <c r="Q190" s="97"/>
      <c r="R190" s="97"/>
    </row>
    <row r="191" spans="1:79" ht="15.4" x14ac:dyDescent="0.45">
      <c r="A191" s="97"/>
      <c r="B191" s="97"/>
      <c r="C191" s="97"/>
      <c r="D191" s="97"/>
      <c r="E191" s="121"/>
      <c r="F191" s="97"/>
      <c r="G191" s="97"/>
      <c r="H191" s="97"/>
      <c r="I191" s="117"/>
      <c r="J191" s="97"/>
      <c r="K191" s="122" t="s">
        <v>29</v>
      </c>
      <c r="L191" s="122">
        <v>0.25</v>
      </c>
      <c r="M191" s="120" t="s">
        <v>30</v>
      </c>
      <c r="N191" s="122">
        <v>0.5</v>
      </c>
      <c r="O191" s="128">
        <f>1-EXP(-P191*$E$2)</f>
        <v>0.13987815878355281</v>
      </c>
      <c r="P191" s="126">
        <f>BD198</f>
        <v>4.5204367180973577</v>
      </c>
      <c r="Q191" s="97"/>
      <c r="R191" s="97"/>
      <c r="S191" s="53" t="s">
        <v>11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53" t="s">
        <v>11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K191" s="53" t="s">
        <v>11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</row>
    <row r="192" spans="1:79" x14ac:dyDescent="0.35">
      <c r="A192" s="97"/>
      <c r="B192" s="97"/>
      <c r="C192" s="97"/>
      <c r="D192" s="97"/>
      <c r="E192" s="121"/>
      <c r="F192" s="97"/>
      <c r="G192" s="97"/>
      <c r="H192" s="97"/>
      <c r="I192" s="117"/>
      <c r="J192" s="97"/>
      <c r="K192" s="97">
        <f>O188*N188+O191*N191+O194*N194</f>
        <v>0.13091801414124254</v>
      </c>
      <c r="L192" s="97"/>
      <c r="M192" s="117"/>
      <c r="N192" s="97"/>
      <c r="O192" s="128"/>
      <c r="P192" s="126"/>
      <c r="Q192" s="97"/>
      <c r="R192" s="97"/>
      <c r="AF192" s="68"/>
      <c r="AG192" s="68"/>
      <c r="AH192" s="68"/>
      <c r="AI192" s="140" t="s">
        <v>33</v>
      </c>
    </row>
    <row r="193" spans="1:80" ht="15.4" x14ac:dyDescent="0.45">
      <c r="A193" s="97"/>
      <c r="B193" s="97"/>
      <c r="C193" s="97"/>
      <c r="D193" s="97"/>
      <c r="E193" s="121"/>
      <c r="F193" s="97"/>
      <c r="G193" s="97"/>
      <c r="H193" s="97"/>
      <c r="I193" s="117"/>
      <c r="J193" s="97"/>
      <c r="K193" s="97"/>
      <c r="L193" s="97"/>
      <c r="M193" s="123"/>
      <c r="N193" s="97"/>
      <c r="O193" s="128"/>
      <c r="P193" s="126"/>
      <c r="Q193" s="97"/>
      <c r="R193" s="97"/>
      <c r="S193" s="49"/>
      <c r="T193" s="49" t="s">
        <v>12</v>
      </c>
      <c r="U193" s="49"/>
      <c r="V193" s="49"/>
      <c r="W193" s="49"/>
      <c r="X193" s="49"/>
      <c r="Y193" s="49"/>
      <c r="Z193" s="55" t="s">
        <v>13</v>
      </c>
      <c r="AA193" s="55" t="s">
        <v>14</v>
      </c>
      <c r="AB193" s="56" t="s">
        <v>15</v>
      </c>
      <c r="AC193" s="55"/>
      <c r="AD193" s="55"/>
      <c r="AE193" s="55"/>
      <c r="AF193" s="68"/>
      <c r="AG193" s="68"/>
      <c r="AH193" s="68"/>
      <c r="AI193" s="55" t="s">
        <v>29</v>
      </c>
      <c r="AJ193" s="55" t="s">
        <v>30</v>
      </c>
      <c r="AK193" s="55" t="s">
        <v>31</v>
      </c>
      <c r="AL193" s="55"/>
      <c r="AM193" s="51"/>
      <c r="AN193" s="51"/>
      <c r="AO193" s="49"/>
      <c r="AP193" s="49" t="s">
        <v>12</v>
      </c>
      <c r="AQ193" s="49"/>
      <c r="AR193" s="49"/>
      <c r="AS193" s="49"/>
      <c r="AT193" s="49"/>
      <c r="AU193" s="49"/>
      <c r="AV193" s="55" t="s">
        <v>13</v>
      </c>
      <c r="AW193" s="55" t="s">
        <v>14</v>
      </c>
      <c r="AX193" s="56" t="s">
        <v>15</v>
      </c>
      <c r="AY193" s="55"/>
      <c r="AZ193" s="55"/>
      <c r="BA193" s="55"/>
      <c r="BB193" s="55"/>
      <c r="BC193" s="55"/>
      <c r="BD193" s="55"/>
      <c r="BE193" s="55"/>
      <c r="BF193" s="55"/>
      <c r="BG193" s="55"/>
      <c r="BH193" s="51"/>
      <c r="BI193" s="51"/>
      <c r="BJ193" s="51"/>
      <c r="BK193" s="49"/>
      <c r="BL193" s="49" t="s">
        <v>12</v>
      </c>
      <c r="BM193" s="49"/>
      <c r="BN193" s="49"/>
      <c r="BO193" s="49"/>
      <c r="BP193" s="49"/>
      <c r="BQ193" s="49"/>
      <c r="BR193" s="55" t="s">
        <v>13</v>
      </c>
      <c r="BS193" s="55" t="s">
        <v>14</v>
      </c>
      <c r="BT193" s="56" t="s">
        <v>15</v>
      </c>
      <c r="BU193" s="55"/>
      <c r="BV193" s="55"/>
      <c r="BW193" s="55"/>
      <c r="BX193" s="55"/>
      <c r="BY193" s="55"/>
      <c r="BZ193" s="55"/>
      <c r="CA193" s="55"/>
      <c r="CB193" s="51"/>
    </row>
    <row r="194" spans="1:80" ht="15.4" x14ac:dyDescent="0.45">
      <c r="A194" s="97"/>
      <c r="B194" s="97"/>
      <c r="C194" s="97"/>
      <c r="D194" s="97"/>
      <c r="E194" s="121"/>
      <c r="F194" s="97"/>
      <c r="G194" s="97"/>
      <c r="H194" s="97"/>
      <c r="I194" s="117"/>
      <c r="J194" s="97"/>
      <c r="K194" s="97"/>
      <c r="L194" s="97"/>
      <c r="M194" s="122" t="s">
        <v>29</v>
      </c>
      <c r="N194" s="122">
        <v>0.25</v>
      </c>
      <c r="O194" s="128">
        <f>1-EXP(-P194*$E$2)</f>
        <v>2.9686675590204104E-2</v>
      </c>
      <c r="P194" s="126">
        <f>BD197</f>
        <v>0.90408734361947185</v>
      </c>
      <c r="Q194" s="97"/>
      <c r="R194" s="97"/>
      <c r="S194" s="2"/>
      <c r="T194" s="4"/>
      <c r="U194" s="5"/>
      <c r="V194" s="5"/>
      <c r="W194" s="5"/>
      <c r="X194" s="5"/>
      <c r="Y194" s="5"/>
      <c r="Z194" s="5"/>
      <c r="AA194" s="5"/>
      <c r="AB194" s="15"/>
      <c r="AC194" s="23"/>
      <c r="AD194" s="3"/>
      <c r="AE194" s="3"/>
      <c r="AF194" s="78"/>
      <c r="AG194" s="68"/>
      <c r="AH194" s="141">
        <f>Z250</f>
        <v>14.014019224682471</v>
      </c>
      <c r="AI194" s="150">
        <v>0.95</v>
      </c>
      <c r="AJ194" s="150">
        <v>2.75</v>
      </c>
      <c r="AK194" s="150">
        <v>5.4</v>
      </c>
      <c r="AL194" s="3"/>
      <c r="AO194" s="2"/>
      <c r="AP194" s="4"/>
      <c r="AQ194" s="5"/>
      <c r="AR194" s="5"/>
      <c r="AS194" s="5"/>
      <c r="AT194" s="5"/>
      <c r="AU194" s="5"/>
      <c r="AV194" s="5"/>
      <c r="AW194" s="5"/>
      <c r="AX194" s="15"/>
      <c r="AY194" s="23"/>
      <c r="AZ194" s="3"/>
      <c r="BA194" s="68"/>
      <c r="BB194" s="68"/>
      <c r="BC194" s="68"/>
      <c r="BD194" s="140" t="s">
        <v>33</v>
      </c>
      <c r="BG194" s="3"/>
      <c r="BK194" s="2"/>
      <c r="BL194" s="4"/>
      <c r="BM194" s="5"/>
      <c r="BN194" s="5"/>
      <c r="BO194" s="5"/>
      <c r="BP194" s="5"/>
      <c r="BQ194" s="5"/>
      <c r="BR194" s="5"/>
      <c r="BS194" s="5"/>
      <c r="BT194" s="15"/>
      <c r="BU194" s="23"/>
      <c r="BV194" s="55"/>
      <c r="BW194" s="55"/>
      <c r="BX194" s="55"/>
      <c r="BY194" s="55"/>
      <c r="BZ194" s="55"/>
      <c r="CA194" s="55"/>
    </row>
    <row r="195" spans="1:80" ht="15.4" x14ac:dyDescent="0.45">
      <c r="A195" s="97"/>
      <c r="B195" s="97"/>
      <c r="C195" s="97"/>
      <c r="D195" s="97"/>
      <c r="E195" s="121"/>
      <c r="F195" s="97"/>
      <c r="G195" s="97"/>
      <c r="H195" s="97"/>
      <c r="I195" s="117"/>
      <c r="J195" s="97"/>
      <c r="K195" s="97"/>
      <c r="L195" s="97"/>
      <c r="M195" s="97"/>
      <c r="N195" s="97"/>
      <c r="O195" s="128"/>
      <c r="P195" s="126"/>
      <c r="Q195" s="97"/>
      <c r="R195" s="97"/>
      <c r="S195" s="24" t="s">
        <v>16</v>
      </c>
      <c r="T195" s="16" t="s">
        <v>17</v>
      </c>
      <c r="U195" s="3"/>
      <c r="V195" s="3"/>
      <c r="W195" s="3"/>
      <c r="X195" s="3"/>
      <c r="Y195" s="3"/>
      <c r="Z195" s="17" t="s">
        <v>18</v>
      </c>
      <c r="AA195" s="27">
        <f>$H$1</f>
        <v>0.08</v>
      </c>
      <c r="AB195" s="25" t="s">
        <v>19</v>
      </c>
      <c r="AE195" s="26"/>
      <c r="AF195" s="139" t="s">
        <v>42</v>
      </c>
      <c r="AG195" s="55" t="s">
        <v>29</v>
      </c>
      <c r="AH195" s="85">
        <v>9.75</v>
      </c>
      <c r="AI195" s="68">
        <f t="dataTable" ref="AI195:AK197" dt2D="1" dtr="1" r1="AC208" r2="AC212"/>
        <v>0.98265210016182247</v>
      </c>
      <c r="AJ195">
        <v>2.8028038449364923</v>
      </c>
      <c r="AK195">
        <v>3.8191099290215114</v>
      </c>
      <c r="AL195" s="57"/>
      <c r="AO195" s="24" t="s">
        <v>16</v>
      </c>
      <c r="AP195" s="16" t="s">
        <v>17</v>
      </c>
      <c r="AQ195" s="3"/>
      <c r="AR195" s="3"/>
      <c r="AS195" s="3"/>
      <c r="AT195" s="3"/>
      <c r="AU195" s="3"/>
      <c r="AV195" s="17" t="s">
        <v>18</v>
      </c>
      <c r="AW195" s="27">
        <f>$H$1</f>
        <v>0.08</v>
      </c>
      <c r="AX195" s="25" t="s">
        <v>19</v>
      </c>
      <c r="BA195" s="68"/>
      <c r="BB195" s="68"/>
      <c r="BC195" s="68"/>
      <c r="BD195" s="55" t="s">
        <v>29</v>
      </c>
      <c r="BE195" s="55" t="s">
        <v>30</v>
      </c>
      <c r="BF195" s="55" t="s">
        <v>31</v>
      </c>
      <c r="BG195" s="3"/>
      <c r="BK195" s="24" t="s">
        <v>16</v>
      </c>
      <c r="BL195" s="16" t="s">
        <v>17</v>
      </c>
      <c r="BM195" s="3"/>
      <c r="BN195" s="3"/>
      <c r="BO195" s="3"/>
      <c r="BP195" s="3"/>
      <c r="BQ195" s="3"/>
      <c r="BR195" s="17" t="s">
        <v>18</v>
      </c>
      <c r="BS195" s="27">
        <f>$H$1</f>
        <v>0.08</v>
      </c>
      <c r="BT195" s="25" t="s">
        <v>19</v>
      </c>
      <c r="BV195" s="68"/>
      <c r="BW195" s="68"/>
      <c r="BX195" s="68"/>
      <c r="BY195" s="140" t="s">
        <v>33</v>
      </c>
    </row>
    <row r="196" spans="1:80" ht="15.4" x14ac:dyDescent="0.45">
      <c r="A196" s="97"/>
      <c r="B196" s="97"/>
      <c r="C196" s="97"/>
      <c r="D196" s="97"/>
      <c r="E196" s="121"/>
      <c r="F196" s="97"/>
      <c r="G196" s="97"/>
      <c r="H196" s="97"/>
      <c r="I196" s="117"/>
      <c r="J196" s="97"/>
      <c r="K196" s="97"/>
      <c r="L196" s="97"/>
      <c r="M196" s="97"/>
      <c r="N196" s="97"/>
      <c r="O196" s="128"/>
      <c r="P196" s="126"/>
      <c r="Q196" s="97"/>
      <c r="R196" s="97"/>
      <c r="S196" s="24" t="s">
        <v>16</v>
      </c>
      <c r="T196" s="16" t="s">
        <v>20</v>
      </c>
      <c r="U196" s="3"/>
      <c r="V196" s="3"/>
      <c r="W196" s="3"/>
      <c r="X196" s="3"/>
      <c r="Y196" s="3"/>
      <c r="Z196" s="17" t="s">
        <v>18</v>
      </c>
      <c r="AA196" s="91">
        <f>$H$2</f>
        <v>0.38</v>
      </c>
      <c r="AB196" s="25" t="s">
        <v>21</v>
      </c>
      <c r="AE196" s="26"/>
      <c r="AF196" s="75"/>
      <c r="AG196" s="55" t="s">
        <v>30</v>
      </c>
      <c r="AH196" s="86">
        <v>10.75</v>
      </c>
      <c r="AI196" s="68">
        <v>4.9132605008091126</v>
      </c>
      <c r="AJ196">
        <v>14.014019224682471</v>
      </c>
      <c r="AK196">
        <v>19.09554964510756</v>
      </c>
      <c r="AL196" s="57"/>
      <c r="AO196" s="24" t="s">
        <v>16</v>
      </c>
      <c r="AP196" s="16" t="s">
        <v>20</v>
      </c>
      <c r="AQ196" s="3"/>
      <c r="AR196" s="3"/>
      <c r="AS196" s="3"/>
      <c r="AT196" s="3"/>
      <c r="AU196" s="3"/>
      <c r="AV196" s="17" t="s">
        <v>18</v>
      </c>
      <c r="AW196" s="91">
        <f>$H$2</f>
        <v>0.38</v>
      </c>
      <c r="AX196" s="25" t="s">
        <v>21</v>
      </c>
      <c r="BA196" s="78"/>
      <c r="BB196" s="68"/>
      <c r="BC196" s="141">
        <f>AV250</f>
        <v>13.085474710281828</v>
      </c>
      <c r="BD196" s="150">
        <v>0.95</v>
      </c>
      <c r="BE196" s="150">
        <v>2.75</v>
      </c>
      <c r="BF196" s="150">
        <v>5.4</v>
      </c>
      <c r="BG196" s="3"/>
      <c r="BK196" s="24" t="s">
        <v>16</v>
      </c>
      <c r="BL196" s="16" t="s">
        <v>20</v>
      </c>
      <c r="BM196" s="3"/>
      <c r="BN196" s="3"/>
      <c r="BO196" s="3"/>
      <c r="BP196" s="3"/>
      <c r="BQ196" s="3"/>
      <c r="BR196" s="17" t="s">
        <v>18</v>
      </c>
      <c r="BS196" s="91">
        <f>$H$2</f>
        <v>0.38</v>
      </c>
      <c r="BT196" s="25" t="s">
        <v>21</v>
      </c>
      <c r="BV196" s="68"/>
      <c r="BW196" s="68"/>
      <c r="BX196" s="68"/>
      <c r="BY196" s="55" t="s">
        <v>29</v>
      </c>
      <c r="BZ196" s="55" t="s">
        <v>30</v>
      </c>
      <c r="CA196" s="55" t="s">
        <v>31</v>
      </c>
    </row>
    <row r="197" spans="1:80" ht="15.4" x14ac:dyDescent="0.45">
      <c r="A197" s="97"/>
      <c r="B197" s="97"/>
      <c r="C197" s="97"/>
      <c r="D197" s="97"/>
      <c r="E197" s="121"/>
      <c r="F197" s="97"/>
      <c r="G197" s="97"/>
      <c r="H197" s="97"/>
      <c r="I197" s="117"/>
      <c r="J197" s="97"/>
      <c r="K197" s="97"/>
      <c r="L197" s="97"/>
      <c r="M197" s="155" t="s">
        <v>42</v>
      </c>
      <c r="N197" s="155"/>
      <c r="O197" s="128"/>
      <c r="P197" s="126"/>
      <c r="Q197" s="97"/>
      <c r="R197" s="97"/>
      <c r="S197" s="24"/>
      <c r="T197" s="16" t="s">
        <v>22</v>
      </c>
      <c r="U197" s="3"/>
      <c r="V197" s="3"/>
      <c r="W197" s="3"/>
      <c r="X197" s="3"/>
      <c r="Y197" s="3"/>
      <c r="Z197" s="17" t="s">
        <v>18</v>
      </c>
      <c r="AA197" s="91">
        <v>0.6</v>
      </c>
      <c r="AB197" s="25" t="s">
        <v>23</v>
      </c>
      <c r="AE197" s="26"/>
      <c r="AF197" s="75"/>
      <c r="AG197" s="55" t="s">
        <v>31</v>
      </c>
      <c r="AH197" s="87">
        <v>11.5</v>
      </c>
      <c r="AI197" s="68">
        <v>7.8612168012945807</v>
      </c>
      <c r="AJ197">
        <v>22.422430759491952</v>
      </c>
      <c r="AK197">
        <v>30.552879432172091</v>
      </c>
      <c r="AL197" s="57"/>
      <c r="AO197" s="24"/>
      <c r="AP197" s="16" t="s">
        <v>22</v>
      </c>
      <c r="AQ197" s="3"/>
      <c r="AR197" s="3"/>
      <c r="AS197" s="3"/>
      <c r="AT197" s="3"/>
      <c r="AU197" s="3"/>
      <c r="AV197" s="17" t="s">
        <v>18</v>
      </c>
      <c r="AW197" s="91">
        <v>0.6</v>
      </c>
      <c r="AX197" s="25" t="s">
        <v>23</v>
      </c>
      <c r="BA197" s="139" t="s">
        <v>42</v>
      </c>
      <c r="BB197" s="55" t="s">
        <v>29</v>
      </c>
      <c r="BC197" s="85">
        <v>9.75</v>
      </c>
      <c r="BD197" s="68">
        <f t="dataTable" ref="BD197:BF199" dt2D="1" dtr="1" r1="AY208" r2="AY212"/>
        <v>0.90408734361947185</v>
      </c>
      <c r="BE197">
        <v>2.6170949420563625</v>
      </c>
      <c r="BF197">
        <v>3.8191099290215114</v>
      </c>
      <c r="BG197" s="3"/>
      <c r="BK197" s="24"/>
      <c r="BL197" s="16" t="s">
        <v>22</v>
      </c>
      <c r="BM197" s="3"/>
      <c r="BN197" s="3"/>
      <c r="BO197" s="3"/>
      <c r="BP197" s="3"/>
      <c r="BQ197" s="3"/>
      <c r="BR197" s="17" t="s">
        <v>18</v>
      </c>
      <c r="BS197" s="91">
        <v>0.6</v>
      </c>
      <c r="BT197" s="25" t="s">
        <v>23</v>
      </c>
      <c r="BV197" s="78"/>
      <c r="BW197" s="68"/>
      <c r="BX197" s="141">
        <f>BR250</f>
        <v>8.1890621666409036</v>
      </c>
      <c r="BY197" s="150">
        <v>0.95</v>
      </c>
      <c r="BZ197" s="150">
        <v>2.75</v>
      </c>
      <c r="CA197" s="150">
        <v>5.4</v>
      </c>
    </row>
    <row r="198" spans="1:80" ht="15.4" x14ac:dyDescent="0.45">
      <c r="A198" s="97"/>
      <c r="B198" s="97"/>
      <c r="C198" s="97"/>
      <c r="D198" s="97"/>
      <c r="E198" s="121"/>
      <c r="F198" s="97"/>
      <c r="G198" s="97"/>
      <c r="H198" s="97"/>
      <c r="I198" s="117"/>
      <c r="J198" s="97"/>
      <c r="K198" s="97"/>
      <c r="L198" s="97"/>
      <c r="M198" s="97"/>
      <c r="N198" s="97"/>
      <c r="O198" s="128"/>
      <c r="P198" s="126"/>
      <c r="Q198" s="97"/>
      <c r="R198" s="97"/>
      <c r="S198" s="24"/>
      <c r="T198" s="16" t="s">
        <v>24</v>
      </c>
      <c r="U198" s="3"/>
      <c r="V198" s="3"/>
      <c r="W198" s="3"/>
      <c r="X198" s="3"/>
      <c r="Y198" s="3"/>
      <c r="Z198" s="17" t="s">
        <v>18</v>
      </c>
      <c r="AA198" s="28">
        <f>$H$3</f>
        <v>0.98</v>
      </c>
      <c r="AB198" s="25" t="s">
        <v>25</v>
      </c>
      <c r="AE198" s="40"/>
      <c r="AF198" s="40"/>
      <c r="AG198" s="40"/>
      <c r="AH198" s="40"/>
      <c r="AI198" s="40"/>
      <c r="AJ198" s="40"/>
      <c r="AK198" s="3"/>
      <c r="AL198" s="57"/>
      <c r="AO198" s="24"/>
      <c r="AP198" s="16" t="s">
        <v>24</v>
      </c>
      <c r="AQ198" s="3"/>
      <c r="AR198" s="3"/>
      <c r="AS198" s="3"/>
      <c r="AT198" s="3"/>
      <c r="AU198" s="3"/>
      <c r="AV198" s="17" t="s">
        <v>18</v>
      </c>
      <c r="AW198" s="28">
        <f>$H$3</f>
        <v>0.98</v>
      </c>
      <c r="AX198" s="25" t="s">
        <v>25</v>
      </c>
      <c r="BA198" s="75"/>
      <c r="BB198" s="55" t="s">
        <v>30</v>
      </c>
      <c r="BC198" s="86">
        <v>10.75</v>
      </c>
      <c r="BD198" s="68">
        <v>4.5204367180973577</v>
      </c>
      <c r="BE198">
        <v>13.085474710281828</v>
      </c>
      <c r="BF198">
        <v>19.09554964510756</v>
      </c>
      <c r="BG198" s="3"/>
      <c r="BK198" s="24"/>
      <c r="BL198" s="16" t="s">
        <v>24</v>
      </c>
      <c r="BM198" s="3"/>
      <c r="BN198" s="3"/>
      <c r="BO198" s="3"/>
      <c r="BP198" s="3"/>
      <c r="BQ198" s="3"/>
      <c r="BR198" s="17" t="s">
        <v>18</v>
      </c>
      <c r="BS198" s="28">
        <f>$H$3</f>
        <v>0.98</v>
      </c>
      <c r="BT198" s="25" t="s">
        <v>25</v>
      </c>
      <c r="BV198" s="139" t="s">
        <v>42</v>
      </c>
      <c r="BW198" s="55" t="s">
        <v>29</v>
      </c>
      <c r="BX198" s="85">
        <v>9.75</v>
      </c>
      <c r="BY198" s="68">
        <f t="dataTable" ref="BY198:CA200" dt2D="1" dtr="1" r1="BU208" r2="BU212"/>
        <v>0.5657897496951898</v>
      </c>
      <c r="BZ198">
        <v>1.6378124333281801</v>
      </c>
      <c r="CA198">
        <v>3.2073880508989743</v>
      </c>
    </row>
    <row r="199" spans="1:80" ht="15.4" x14ac:dyDescent="0.45">
      <c r="A199" s="97"/>
      <c r="B199" s="97"/>
      <c r="C199" s="97"/>
      <c r="D199" s="97"/>
      <c r="E199" s="121"/>
      <c r="F199" s="97"/>
      <c r="G199" s="97"/>
      <c r="H199" s="97"/>
      <c r="I199" s="117"/>
      <c r="J199" s="97"/>
      <c r="K199" s="97"/>
      <c r="L199" s="97"/>
      <c r="M199" s="120" t="s">
        <v>31</v>
      </c>
      <c r="N199" s="122">
        <v>0.25</v>
      </c>
      <c r="O199" s="128">
        <f>1-EXP(-P199*$E$2)</f>
        <v>0.57484585438014268</v>
      </c>
      <c r="P199" s="126">
        <f>CA200</f>
        <v>25.659104407191791</v>
      </c>
      <c r="Q199" s="97"/>
      <c r="R199" s="97"/>
      <c r="S199" s="24"/>
      <c r="T199" s="16"/>
      <c r="U199" s="3"/>
      <c r="V199" s="3"/>
      <c r="W199" s="3"/>
      <c r="X199" s="3"/>
      <c r="Y199" s="3"/>
      <c r="Z199" s="17"/>
      <c r="AA199" s="40"/>
      <c r="AB199" s="25"/>
      <c r="AE199" s="40"/>
      <c r="AF199" s="40"/>
      <c r="AG199" s="40"/>
      <c r="AH199" s="40"/>
      <c r="AI199" s="40"/>
      <c r="AJ199" s="40"/>
      <c r="AK199" s="3"/>
      <c r="AL199" s="57"/>
      <c r="AO199" s="24"/>
      <c r="AP199" s="16"/>
      <c r="AQ199" s="3"/>
      <c r="AR199" s="3"/>
      <c r="AS199" s="3"/>
      <c r="AT199" s="3"/>
      <c r="AU199" s="3"/>
      <c r="AV199" s="17"/>
      <c r="AW199" s="40"/>
      <c r="AX199" s="25"/>
      <c r="BA199" s="75"/>
      <c r="BB199" s="55" t="s">
        <v>31</v>
      </c>
      <c r="BC199" s="87">
        <v>11.5</v>
      </c>
      <c r="BD199" s="68">
        <v>7.2326987489557713</v>
      </c>
      <c r="BE199">
        <v>20.936759536450921</v>
      </c>
      <c r="BF199">
        <v>30.552879432172091</v>
      </c>
      <c r="BG199" s="3"/>
      <c r="BK199" s="24"/>
      <c r="BL199" s="16"/>
      <c r="BM199" s="3"/>
      <c r="BN199" s="3"/>
      <c r="BO199" s="3"/>
      <c r="BP199" s="3"/>
      <c r="BQ199" s="3"/>
      <c r="BR199" s="17"/>
      <c r="BS199" s="40"/>
      <c r="BT199" s="25"/>
      <c r="BV199" s="75"/>
      <c r="BW199" s="55" t="s">
        <v>30</v>
      </c>
      <c r="BX199" s="86">
        <v>10.75</v>
      </c>
      <c r="BY199" s="68">
        <v>2.8289487484759483</v>
      </c>
      <c r="BZ199">
        <v>8.1890621666409036</v>
      </c>
      <c r="CA199">
        <v>16.036940254494866</v>
      </c>
    </row>
    <row r="200" spans="1:80" ht="15.4" x14ac:dyDescent="0.45">
      <c r="A200" s="97"/>
      <c r="B200" s="97"/>
      <c r="C200" s="97"/>
      <c r="D200" s="97"/>
      <c r="E200" s="121"/>
      <c r="F200" s="97"/>
      <c r="G200" s="97"/>
      <c r="H200" s="97"/>
      <c r="I200" s="117"/>
      <c r="J200" s="97"/>
      <c r="K200" s="155" t="s">
        <v>33</v>
      </c>
      <c r="L200" s="164"/>
      <c r="M200" s="117"/>
      <c r="N200" s="97"/>
      <c r="O200" s="128"/>
      <c r="P200" s="126"/>
      <c r="Q200" s="97"/>
      <c r="R200" s="97"/>
      <c r="S200" s="24"/>
      <c r="T200" s="16"/>
      <c r="U200" s="3"/>
      <c r="V200" s="3"/>
      <c r="W200" s="3"/>
      <c r="X200" s="3"/>
      <c r="Y200" s="3"/>
      <c r="Z200" s="17"/>
      <c r="AA200" s="39"/>
      <c r="AB200" s="25"/>
      <c r="AE200" s="39"/>
      <c r="AF200" s="39"/>
      <c r="AG200" s="39"/>
      <c r="AH200" s="39"/>
      <c r="AI200" s="39"/>
      <c r="AJ200" s="39"/>
      <c r="AK200" s="3"/>
      <c r="AL200" s="57"/>
      <c r="AO200" s="24"/>
      <c r="AP200" s="16"/>
      <c r="AQ200" s="3"/>
      <c r="AR200" s="3"/>
      <c r="AS200" s="3"/>
      <c r="AT200" s="3"/>
      <c r="AU200" s="3"/>
      <c r="AV200" s="17"/>
      <c r="AW200" s="39"/>
      <c r="AX200" s="25"/>
      <c r="BA200" s="39"/>
      <c r="BB200" s="39"/>
      <c r="BC200" s="39"/>
      <c r="BD200" s="39"/>
      <c r="BE200" s="39"/>
      <c r="BF200" s="39"/>
      <c r="BG200" s="3"/>
      <c r="BK200" s="24"/>
      <c r="BL200" s="16"/>
      <c r="BM200" s="3"/>
      <c r="BN200" s="3"/>
      <c r="BO200" s="3"/>
      <c r="BP200" s="3"/>
      <c r="BQ200" s="3"/>
      <c r="BR200" s="17"/>
      <c r="BS200" s="39"/>
      <c r="BT200" s="25"/>
      <c r="BV200" s="75"/>
      <c r="BW200" s="55" t="s">
        <v>31</v>
      </c>
      <c r="BX200" s="87">
        <v>11.5</v>
      </c>
      <c r="BY200" s="68">
        <v>4.5263179975615166</v>
      </c>
      <c r="BZ200">
        <v>13.102499466625444</v>
      </c>
      <c r="CA200">
        <v>25.659104407191791</v>
      </c>
    </row>
    <row r="201" spans="1:80" x14ac:dyDescent="0.35">
      <c r="A201" s="97"/>
      <c r="B201" s="97"/>
      <c r="C201" s="97"/>
      <c r="D201" s="97"/>
      <c r="E201" s="121"/>
      <c r="F201" s="97"/>
      <c r="G201" s="97"/>
      <c r="H201" s="97"/>
      <c r="I201" s="117"/>
      <c r="J201" s="97"/>
      <c r="K201" s="97"/>
      <c r="L201" s="97"/>
      <c r="M201" s="117"/>
      <c r="N201" s="97"/>
      <c r="O201" s="128"/>
      <c r="P201" s="126"/>
      <c r="Q201" s="97"/>
      <c r="R201" s="97"/>
      <c r="S201" s="24"/>
      <c r="T201" s="16"/>
      <c r="U201" s="3"/>
      <c r="V201" s="3"/>
      <c r="W201" s="3"/>
      <c r="X201" s="3"/>
      <c r="Y201" s="3"/>
      <c r="Z201" s="17"/>
      <c r="AA201" s="39"/>
      <c r="AB201" s="25"/>
      <c r="AE201" s="39"/>
      <c r="AF201" s="39"/>
      <c r="AG201" s="39"/>
      <c r="AH201" s="39"/>
      <c r="AI201" s="39"/>
      <c r="AJ201" s="39"/>
      <c r="AK201" s="3"/>
      <c r="AL201" s="57"/>
      <c r="AO201" s="24"/>
      <c r="AP201" s="16"/>
      <c r="AQ201" s="3"/>
      <c r="AR201" s="3"/>
      <c r="AS201" s="3"/>
      <c r="AT201" s="3"/>
      <c r="AU201" s="3"/>
      <c r="AV201" s="17"/>
      <c r="AW201" s="39"/>
      <c r="AX201" s="25"/>
      <c r="BA201" s="39"/>
      <c r="BB201" s="39"/>
      <c r="BC201" s="39"/>
      <c r="BD201" s="39"/>
      <c r="BE201" s="39"/>
      <c r="BF201" s="39"/>
      <c r="BG201" s="3"/>
      <c r="BK201" s="24"/>
      <c r="BL201" s="16"/>
      <c r="BM201" s="3"/>
      <c r="BN201" s="3"/>
      <c r="BO201" s="3"/>
      <c r="BP201" s="3"/>
      <c r="BQ201" s="3"/>
      <c r="BR201" s="17"/>
      <c r="BS201" s="39"/>
      <c r="BT201" s="25"/>
      <c r="BW201" s="39"/>
      <c r="BX201" s="39"/>
      <c r="BY201" s="39"/>
      <c r="BZ201" s="39"/>
      <c r="CA201" s="39"/>
    </row>
    <row r="202" spans="1:80" x14ac:dyDescent="0.35">
      <c r="A202" s="97"/>
      <c r="B202" s="97"/>
      <c r="C202" s="97"/>
      <c r="D202" s="97"/>
      <c r="E202" s="121"/>
      <c r="F202" s="97"/>
      <c r="G202" s="97"/>
      <c r="H202" s="97"/>
      <c r="I202" s="117"/>
      <c r="J202" s="97"/>
      <c r="K202" s="120" t="s">
        <v>31</v>
      </c>
      <c r="L202" s="122">
        <v>0.25</v>
      </c>
      <c r="M202" s="120" t="s">
        <v>30</v>
      </c>
      <c r="N202" s="122">
        <v>0.5</v>
      </c>
      <c r="O202" s="128">
        <f>1-EXP(-P202*$E$2)</f>
        <v>0.41407569795674304</v>
      </c>
      <c r="P202" s="126">
        <f>CA199</f>
        <v>16.036940254494866</v>
      </c>
      <c r="Q202" s="97"/>
      <c r="R202" s="97"/>
      <c r="S202" s="24" t="s">
        <v>16</v>
      </c>
      <c r="T202" s="18"/>
      <c r="U202" s="19"/>
      <c r="V202" s="19"/>
      <c r="W202" s="19"/>
      <c r="X202" s="19"/>
      <c r="Y202" s="19"/>
      <c r="Z202" s="19"/>
      <c r="AA202" s="19"/>
      <c r="AB202" s="59"/>
      <c r="AC202" s="23"/>
      <c r="AD202" s="3"/>
      <c r="AE202" s="3"/>
      <c r="AF202" s="3"/>
      <c r="AG202" s="3"/>
      <c r="AH202" s="3"/>
      <c r="AI202" s="3"/>
      <c r="AJ202" s="3"/>
      <c r="AK202" s="3"/>
      <c r="AL202" s="57"/>
      <c r="AO202" s="24" t="s">
        <v>16</v>
      </c>
      <c r="AP202" s="18"/>
      <c r="AQ202" s="19"/>
      <c r="AR202" s="19"/>
      <c r="AS202" s="19"/>
      <c r="AT202" s="19"/>
      <c r="AU202" s="19"/>
      <c r="AV202" s="19"/>
      <c r="AW202" s="19"/>
      <c r="AX202" s="59"/>
      <c r="AY202" s="23"/>
      <c r="AZ202" s="3"/>
      <c r="BA202" s="3"/>
      <c r="BB202" s="3"/>
      <c r="BC202" s="3"/>
      <c r="BD202" s="3"/>
      <c r="BE202" s="3"/>
      <c r="BF202" s="3"/>
      <c r="BG202" s="3"/>
      <c r="BK202" s="24" t="s">
        <v>16</v>
      </c>
      <c r="BL202" s="18"/>
      <c r="BM202" s="19"/>
      <c r="BN202" s="19"/>
      <c r="BO202" s="19"/>
      <c r="BP202" s="19"/>
      <c r="BQ202" s="19"/>
      <c r="BR202" s="19"/>
      <c r="BS202" s="19"/>
      <c r="BT202" s="59"/>
      <c r="BU202" s="23"/>
      <c r="BV202" s="3"/>
      <c r="BW202" s="3"/>
      <c r="BX202" s="3"/>
      <c r="BY202" s="3"/>
      <c r="BZ202" s="3"/>
      <c r="CA202" s="3"/>
    </row>
    <row r="203" spans="1:80" ht="13.15" thickBot="1" x14ac:dyDescent="0.4">
      <c r="A203" s="97"/>
      <c r="B203" s="97"/>
      <c r="C203" s="97"/>
      <c r="D203" s="97"/>
      <c r="E203" s="121"/>
      <c r="F203" s="97"/>
      <c r="G203" s="97"/>
      <c r="H203" s="97"/>
      <c r="I203" s="117"/>
      <c r="J203" s="97"/>
      <c r="K203" s="117">
        <f>O199*N199+O202*N202+O205*N205</f>
        <v>0.37609833594671982</v>
      </c>
      <c r="L203" s="97"/>
      <c r="M203" s="117"/>
      <c r="N203" s="97"/>
      <c r="O203" s="128"/>
      <c r="P203" s="126"/>
      <c r="Q203" s="97"/>
      <c r="R203" s="97"/>
      <c r="S203" s="24"/>
      <c r="T203" s="3"/>
      <c r="U203" s="3"/>
      <c r="V203" s="3"/>
      <c r="W203" s="3"/>
      <c r="X203" s="3"/>
      <c r="Y203" s="3"/>
      <c r="Z203" s="3"/>
      <c r="AA203" s="3"/>
      <c r="AC203" s="23"/>
      <c r="AD203" s="3"/>
      <c r="AE203" s="3"/>
      <c r="AF203" s="3"/>
      <c r="AG203" s="3"/>
      <c r="AH203" s="3"/>
      <c r="AI203" s="3"/>
      <c r="AJ203" s="3"/>
      <c r="AK203" s="3"/>
      <c r="AL203" s="57"/>
      <c r="AO203" s="24"/>
      <c r="AP203" s="3"/>
      <c r="AQ203" s="3"/>
      <c r="AR203" s="3"/>
      <c r="AS203" s="3"/>
      <c r="AT203" s="3"/>
      <c r="AU203" s="3"/>
      <c r="AV203" s="3"/>
      <c r="AW203" s="3"/>
      <c r="AY203" s="23"/>
      <c r="AZ203" s="3"/>
      <c r="BA203" s="3"/>
      <c r="BB203" s="3"/>
      <c r="BC203" s="3"/>
      <c r="BD203" s="3"/>
      <c r="BE203" s="3"/>
      <c r="BF203" s="3"/>
      <c r="BG203" s="3"/>
      <c r="BK203" s="24"/>
      <c r="BL203" s="3"/>
      <c r="BM203" s="3"/>
      <c r="BN203" s="3"/>
      <c r="BO203" s="3"/>
      <c r="BP203" s="3"/>
      <c r="BQ203" s="3"/>
      <c r="BR203" s="3"/>
      <c r="BS203" s="3"/>
      <c r="BU203" s="23"/>
      <c r="BV203" s="3"/>
      <c r="BW203" s="3"/>
      <c r="BX203" s="3"/>
      <c r="BY203" s="3"/>
      <c r="BZ203" s="3"/>
      <c r="CA203" s="3"/>
    </row>
    <row r="204" spans="1:80" ht="15.4" x14ac:dyDescent="0.45">
      <c r="A204" s="97"/>
      <c r="B204" s="97"/>
      <c r="C204" s="97"/>
      <c r="D204" s="97"/>
      <c r="E204" s="121"/>
      <c r="F204" s="97"/>
      <c r="G204" s="97"/>
      <c r="H204" s="97"/>
      <c r="I204" s="117"/>
      <c r="J204" s="97"/>
      <c r="K204" s="117"/>
      <c r="L204" s="97"/>
      <c r="M204" s="123"/>
      <c r="N204" s="97"/>
      <c r="O204" s="128"/>
      <c r="P204" s="126"/>
      <c r="Q204" s="97"/>
      <c r="R204" s="97"/>
      <c r="S204" s="53" t="s">
        <v>26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53" t="s">
        <v>26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K204" s="53" t="s">
        <v>26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</row>
    <row r="205" spans="1:80" ht="15.4" x14ac:dyDescent="0.45">
      <c r="A205" s="97"/>
      <c r="B205" s="97"/>
      <c r="C205" s="97"/>
      <c r="D205" s="97"/>
      <c r="E205" s="121"/>
      <c r="F205" s="97"/>
      <c r="G205" s="97"/>
      <c r="H205" s="97"/>
      <c r="I205" s="117"/>
      <c r="J205" s="97"/>
      <c r="K205" s="117"/>
      <c r="L205" s="97"/>
      <c r="M205" s="122" t="s">
        <v>29</v>
      </c>
      <c r="N205" s="122">
        <v>0.25</v>
      </c>
      <c r="O205" s="128">
        <f>1-EXP(-P205*$E$2)</f>
        <v>0.10139609349325063</v>
      </c>
      <c r="P205" s="126">
        <f>CA198</f>
        <v>3.2073880508989743</v>
      </c>
      <c r="Q205" s="97"/>
      <c r="R205" s="97"/>
      <c r="S205" s="54"/>
      <c r="AO205" s="54"/>
      <c r="BK205" s="54"/>
    </row>
    <row r="206" spans="1:80" ht="15.4" x14ac:dyDescent="0.45">
      <c r="A206" s="97"/>
      <c r="B206" s="97"/>
      <c r="C206" s="97"/>
      <c r="D206" s="97"/>
      <c r="E206" s="121"/>
      <c r="F206" s="97"/>
      <c r="G206" s="97"/>
      <c r="H206" s="97"/>
      <c r="I206" s="117"/>
      <c r="J206" s="97"/>
      <c r="K206" s="117"/>
      <c r="L206" s="97"/>
      <c r="M206" s="97"/>
      <c r="N206" s="97"/>
      <c r="O206" s="128"/>
      <c r="P206" s="126"/>
      <c r="Q206" s="97"/>
      <c r="R206" s="97"/>
      <c r="S206" s="49"/>
      <c r="T206" s="49" t="s">
        <v>12</v>
      </c>
      <c r="U206" s="49"/>
      <c r="V206" s="49"/>
      <c r="W206" s="49"/>
      <c r="X206" s="49"/>
      <c r="Y206" s="49"/>
      <c r="Z206" s="55" t="s">
        <v>13</v>
      </c>
      <c r="AA206" s="55" t="s">
        <v>27</v>
      </c>
      <c r="AB206" s="56"/>
      <c r="AC206" s="55" t="s">
        <v>28</v>
      </c>
      <c r="AD206" s="55" t="s">
        <v>15</v>
      </c>
      <c r="AE206" s="55" t="s">
        <v>29</v>
      </c>
      <c r="AF206" s="55" t="s">
        <v>30</v>
      </c>
      <c r="AG206" s="55" t="s">
        <v>31</v>
      </c>
      <c r="AH206" s="9"/>
      <c r="AJ206" s="55"/>
      <c r="AM206" s="51"/>
      <c r="AN206" s="51"/>
      <c r="AO206" s="49"/>
      <c r="AP206" s="49" t="s">
        <v>12</v>
      </c>
      <c r="AQ206" s="49"/>
      <c r="AR206" s="49"/>
      <c r="AS206" s="49"/>
      <c r="AT206" s="49"/>
      <c r="AU206" s="49"/>
      <c r="AV206" s="55" t="s">
        <v>13</v>
      </c>
      <c r="AW206" s="55" t="s">
        <v>27</v>
      </c>
      <c r="AX206" s="56"/>
      <c r="AY206" s="55" t="s">
        <v>28</v>
      </c>
      <c r="AZ206" s="55" t="s">
        <v>15</v>
      </c>
      <c r="BA206" s="55" t="s">
        <v>29</v>
      </c>
      <c r="BB206" s="55" t="s">
        <v>30</v>
      </c>
      <c r="BC206" s="55" t="s">
        <v>31</v>
      </c>
      <c r="BD206" s="9"/>
      <c r="BF206" s="55"/>
      <c r="BH206" s="51"/>
      <c r="BI206" s="51"/>
      <c r="BJ206" s="51"/>
      <c r="BK206" s="49"/>
      <c r="BL206" s="49" t="s">
        <v>12</v>
      </c>
      <c r="BM206" s="49"/>
      <c r="BN206" s="49"/>
      <c r="BO206" s="49"/>
      <c r="BP206" s="49"/>
      <c r="BQ206" s="49"/>
      <c r="BR206" s="55" t="s">
        <v>13</v>
      </c>
      <c r="BS206" s="55" t="s">
        <v>27</v>
      </c>
      <c r="BT206" s="56"/>
      <c r="BU206" s="55" t="s">
        <v>28</v>
      </c>
      <c r="BV206" s="55" t="s">
        <v>15</v>
      </c>
      <c r="BW206" s="55" t="s">
        <v>29</v>
      </c>
      <c r="BX206" s="55" t="s">
        <v>30</v>
      </c>
      <c r="BY206" s="55" t="s">
        <v>31</v>
      </c>
      <c r="BZ206" s="9"/>
      <c r="CB206" s="51"/>
    </row>
    <row r="207" spans="1:80" x14ac:dyDescent="0.35">
      <c r="A207" s="97"/>
      <c r="B207" s="97"/>
      <c r="C207" s="97"/>
      <c r="D207" s="97"/>
      <c r="E207" s="121"/>
      <c r="F207" s="97"/>
      <c r="G207" s="97"/>
      <c r="H207" s="97"/>
      <c r="I207" s="117"/>
      <c r="J207" s="97"/>
      <c r="K207" s="117"/>
      <c r="L207" s="97"/>
      <c r="M207" s="155" t="s">
        <v>42</v>
      </c>
      <c r="N207" s="155"/>
      <c r="O207" s="128"/>
      <c r="P207" s="126"/>
      <c r="Q207" s="97"/>
      <c r="R207" s="97"/>
      <c r="S207" s="24" t="s">
        <v>16</v>
      </c>
      <c r="T207" s="60" t="s">
        <v>32</v>
      </c>
      <c r="U207" s="5"/>
      <c r="V207" s="5"/>
      <c r="W207" s="5"/>
      <c r="X207" s="5"/>
      <c r="Y207" s="5"/>
      <c r="Z207" s="5"/>
      <c r="AA207" s="5"/>
      <c r="AB207" s="14"/>
      <c r="AC207" s="21"/>
      <c r="AD207" s="5"/>
      <c r="AE207" s="5"/>
      <c r="AF207" s="5"/>
      <c r="AG207" s="5"/>
      <c r="AH207" s="58"/>
      <c r="AJ207" s="3"/>
      <c r="AO207" s="24" t="s">
        <v>16</v>
      </c>
      <c r="AP207" s="60" t="s">
        <v>32</v>
      </c>
      <c r="AQ207" s="5"/>
      <c r="AR207" s="5"/>
      <c r="AS207" s="5"/>
      <c r="AT207" s="5"/>
      <c r="AU207" s="5"/>
      <c r="AV207" s="5"/>
      <c r="AW207" s="5"/>
      <c r="AX207" s="14"/>
      <c r="AY207" s="21"/>
      <c r="AZ207" s="5"/>
      <c r="BA207" s="5"/>
      <c r="BB207" s="5"/>
      <c r="BC207" s="5"/>
      <c r="BD207" s="58"/>
      <c r="BF207" s="3"/>
      <c r="BK207" s="24" t="s">
        <v>16</v>
      </c>
      <c r="BL207" s="60" t="s">
        <v>32</v>
      </c>
      <c r="BM207" s="5"/>
      <c r="BN207" s="5"/>
      <c r="BO207" s="5"/>
      <c r="BP207" s="5"/>
      <c r="BQ207" s="5"/>
      <c r="BR207" s="5"/>
      <c r="BS207" s="5"/>
      <c r="BT207" s="14"/>
      <c r="BU207" s="21"/>
      <c r="BV207" s="5"/>
      <c r="BW207" s="5"/>
      <c r="BX207" s="5"/>
      <c r="BY207" s="5"/>
      <c r="BZ207" s="58"/>
    </row>
    <row r="208" spans="1:80" x14ac:dyDescent="0.35">
      <c r="A208" s="97"/>
      <c r="B208" s="97"/>
      <c r="C208" s="97"/>
      <c r="D208" s="97"/>
      <c r="E208" s="121"/>
      <c r="F208" s="97"/>
      <c r="G208" s="97"/>
      <c r="H208" s="97"/>
      <c r="I208" s="117"/>
      <c r="J208" s="97"/>
      <c r="K208" s="117"/>
      <c r="L208" s="97"/>
      <c r="M208" s="97"/>
      <c r="N208" s="97"/>
      <c r="O208" s="128"/>
      <c r="P208" s="126"/>
      <c r="Q208" s="97"/>
      <c r="R208" s="97"/>
      <c r="S208" s="46" t="s">
        <v>16</v>
      </c>
      <c r="T208" s="140" t="s">
        <v>33</v>
      </c>
      <c r="U208" s="95"/>
      <c r="V208" s="95"/>
      <c r="W208" s="3"/>
      <c r="X208" s="3"/>
      <c r="Y208" s="3"/>
      <c r="Z208" s="17" t="s">
        <v>34</v>
      </c>
      <c r="AA208" s="44">
        <v>2</v>
      </c>
      <c r="AB208" s="7"/>
      <c r="AC208" s="41">
        <f>INDEX(AE208:AG208,AA208)</f>
        <v>2.75</v>
      </c>
      <c r="AD208" s="7" t="s">
        <v>35</v>
      </c>
      <c r="AE208" s="150">
        <v>0.95</v>
      </c>
      <c r="AF208" s="150">
        <v>2.75</v>
      </c>
      <c r="AG208" s="150">
        <v>5.4</v>
      </c>
      <c r="AH208" s="58"/>
      <c r="AJ208" s="42"/>
      <c r="AM208" s="95"/>
      <c r="AN208" s="95"/>
      <c r="AO208" s="46" t="s">
        <v>16</v>
      </c>
      <c r="AP208" s="43" t="s">
        <v>33</v>
      </c>
      <c r="AQ208" s="95"/>
      <c r="AR208" s="95"/>
      <c r="AS208" s="3"/>
      <c r="AT208" s="3"/>
      <c r="AU208" s="3"/>
      <c r="AV208" s="17" t="s">
        <v>34</v>
      </c>
      <c r="AW208" s="44">
        <v>2</v>
      </c>
      <c r="AX208" s="7"/>
      <c r="AY208" s="41">
        <f>INDEX(BA208:BC208,AW208)</f>
        <v>2.75</v>
      </c>
      <c r="AZ208" s="7" t="s">
        <v>35</v>
      </c>
      <c r="BA208" s="150">
        <v>0.95</v>
      </c>
      <c r="BB208" s="150">
        <v>2.75</v>
      </c>
      <c r="BC208" s="150">
        <v>5.4</v>
      </c>
      <c r="BD208" s="58"/>
      <c r="BF208" s="42"/>
      <c r="BH208" s="95"/>
      <c r="BI208" s="95"/>
      <c r="BJ208" s="95"/>
      <c r="BK208" s="46" t="s">
        <v>16</v>
      </c>
      <c r="BL208" s="43" t="s">
        <v>33</v>
      </c>
      <c r="BM208" s="95"/>
      <c r="BN208" s="95"/>
      <c r="BO208" s="3"/>
      <c r="BP208" s="3"/>
      <c r="BQ208" s="3"/>
      <c r="BR208" s="17" t="s">
        <v>34</v>
      </c>
      <c r="BS208" s="44">
        <v>2</v>
      </c>
      <c r="BT208" s="7"/>
      <c r="BU208" s="41">
        <f>INDEX(BW208:BY208,BS208)</f>
        <v>2.75</v>
      </c>
      <c r="BV208" s="7" t="s">
        <v>35</v>
      </c>
      <c r="BW208" s="150">
        <v>0.95</v>
      </c>
      <c r="BX208" s="150">
        <v>2.75</v>
      </c>
      <c r="BY208" s="150">
        <v>5.4</v>
      </c>
      <c r="BZ208" s="58"/>
      <c r="CB208" s="95"/>
    </row>
    <row r="209" spans="1:80" x14ac:dyDescent="0.35">
      <c r="A209" s="97"/>
      <c r="B209" s="97"/>
      <c r="C209" s="97"/>
      <c r="D209" s="97"/>
      <c r="E209" s="121"/>
      <c r="F209" s="97"/>
      <c r="G209" s="97"/>
      <c r="H209" s="97"/>
      <c r="I209" s="117"/>
      <c r="J209" s="97"/>
      <c r="K209" s="117"/>
      <c r="L209" s="97"/>
      <c r="M209" s="120" t="s">
        <v>31</v>
      </c>
      <c r="N209" s="122">
        <v>0.25</v>
      </c>
      <c r="O209" s="128">
        <f>1-EXP(-P209*$E$2)</f>
        <v>0.35386704405553748</v>
      </c>
      <c r="P209" s="126">
        <f>BZ200</f>
        <v>13.102499466625444</v>
      </c>
      <c r="Q209" s="97"/>
      <c r="R209" s="97"/>
      <c r="S209" s="46" t="s">
        <v>16</v>
      </c>
      <c r="T209" s="43" t="s">
        <v>36</v>
      </c>
      <c r="U209" s="95"/>
      <c r="V209" s="95"/>
      <c r="W209" s="3"/>
      <c r="X209" s="3"/>
      <c r="Y209" s="3"/>
      <c r="Z209" s="17" t="s">
        <v>34</v>
      </c>
      <c r="AA209" s="44">
        <v>2</v>
      </c>
      <c r="AB209" s="7"/>
      <c r="AC209" s="41">
        <f>INDEX(AE209:AG209,AA209)</f>
        <v>1.6</v>
      </c>
      <c r="AD209" s="7" t="s">
        <v>37</v>
      </c>
      <c r="AE209" s="62">
        <v>1.3</v>
      </c>
      <c r="AF209" s="63">
        <v>1.6</v>
      </c>
      <c r="AG209" s="64">
        <v>1.8</v>
      </c>
      <c r="AH209" s="58"/>
      <c r="AJ209" s="3"/>
      <c r="AM209" s="95"/>
      <c r="AN209" s="95"/>
      <c r="AO209" s="46" t="s">
        <v>16</v>
      </c>
      <c r="AP209" s="43" t="s">
        <v>36</v>
      </c>
      <c r="AQ209" s="95"/>
      <c r="AR209" s="95"/>
      <c r="AS209" s="3"/>
      <c r="AT209" s="3"/>
      <c r="AU209" s="3"/>
      <c r="AV209" s="17" t="s">
        <v>34</v>
      </c>
      <c r="AW209" s="44">
        <v>2</v>
      </c>
      <c r="AX209" s="7"/>
      <c r="AY209" s="41">
        <f>INDEX(BA209:BC209,AW209)</f>
        <v>1.6</v>
      </c>
      <c r="AZ209" s="7" t="s">
        <v>37</v>
      </c>
      <c r="BA209" s="62">
        <v>1.3</v>
      </c>
      <c r="BB209" s="63">
        <v>1.6</v>
      </c>
      <c r="BC209" s="64">
        <v>1.8</v>
      </c>
      <c r="BD209" s="58"/>
      <c r="BF209" s="3"/>
      <c r="BH209" s="95"/>
      <c r="BI209" s="95"/>
      <c r="BJ209" s="95"/>
      <c r="BK209" s="46" t="s">
        <v>16</v>
      </c>
      <c r="BL209" s="43" t="s">
        <v>36</v>
      </c>
      <c r="BM209" s="95"/>
      <c r="BN209" s="95"/>
      <c r="BO209" s="3"/>
      <c r="BP209" s="3"/>
      <c r="BQ209" s="3"/>
      <c r="BR209" s="17" t="s">
        <v>34</v>
      </c>
      <c r="BS209" s="44">
        <v>2</v>
      </c>
      <c r="BT209" s="7"/>
      <c r="BU209" s="41">
        <f>INDEX(BW209:BY209,BS209)</f>
        <v>1.6</v>
      </c>
      <c r="BV209" s="7" t="s">
        <v>37</v>
      </c>
      <c r="BW209" s="62">
        <v>1.3</v>
      </c>
      <c r="BX209" s="63">
        <v>1.6</v>
      </c>
      <c r="BY209" s="64">
        <v>1.8</v>
      </c>
      <c r="BZ209" s="58"/>
      <c r="CB209" s="95"/>
    </row>
    <row r="210" spans="1:80" x14ac:dyDescent="0.35">
      <c r="A210" s="97"/>
      <c r="B210" s="97"/>
      <c r="C210" s="97"/>
      <c r="D210" s="97"/>
      <c r="E210" s="121"/>
      <c r="F210" s="97"/>
      <c r="G210" s="97"/>
      <c r="H210" s="97"/>
      <c r="I210" s="117"/>
      <c r="J210" s="97"/>
      <c r="K210" s="117"/>
      <c r="L210" s="97"/>
      <c r="M210" s="117"/>
      <c r="N210" s="97"/>
      <c r="O210" s="128"/>
      <c r="P210" s="126"/>
      <c r="Q210" s="97"/>
      <c r="R210" s="97"/>
      <c r="S210" s="24" t="s">
        <v>16</v>
      </c>
      <c r="T210" s="140" t="s">
        <v>38</v>
      </c>
      <c r="U210" s="3"/>
      <c r="W210" s="3"/>
      <c r="X210" s="3"/>
      <c r="Y210" s="3"/>
      <c r="Z210" s="17" t="s">
        <v>39</v>
      </c>
      <c r="AA210" s="44">
        <v>3</v>
      </c>
      <c r="AB210" s="7"/>
      <c r="AC210" s="84">
        <f>INDEX(AE210:AG210,AA210)</f>
        <v>0.09</v>
      </c>
      <c r="AD210" s="7" t="s">
        <v>40</v>
      </c>
      <c r="AE210" s="81">
        <v>-0.05</v>
      </c>
      <c r="AF210" s="82">
        <v>7.0000000000000007E-2</v>
      </c>
      <c r="AG210" s="83">
        <v>0.09</v>
      </c>
      <c r="AH210" s="58"/>
      <c r="AJ210" s="47"/>
      <c r="AO210" s="24" t="s">
        <v>16</v>
      </c>
      <c r="AP210" s="43" t="s">
        <v>38</v>
      </c>
      <c r="AQ210" s="3"/>
      <c r="AS210" s="3"/>
      <c r="AT210" s="3"/>
      <c r="AU210" s="3"/>
      <c r="AV210" s="17" t="s">
        <v>39</v>
      </c>
      <c r="AW210" s="44">
        <v>2</v>
      </c>
      <c r="AX210" s="7"/>
      <c r="AY210" s="84">
        <f>INDEX(BA210:BC210,AW210)</f>
        <v>7.0000000000000007E-2</v>
      </c>
      <c r="AZ210" s="7" t="s">
        <v>40</v>
      </c>
      <c r="BA210" s="81">
        <v>-0.05</v>
      </c>
      <c r="BB210" s="82">
        <v>7.0000000000000007E-2</v>
      </c>
      <c r="BC210" s="83">
        <v>0.09</v>
      </c>
      <c r="BD210" s="58"/>
      <c r="BF210" s="47"/>
      <c r="BK210" s="24" t="s">
        <v>16</v>
      </c>
      <c r="BL210" s="43" t="s">
        <v>38</v>
      </c>
      <c r="BM210" s="3"/>
      <c r="BO210" s="3"/>
      <c r="BP210" s="3"/>
      <c r="BQ210" s="3"/>
      <c r="BR210" s="17" t="s">
        <v>39</v>
      </c>
      <c r="BS210" s="44">
        <v>1</v>
      </c>
      <c r="BT210" s="7"/>
      <c r="BU210" s="84">
        <f>INDEX(BW210:BY210,BS210)</f>
        <v>-0.05</v>
      </c>
      <c r="BV210" s="7" t="s">
        <v>40</v>
      </c>
      <c r="BW210" s="81">
        <v>-0.05</v>
      </c>
      <c r="BX210" s="82">
        <v>7.0000000000000007E-2</v>
      </c>
      <c r="BY210" s="83">
        <v>0.09</v>
      </c>
      <c r="BZ210" s="58"/>
    </row>
    <row r="211" spans="1:80" x14ac:dyDescent="0.35">
      <c r="A211" s="97"/>
      <c r="B211" s="97"/>
      <c r="C211" s="97"/>
      <c r="D211" s="97"/>
      <c r="E211" s="121"/>
      <c r="F211" s="97"/>
      <c r="G211" s="97"/>
      <c r="H211" s="97"/>
      <c r="I211" s="123"/>
      <c r="J211" s="97"/>
      <c r="K211" s="117"/>
      <c r="L211" s="97"/>
      <c r="M211" s="117"/>
      <c r="N211" s="97"/>
      <c r="O211" s="128"/>
      <c r="P211" s="126"/>
      <c r="Q211" s="97"/>
      <c r="R211" s="97"/>
      <c r="S211" s="24" t="s">
        <v>16</v>
      </c>
      <c r="T211" s="13" t="s">
        <v>41</v>
      </c>
      <c r="V211" s="3"/>
      <c r="W211" s="3"/>
      <c r="X211" s="3"/>
      <c r="Y211" s="3"/>
      <c r="Z211" s="3"/>
      <c r="AA211" s="132"/>
      <c r="AC211" s="40"/>
      <c r="AD211" s="3"/>
      <c r="AE211" s="26"/>
      <c r="AF211" s="26"/>
      <c r="AG211" s="26"/>
      <c r="AH211" s="58"/>
      <c r="AJ211" s="3"/>
      <c r="AO211" s="24" t="s">
        <v>16</v>
      </c>
      <c r="AP211" s="13" t="s">
        <v>41</v>
      </c>
      <c r="AR211" s="3"/>
      <c r="AS211" s="3"/>
      <c r="AT211" s="3"/>
      <c r="AU211" s="3"/>
      <c r="AV211" s="3"/>
      <c r="AW211" s="132"/>
      <c r="AY211" s="40"/>
      <c r="AZ211" s="3"/>
      <c r="BA211" s="26"/>
      <c r="BB211" s="26"/>
      <c r="BC211" s="26"/>
      <c r="BD211" s="58"/>
      <c r="BF211" s="3"/>
      <c r="BK211" s="24" t="s">
        <v>16</v>
      </c>
      <c r="BL211" s="13" t="s">
        <v>41</v>
      </c>
      <c r="BN211" s="3"/>
      <c r="BO211" s="3"/>
      <c r="BP211" s="3"/>
      <c r="BQ211" s="3"/>
      <c r="BR211" s="3"/>
      <c r="BS211" s="132"/>
      <c r="BU211" s="40"/>
      <c r="BV211" s="3"/>
      <c r="BW211" s="26"/>
      <c r="BX211" s="26"/>
      <c r="BY211" s="26"/>
      <c r="BZ211" s="58"/>
    </row>
    <row r="212" spans="1:80" x14ac:dyDescent="0.35">
      <c r="A212" s="97"/>
      <c r="B212" s="97"/>
      <c r="C212" s="97"/>
      <c r="D212" s="97"/>
      <c r="E212" s="121"/>
      <c r="F212" s="97"/>
      <c r="G212" s="97"/>
      <c r="H212" s="97"/>
      <c r="I212" s="122" t="s">
        <v>29</v>
      </c>
      <c r="J212" s="122">
        <v>0.25</v>
      </c>
      <c r="K212" s="120" t="s">
        <v>30</v>
      </c>
      <c r="L212" s="122">
        <v>0.5</v>
      </c>
      <c r="M212" s="120" t="s">
        <v>30</v>
      </c>
      <c r="N212" s="122">
        <v>0.5</v>
      </c>
      <c r="O212" s="128">
        <f>1-EXP(-P212*$E$2)</f>
        <v>0.23888341939231661</v>
      </c>
      <c r="P212" s="126">
        <f>BZ199</f>
        <v>8.1890621666409036</v>
      </c>
      <c r="Q212" s="97"/>
      <c r="R212" s="97"/>
      <c r="S212" s="24" t="s">
        <v>16</v>
      </c>
      <c r="T212" s="139" t="s">
        <v>42</v>
      </c>
      <c r="U212" s="3"/>
      <c r="V212" s="3"/>
      <c r="W212" s="3"/>
      <c r="X212" s="3"/>
      <c r="Y212" s="3"/>
      <c r="Z212" s="17" t="s">
        <v>43</v>
      </c>
      <c r="AA212" s="44">
        <v>2</v>
      </c>
      <c r="AC212" s="84">
        <f>INDEX(AE212:AG212,AA212)</f>
        <v>10.75</v>
      </c>
      <c r="AD212" s="7" t="s">
        <v>44</v>
      </c>
      <c r="AE212" s="85">
        <v>9.75</v>
      </c>
      <c r="AF212" s="86">
        <v>10.75</v>
      </c>
      <c r="AG212" s="87">
        <v>11.5</v>
      </c>
      <c r="AH212" s="58"/>
      <c r="AO212" s="24" t="s">
        <v>16</v>
      </c>
      <c r="AP212" s="16" t="s">
        <v>42</v>
      </c>
      <c r="AQ212" s="3"/>
      <c r="AR212" s="3"/>
      <c r="AS212" s="3"/>
      <c r="AT212" s="3"/>
      <c r="AU212" s="3"/>
      <c r="AV212" s="17" t="s">
        <v>43</v>
      </c>
      <c r="AW212" s="44">
        <v>2</v>
      </c>
      <c r="AY212" s="84">
        <f>INDEX(BA212:BC212,AW212)</f>
        <v>10.75</v>
      </c>
      <c r="AZ212" s="7" t="s">
        <v>44</v>
      </c>
      <c r="BA212" s="85">
        <v>9.75</v>
      </c>
      <c r="BB212" s="86">
        <v>10.75</v>
      </c>
      <c r="BC212" s="87">
        <v>11.5</v>
      </c>
      <c r="BD212" s="58"/>
      <c r="BK212" s="24" t="s">
        <v>16</v>
      </c>
      <c r="BL212" s="16" t="s">
        <v>42</v>
      </c>
      <c r="BM212" s="3"/>
      <c r="BN212" s="3"/>
      <c r="BO212" s="3"/>
      <c r="BP212" s="3"/>
      <c r="BQ212" s="3"/>
      <c r="BR212" s="17" t="s">
        <v>43</v>
      </c>
      <c r="BS212" s="44">
        <v>2</v>
      </c>
      <c r="BU212" s="84">
        <f>INDEX(BW212:BY212,BS212)</f>
        <v>10.75</v>
      </c>
      <c r="BV212" s="7" t="s">
        <v>44</v>
      </c>
      <c r="BW212" s="85">
        <v>9.75</v>
      </c>
      <c r="BX212" s="86">
        <v>10.75</v>
      </c>
      <c r="BY212" s="87">
        <v>11.5</v>
      </c>
      <c r="BZ212" s="58"/>
    </row>
    <row r="213" spans="1:80" x14ac:dyDescent="0.35">
      <c r="A213" s="97"/>
      <c r="B213" s="97"/>
      <c r="C213" s="97"/>
      <c r="D213" s="97"/>
      <c r="E213" s="121"/>
      <c r="F213" s="97"/>
      <c r="G213" s="97"/>
      <c r="H213" s="97"/>
      <c r="I213" s="97">
        <f>L202*K203+L212*K213+L222*K223</f>
        <v>0.22578929865386202</v>
      </c>
      <c r="J213" s="97"/>
      <c r="K213" s="117">
        <f>O209*N209+O212*N212+O215*N215</f>
        <v>0.2211910362692312</v>
      </c>
      <c r="L213" s="97"/>
      <c r="M213" s="117"/>
      <c r="N213" s="97"/>
      <c r="O213" s="128"/>
      <c r="P213" s="126"/>
      <c r="Q213" s="97"/>
      <c r="R213" s="97"/>
      <c r="S213" s="24" t="s">
        <v>16</v>
      </c>
      <c r="T213" s="16" t="s">
        <v>45</v>
      </c>
      <c r="V213" s="3"/>
      <c r="W213" s="3"/>
      <c r="X213" s="3"/>
      <c r="Y213" s="3"/>
      <c r="Z213" s="17" t="s">
        <v>43</v>
      </c>
      <c r="AA213" s="44">
        <v>2</v>
      </c>
      <c r="AB213" s="7"/>
      <c r="AC213" s="41">
        <f>INDEX(AE213:AG213,AA213)</f>
        <v>9.5</v>
      </c>
      <c r="AD213" s="7" t="s">
        <v>46</v>
      </c>
      <c r="AE213" s="85">
        <v>9.25</v>
      </c>
      <c r="AF213" s="86">
        <v>9.5</v>
      </c>
      <c r="AG213" s="87">
        <v>9.75</v>
      </c>
      <c r="AH213" s="58"/>
      <c r="AO213" s="24" t="s">
        <v>16</v>
      </c>
      <c r="AP213" s="16" t="s">
        <v>45</v>
      </c>
      <c r="AR213" s="3"/>
      <c r="AS213" s="3"/>
      <c r="AT213" s="3"/>
      <c r="AU213" s="3"/>
      <c r="AV213" s="17" t="s">
        <v>43</v>
      </c>
      <c r="AW213" s="44">
        <v>2</v>
      </c>
      <c r="AX213" s="7"/>
      <c r="AY213" s="41">
        <f>INDEX(BA213:BC213,AW213)</f>
        <v>9.5</v>
      </c>
      <c r="AZ213" s="7" t="s">
        <v>46</v>
      </c>
      <c r="BA213" s="85">
        <v>9.25</v>
      </c>
      <c r="BB213" s="86">
        <v>9.5</v>
      </c>
      <c r="BC213" s="87">
        <v>9.75</v>
      </c>
      <c r="BD213" s="58"/>
      <c r="BK213" s="24" t="s">
        <v>16</v>
      </c>
      <c r="BL213" s="16" t="s">
        <v>45</v>
      </c>
      <c r="BN213" s="3"/>
      <c r="BO213" s="3"/>
      <c r="BP213" s="3"/>
      <c r="BQ213" s="3"/>
      <c r="BR213" s="17" t="s">
        <v>43</v>
      </c>
      <c r="BS213" s="44">
        <v>2</v>
      </c>
      <c r="BT213" s="7"/>
      <c r="BU213" s="41">
        <f>INDEX(BW213:BY213,BS213)</f>
        <v>9.5</v>
      </c>
      <c r="BV213" s="7" t="s">
        <v>46</v>
      </c>
      <c r="BW213" s="85">
        <v>9.25</v>
      </c>
      <c r="BX213" s="86">
        <v>9.5</v>
      </c>
      <c r="BY213" s="87">
        <v>9.75</v>
      </c>
      <c r="BZ213" s="58"/>
    </row>
    <row r="214" spans="1:80" x14ac:dyDescent="0.35">
      <c r="A214" s="97"/>
      <c r="B214" s="97"/>
      <c r="C214" s="97"/>
      <c r="D214" s="97"/>
      <c r="E214" s="121"/>
      <c r="F214" s="97"/>
      <c r="G214" s="97"/>
      <c r="H214" s="97"/>
      <c r="I214" s="97"/>
      <c r="J214" s="97"/>
      <c r="K214" s="117"/>
      <c r="L214" s="97"/>
      <c r="M214" s="123"/>
      <c r="N214" s="97"/>
      <c r="O214" s="128"/>
      <c r="P214" s="126"/>
      <c r="Q214" s="97"/>
      <c r="R214" s="97"/>
      <c r="S214" s="24"/>
      <c r="T214" s="16" t="s">
        <v>47</v>
      </c>
      <c r="V214" s="3"/>
      <c r="W214" s="3"/>
      <c r="X214" s="3"/>
      <c r="Y214" s="3"/>
      <c r="Z214" s="17" t="s">
        <v>48</v>
      </c>
      <c r="AA214" s="44">
        <v>2</v>
      </c>
      <c r="AB214" s="7"/>
      <c r="AC214" s="84">
        <f>INDEX(AE214:AG214,AA214)</f>
        <v>14.5</v>
      </c>
      <c r="AD214" s="7" t="s">
        <v>49</v>
      </c>
      <c r="AE214" s="88">
        <v>13</v>
      </c>
      <c r="AF214" s="89">
        <v>14.5</v>
      </c>
      <c r="AG214" s="90">
        <v>17</v>
      </c>
      <c r="AH214" s="58"/>
      <c r="AO214" s="24"/>
      <c r="AP214" s="16" t="s">
        <v>47</v>
      </c>
      <c r="AR214" s="3"/>
      <c r="AS214" s="3"/>
      <c r="AT214" s="3"/>
      <c r="AU214" s="3"/>
      <c r="AV214" s="17" t="s">
        <v>48</v>
      </c>
      <c r="AW214" s="44">
        <v>2</v>
      </c>
      <c r="AX214" s="7"/>
      <c r="AY214" s="84">
        <f>INDEX(BA214:BC214,AW214)</f>
        <v>14.5</v>
      </c>
      <c r="AZ214" s="7" t="s">
        <v>49</v>
      </c>
      <c r="BA214" s="88">
        <v>13</v>
      </c>
      <c r="BB214" s="89">
        <v>14.5</v>
      </c>
      <c r="BC214" s="90">
        <v>17</v>
      </c>
      <c r="BD214" s="58"/>
      <c r="BK214" s="24"/>
      <c r="BL214" s="16" t="s">
        <v>47</v>
      </c>
      <c r="BN214" s="3"/>
      <c r="BO214" s="3"/>
      <c r="BP214" s="3"/>
      <c r="BQ214" s="3"/>
      <c r="BR214" s="17" t="s">
        <v>48</v>
      </c>
      <c r="BS214" s="44">
        <v>2</v>
      </c>
      <c r="BT214" s="7"/>
      <c r="BU214" s="84">
        <f>INDEX(BW214:BY214,BS214)</f>
        <v>14.5</v>
      </c>
      <c r="BV214" s="7" t="s">
        <v>49</v>
      </c>
      <c r="BW214" s="88">
        <v>13</v>
      </c>
      <c r="BX214" s="89">
        <v>14.5</v>
      </c>
      <c r="BY214" s="90">
        <v>17</v>
      </c>
      <c r="BZ214" s="58"/>
    </row>
    <row r="215" spans="1:80" x14ac:dyDescent="0.35">
      <c r="A215" s="97"/>
      <c r="B215" s="97"/>
      <c r="C215" s="97"/>
      <c r="D215" s="97"/>
      <c r="E215" s="121"/>
      <c r="F215" s="97"/>
      <c r="G215" s="97"/>
      <c r="H215" s="97"/>
      <c r="I215" s="97"/>
      <c r="J215" s="97"/>
      <c r="K215" s="117"/>
      <c r="L215" s="97"/>
      <c r="M215" s="122" t="s">
        <v>29</v>
      </c>
      <c r="N215" s="122">
        <v>0.25</v>
      </c>
      <c r="O215" s="128">
        <f>1-EXP(-P215*$E$2)</f>
        <v>5.31302622367541E-2</v>
      </c>
      <c r="P215" s="126">
        <f>BZ198</f>
        <v>1.6378124333281801</v>
      </c>
      <c r="Q215" s="97"/>
      <c r="R215" s="97"/>
      <c r="T215" s="16"/>
      <c r="AA215" s="66"/>
      <c r="AH215" s="58"/>
      <c r="AP215" s="16"/>
      <c r="AW215" s="66"/>
      <c r="BD215" s="58"/>
      <c r="BL215" s="16"/>
      <c r="BS215" s="66"/>
      <c r="BZ215" s="58"/>
    </row>
    <row r="216" spans="1:80" x14ac:dyDescent="0.35">
      <c r="A216" s="97"/>
      <c r="B216" s="97"/>
      <c r="C216" s="97"/>
      <c r="D216" s="97"/>
      <c r="E216" s="121"/>
      <c r="F216" s="97"/>
      <c r="G216" s="97"/>
      <c r="H216" s="97"/>
      <c r="I216" s="97"/>
      <c r="J216" s="97"/>
      <c r="K216" s="117"/>
      <c r="L216" s="97"/>
      <c r="M216" s="97"/>
      <c r="N216" s="97"/>
      <c r="O216" s="128"/>
      <c r="P216" s="126"/>
      <c r="Q216" s="97"/>
      <c r="R216" s="97"/>
      <c r="S216" s="24" t="s">
        <v>16</v>
      </c>
      <c r="T216" s="22"/>
      <c r="U216" s="3"/>
      <c r="V216" s="3"/>
      <c r="W216" s="3"/>
      <c r="X216" s="3"/>
      <c r="Y216" s="3"/>
      <c r="AA216" s="66"/>
      <c r="AH216" s="58"/>
      <c r="AO216" s="24" t="s">
        <v>16</v>
      </c>
      <c r="AP216" s="22"/>
      <c r="AQ216" s="3"/>
      <c r="AR216" s="3"/>
      <c r="AS216" s="3"/>
      <c r="AT216" s="3"/>
      <c r="AU216" s="3"/>
      <c r="AW216" s="66"/>
      <c r="BD216" s="58"/>
      <c r="BK216" s="24" t="s">
        <v>16</v>
      </c>
      <c r="BL216" s="22"/>
      <c r="BM216" s="3"/>
      <c r="BN216" s="3"/>
      <c r="BO216" s="3"/>
      <c r="BP216" s="3"/>
      <c r="BQ216" s="3"/>
      <c r="BS216" s="66"/>
      <c r="BZ216" s="58"/>
    </row>
    <row r="217" spans="1:80" x14ac:dyDescent="0.35">
      <c r="A217" s="97"/>
      <c r="B217" s="97"/>
      <c r="C217" s="97"/>
      <c r="D217" s="97"/>
      <c r="E217" s="121"/>
      <c r="F217" s="97"/>
      <c r="G217" s="97"/>
      <c r="H217" s="97"/>
      <c r="I217" s="97"/>
      <c r="J217" s="97"/>
      <c r="K217" s="117"/>
      <c r="L217" s="97"/>
      <c r="M217" s="155" t="s">
        <v>42</v>
      </c>
      <c r="N217" s="155"/>
      <c r="O217" s="128"/>
      <c r="P217" s="126"/>
      <c r="Q217" s="97"/>
      <c r="R217" s="97"/>
      <c r="S217" s="46" t="s">
        <v>16</v>
      </c>
      <c r="T217" s="43"/>
      <c r="U217" s="95"/>
      <c r="V217" s="3"/>
      <c r="W217" s="3"/>
      <c r="X217" s="3"/>
      <c r="Y217" s="3"/>
      <c r="Z217" s="17"/>
      <c r="AA217" s="65"/>
      <c r="AB217" s="7"/>
      <c r="AC217" s="42"/>
      <c r="AD217" s="7"/>
      <c r="AE217" s="42"/>
      <c r="AF217" s="42"/>
      <c r="AG217" s="42"/>
      <c r="AH217" s="58"/>
      <c r="AM217" s="95"/>
      <c r="AN217" s="95"/>
      <c r="AO217" s="46" t="s">
        <v>16</v>
      </c>
      <c r="AP217" s="43"/>
      <c r="AQ217" s="95"/>
      <c r="AR217" s="3"/>
      <c r="AS217" s="3"/>
      <c r="AT217" s="3"/>
      <c r="AU217" s="3"/>
      <c r="AV217" s="17"/>
      <c r="AW217" s="65"/>
      <c r="AX217" s="7"/>
      <c r="AY217" s="42"/>
      <c r="AZ217" s="7"/>
      <c r="BA217" s="42"/>
      <c r="BB217" s="42"/>
      <c r="BC217" s="42"/>
      <c r="BD217" s="58"/>
      <c r="BH217" s="95"/>
      <c r="BI217" s="95"/>
      <c r="BJ217" s="95"/>
      <c r="BK217" s="46" t="s">
        <v>16</v>
      </c>
      <c r="BL217" s="43"/>
      <c r="BM217" s="95"/>
      <c r="BN217" s="3"/>
      <c r="BO217" s="3"/>
      <c r="BP217" s="3"/>
      <c r="BQ217" s="3"/>
      <c r="BR217" s="17"/>
      <c r="BS217" s="65"/>
      <c r="BT217" s="7"/>
      <c r="BU217" s="42"/>
      <c r="BV217" s="7"/>
      <c r="BW217" s="42"/>
      <c r="BX217" s="42"/>
      <c r="BY217" s="42"/>
      <c r="BZ217" s="58"/>
      <c r="CB217" s="95"/>
    </row>
    <row r="218" spans="1:80" x14ac:dyDescent="0.35">
      <c r="A218" s="97"/>
      <c r="B218" s="97"/>
      <c r="C218" s="97"/>
      <c r="D218" s="97"/>
      <c r="E218" s="121"/>
      <c r="F218" s="97"/>
      <c r="G218" s="97"/>
      <c r="H218" s="97"/>
      <c r="I218" s="97"/>
      <c r="J218" s="97"/>
      <c r="K218" s="117"/>
      <c r="L218" s="97"/>
      <c r="M218" s="97"/>
      <c r="N218" s="97"/>
      <c r="O218" s="128"/>
      <c r="P218" s="126"/>
      <c r="Q218" s="97"/>
      <c r="R218" s="97"/>
      <c r="S218" s="2"/>
      <c r="T218" s="29"/>
      <c r="U218" s="19"/>
      <c r="V218" s="19"/>
      <c r="W218" s="19"/>
      <c r="X218" s="19"/>
      <c r="Y218" s="19"/>
      <c r="Z218" s="20"/>
      <c r="AA218" s="20"/>
      <c r="AB218" s="9"/>
      <c r="AC218" s="30"/>
      <c r="AD218" s="61"/>
      <c r="AE218" s="30"/>
      <c r="AF218" s="30"/>
      <c r="AG218" s="30"/>
      <c r="AH218" s="59"/>
      <c r="AJ218" s="42"/>
      <c r="AO218" s="2"/>
      <c r="AP218" s="29"/>
      <c r="AQ218" s="19"/>
      <c r="AR218" s="19"/>
      <c r="AS218" s="19"/>
      <c r="AT218" s="19"/>
      <c r="AU218" s="19"/>
      <c r="AV218" s="20"/>
      <c r="AW218" s="20"/>
      <c r="AX218" s="9"/>
      <c r="AY218" s="30"/>
      <c r="AZ218" s="61"/>
      <c r="BA218" s="30"/>
      <c r="BB218" s="30"/>
      <c r="BC218" s="30"/>
      <c r="BD218" s="59"/>
      <c r="BF218" s="42"/>
      <c r="BK218" s="2"/>
      <c r="BL218" s="29"/>
      <c r="BM218" s="19"/>
      <c r="BN218" s="19"/>
      <c r="BO218" s="19"/>
      <c r="BP218" s="19"/>
      <c r="BQ218" s="19"/>
      <c r="BR218" s="20"/>
      <c r="BS218" s="20"/>
      <c r="BT218" s="9"/>
      <c r="BU218" s="30"/>
      <c r="BV218" s="61"/>
      <c r="BW218" s="30"/>
      <c r="BX218" s="30"/>
      <c r="BY218" s="30"/>
      <c r="BZ218" s="59"/>
    </row>
    <row r="219" spans="1:80" ht="13.15" thickBot="1" x14ac:dyDescent="0.4">
      <c r="A219" s="97"/>
      <c r="B219" s="97"/>
      <c r="C219" s="97"/>
      <c r="D219" s="97"/>
      <c r="E219" s="121"/>
      <c r="F219" s="97"/>
      <c r="G219" s="97"/>
      <c r="H219" s="97"/>
      <c r="I219" s="97"/>
      <c r="J219" s="97"/>
      <c r="K219" s="117"/>
      <c r="L219" s="97"/>
      <c r="M219" s="120" t="s">
        <v>31</v>
      </c>
      <c r="N219" s="122">
        <v>0.25</v>
      </c>
      <c r="O219" s="128">
        <f>1-EXP(-P219*$E$2)</f>
        <v>0.14004676282026929</v>
      </c>
      <c r="P219" s="126">
        <f>BY200</f>
        <v>4.5263179975615166</v>
      </c>
      <c r="Q219" s="97"/>
      <c r="R219" s="97"/>
    </row>
    <row r="220" spans="1:80" ht="15.4" x14ac:dyDescent="0.45">
      <c r="A220" s="97"/>
      <c r="B220" s="97"/>
      <c r="C220" s="97"/>
      <c r="D220" s="97"/>
      <c r="E220" s="121"/>
      <c r="F220" s="97"/>
      <c r="G220" s="97"/>
      <c r="H220" s="97"/>
      <c r="I220" s="97"/>
      <c r="J220" s="97"/>
      <c r="K220" s="117"/>
      <c r="L220" s="97"/>
      <c r="M220" s="117"/>
      <c r="N220" s="97"/>
      <c r="O220" s="128"/>
      <c r="P220" s="126"/>
      <c r="Q220" s="97"/>
      <c r="R220" s="97"/>
      <c r="S220" s="53" t="s">
        <v>50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O220" s="53" t="s">
        <v>50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K220" s="53" t="s">
        <v>50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</row>
    <row r="221" spans="1:80" ht="15.4" x14ac:dyDescent="0.45">
      <c r="A221" s="97"/>
      <c r="B221" s="97"/>
      <c r="C221" s="97"/>
      <c r="D221" s="97"/>
      <c r="E221" s="121"/>
      <c r="F221" s="97"/>
      <c r="G221" s="97"/>
      <c r="H221" s="97"/>
      <c r="I221" s="97"/>
      <c r="J221" s="97"/>
      <c r="K221" s="123"/>
      <c r="L221" s="97"/>
      <c r="M221" s="117"/>
      <c r="N221" s="97"/>
      <c r="O221" s="128"/>
      <c r="P221" s="126"/>
      <c r="Q221" s="97"/>
      <c r="R221" s="97"/>
      <c r="S221" s="54"/>
      <c r="AO221" s="54"/>
      <c r="BK221" s="54"/>
    </row>
    <row r="222" spans="1:80" ht="15.4" x14ac:dyDescent="0.45">
      <c r="A222" s="97"/>
      <c r="B222" s="97"/>
      <c r="C222" s="97"/>
      <c r="D222" s="97"/>
      <c r="E222" s="121"/>
      <c r="F222" s="97"/>
      <c r="G222" s="97"/>
      <c r="H222" s="97"/>
      <c r="I222" s="97"/>
      <c r="J222" s="97"/>
      <c r="K222" s="122" t="s">
        <v>29</v>
      </c>
      <c r="L222" s="122">
        <v>0.25</v>
      </c>
      <c r="M222" s="120" t="s">
        <v>30</v>
      </c>
      <c r="N222" s="122">
        <v>0.5</v>
      </c>
      <c r="O222" s="128">
        <f>1-EXP(-P222*$E$2)</f>
        <v>8.9988726981783396E-2</v>
      </c>
      <c r="P222" s="126">
        <f>BY199</f>
        <v>2.8289487484759483</v>
      </c>
      <c r="Q222" s="97"/>
      <c r="R222" s="97"/>
      <c r="S222" s="54" t="str">
        <f>jm</f>
        <v>Joint Venture</v>
      </c>
      <c r="AO222" s="54" t="str">
        <f>nb</f>
        <v>Joint Venture</v>
      </c>
      <c r="BK222" s="54" t="str">
        <f>rrff</f>
        <v>Joint Venture</v>
      </c>
    </row>
    <row r="223" spans="1:80" x14ac:dyDescent="0.35">
      <c r="A223" s="97"/>
      <c r="B223" s="97"/>
      <c r="C223" s="97"/>
      <c r="D223" s="97"/>
      <c r="E223" s="121"/>
      <c r="F223" s="97"/>
      <c r="G223" s="97"/>
      <c r="H223" s="97"/>
      <c r="I223" s="97"/>
      <c r="J223" s="97"/>
      <c r="K223" s="97">
        <f>O219*N219+O222*N222+O225*N225</f>
        <v>8.467678613026583E-2</v>
      </c>
      <c r="L223" s="97"/>
      <c r="M223" s="117"/>
      <c r="N223" s="97"/>
      <c r="O223" s="128"/>
      <c r="P223" s="126"/>
      <c r="Q223" s="97"/>
      <c r="R223" s="97"/>
      <c r="S223" s="13"/>
      <c r="AO223" s="13"/>
      <c r="BK223" s="13"/>
    </row>
    <row r="224" spans="1:80" ht="15" x14ac:dyDescent="0.4">
      <c r="A224" s="97"/>
      <c r="B224" s="97"/>
      <c r="C224" s="97"/>
      <c r="D224" s="97"/>
      <c r="E224" s="121"/>
      <c r="F224" s="97"/>
      <c r="G224" s="97"/>
      <c r="H224" s="97"/>
      <c r="I224" s="97"/>
      <c r="J224" s="97"/>
      <c r="K224" s="97"/>
      <c r="L224" s="97"/>
      <c r="M224" s="123"/>
      <c r="N224" s="97"/>
      <c r="O224" s="128"/>
      <c r="P224" s="126"/>
      <c r="Q224" s="97"/>
      <c r="R224" s="97"/>
      <c r="S224" s="51" t="s">
        <v>51</v>
      </c>
      <c r="T224" s="48"/>
      <c r="U224" s="48"/>
      <c r="Y224" s="7"/>
      <c r="Z224" s="52">
        <v>2026</v>
      </c>
      <c r="AA224" s="52">
        <f t="shared" ref="AA224:AI224" si="59">Z224+1</f>
        <v>2027</v>
      </c>
      <c r="AB224" s="52">
        <f t="shared" si="59"/>
        <v>2028</v>
      </c>
      <c r="AC224" s="52">
        <f t="shared" si="59"/>
        <v>2029</v>
      </c>
      <c r="AD224" s="52">
        <f t="shared" si="59"/>
        <v>2030</v>
      </c>
      <c r="AE224" s="52">
        <f t="shared" si="59"/>
        <v>2031</v>
      </c>
      <c r="AF224" s="52">
        <f t="shared" si="59"/>
        <v>2032</v>
      </c>
      <c r="AG224" s="52">
        <f t="shared" si="59"/>
        <v>2033</v>
      </c>
      <c r="AH224" s="52">
        <f t="shared" si="59"/>
        <v>2034</v>
      </c>
      <c r="AI224" s="52">
        <f t="shared" si="59"/>
        <v>2035</v>
      </c>
      <c r="AO224" s="51" t="s">
        <v>51</v>
      </c>
      <c r="AP224" s="48"/>
      <c r="AQ224" s="48"/>
      <c r="AU224" s="7"/>
      <c r="AV224" s="52">
        <v>2026</v>
      </c>
      <c r="AW224" s="52">
        <f t="shared" ref="AW224:BE224" si="60">AV224+1</f>
        <v>2027</v>
      </c>
      <c r="AX224" s="52">
        <f t="shared" si="60"/>
        <v>2028</v>
      </c>
      <c r="AY224" s="52">
        <f t="shared" si="60"/>
        <v>2029</v>
      </c>
      <c r="AZ224" s="52">
        <f t="shared" si="60"/>
        <v>2030</v>
      </c>
      <c r="BA224" s="52">
        <f t="shared" si="60"/>
        <v>2031</v>
      </c>
      <c r="BB224" s="52">
        <f t="shared" si="60"/>
        <v>2032</v>
      </c>
      <c r="BC224" s="52">
        <f t="shared" si="60"/>
        <v>2033</v>
      </c>
      <c r="BD224" s="52">
        <f t="shared" si="60"/>
        <v>2034</v>
      </c>
      <c r="BE224" s="52">
        <f t="shared" si="60"/>
        <v>2035</v>
      </c>
      <c r="BK224" s="51" t="s">
        <v>51</v>
      </c>
      <c r="BL224" s="48"/>
      <c r="BM224" s="48"/>
      <c r="BQ224" s="7"/>
      <c r="BR224" s="52">
        <v>2026</v>
      </c>
      <c r="BS224" s="52">
        <f t="shared" ref="BS224:CA224" si="61">BR224+1</f>
        <v>2027</v>
      </c>
      <c r="BT224" s="52">
        <f t="shared" si="61"/>
        <v>2028</v>
      </c>
      <c r="BU224" s="52">
        <f t="shared" si="61"/>
        <v>2029</v>
      </c>
      <c r="BV224" s="52">
        <f t="shared" si="61"/>
        <v>2030</v>
      </c>
      <c r="BW224" s="52">
        <f t="shared" si="61"/>
        <v>2031</v>
      </c>
      <c r="BX224" s="52">
        <f t="shared" si="61"/>
        <v>2032</v>
      </c>
      <c r="BY224" s="52">
        <f t="shared" si="61"/>
        <v>2033</v>
      </c>
      <c r="BZ224" s="52">
        <f t="shared" si="61"/>
        <v>2034</v>
      </c>
      <c r="CA224" s="52">
        <f t="shared" si="61"/>
        <v>2035</v>
      </c>
    </row>
    <row r="225" spans="1:80" ht="15" x14ac:dyDescent="0.4">
      <c r="A225" s="97"/>
      <c r="B225" s="97"/>
      <c r="C225" s="97"/>
      <c r="D225" s="97"/>
      <c r="E225" s="121"/>
      <c r="F225" s="97"/>
      <c r="G225" s="97"/>
      <c r="H225" s="97"/>
      <c r="I225" s="97"/>
      <c r="J225" s="97"/>
      <c r="K225" s="97"/>
      <c r="L225" s="97"/>
      <c r="M225" s="122" t="s">
        <v>29</v>
      </c>
      <c r="N225" s="122">
        <v>0.25</v>
      </c>
      <c r="O225" s="128">
        <f>1-EXP(-P225*$E$2)</f>
        <v>1.868292773722724E-2</v>
      </c>
      <c r="P225" s="126">
        <f>BY198</f>
        <v>0.5657897496951898</v>
      </c>
      <c r="Q225" s="97"/>
      <c r="R225" s="97"/>
      <c r="S225" s="51" t="s">
        <v>52</v>
      </c>
      <c r="T225" s="48"/>
      <c r="U225" s="48"/>
      <c r="Y225" s="7"/>
      <c r="Z225" s="52">
        <f t="shared" ref="Z225:AI225" si="62">Z224-$Z$224</f>
        <v>0</v>
      </c>
      <c r="AA225" s="52">
        <f t="shared" si="62"/>
        <v>1</v>
      </c>
      <c r="AB225" s="52">
        <f t="shared" si="62"/>
        <v>2</v>
      </c>
      <c r="AC225" s="52">
        <f t="shared" si="62"/>
        <v>3</v>
      </c>
      <c r="AD225" s="52">
        <f t="shared" si="62"/>
        <v>4</v>
      </c>
      <c r="AE225" s="52">
        <f t="shared" si="62"/>
        <v>5</v>
      </c>
      <c r="AF225" s="52">
        <f t="shared" si="62"/>
        <v>6</v>
      </c>
      <c r="AG225" s="52">
        <f t="shared" si="62"/>
        <v>7</v>
      </c>
      <c r="AH225" s="52">
        <f t="shared" si="62"/>
        <v>8</v>
      </c>
      <c r="AI225" s="52">
        <f t="shared" si="62"/>
        <v>9</v>
      </c>
      <c r="AO225" s="51" t="s">
        <v>52</v>
      </c>
      <c r="AP225" s="48"/>
      <c r="AQ225" s="48"/>
      <c r="AU225" s="7"/>
      <c r="AV225" s="52">
        <f t="shared" ref="AV225:BE225" si="63">AV224-$AV$224</f>
        <v>0</v>
      </c>
      <c r="AW225" s="52">
        <f t="shared" si="63"/>
        <v>1</v>
      </c>
      <c r="AX225" s="52">
        <f t="shared" si="63"/>
        <v>2</v>
      </c>
      <c r="AY225" s="52">
        <f t="shared" si="63"/>
        <v>3</v>
      </c>
      <c r="AZ225" s="52">
        <f t="shared" si="63"/>
        <v>4</v>
      </c>
      <c r="BA225" s="52">
        <f t="shared" si="63"/>
        <v>5</v>
      </c>
      <c r="BB225" s="52">
        <f t="shared" si="63"/>
        <v>6</v>
      </c>
      <c r="BC225" s="52">
        <f t="shared" si="63"/>
        <v>7</v>
      </c>
      <c r="BD225" s="52">
        <f t="shared" si="63"/>
        <v>8</v>
      </c>
      <c r="BE225" s="52">
        <f t="shared" si="63"/>
        <v>9</v>
      </c>
      <c r="BK225" s="51" t="s">
        <v>52</v>
      </c>
      <c r="BL225" s="48"/>
      <c r="BM225" s="48"/>
      <c r="BQ225" s="7"/>
      <c r="BR225" s="52">
        <f t="shared" ref="BR225:CA225" si="64">BR224-$BR$224</f>
        <v>0</v>
      </c>
      <c r="BS225" s="52">
        <f t="shared" si="64"/>
        <v>1</v>
      </c>
      <c r="BT225" s="52">
        <f t="shared" si="64"/>
        <v>2</v>
      </c>
      <c r="BU225" s="52">
        <f t="shared" si="64"/>
        <v>3</v>
      </c>
      <c r="BV225" s="52">
        <f t="shared" si="64"/>
        <v>4</v>
      </c>
      <c r="BW225" s="52">
        <f t="shared" si="64"/>
        <v>5</v>
      </c>
      <c r="BX225" s="52">
        <f t="shared" si="64"/>
        <v>6</v>
      </c>
      <c r="BY225" s="52">
        <f t="shared" si="64"/>
        <v>7</v>
      </c>
      <c r="BZ225" s="52">
        <f t="shared" si="64"/>
        <v>8</v>
      </c>
      <c r="CA225" s="52">
        <f t="shared" si="64"/>
        <v>9</v>
      </c>
    </row>
    <row r="226" spans="1:80" ht="15.4" x14ac:dyDescent="0.45">
      <c r="A226" s="97"/>
      <c r="B226" s="97"/>
      <c r="C226" s="97"/>
      <c r="D226" s="97"/>
      <c r="E226" s="121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49"/>
      <c r="T226" s="48"/>
      <c r="U226" s="48"/>
      <c r="Y226" s="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8"/>
      <c r="AK226" s="68"/>
      <c r="AL226" s="68"/>
      <c r="AM226" s="68"/>
      <c r="AN226" s="68"/>
      <c r="AO226" s="49"/>
      <c r="AP226" s="48"/>
      <c r="AQ226" s="48"/>
      <c r="AU226" s="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8"/>
      <c r="BG226" s="68"/>
      <c r="BK226" s="49"/>
      <c r="BL226" s="48"/>
      <c r="BM226" s="48"/>
      <c r="BQ226" s="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</row>
    <row r="227" spans="1:80" ht="15.4" x14ac:dyDescent="0.45">
      <c r="A227" s="97"/>
      <c r="B227" s="97"/>
      <c r="C227" s="97"/>
      <c r="D227" s="97"/>
      <c r="E227" s="121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49" t="s">
        <v>53</v>
      </c>
      <c r="T227" s="50"/>
      <c r="U227" s="50"/>
      <c r="V227" s="3"/>
      <c r="W227" s="3"/>
      <c r="X227" s="3"/>
      <c r="Y227" s="3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8"/>
      <c r="AK227" s="68"/>
      <c r="AL227" s="68"/>
      <c r="AM227" s="68"/>
      <c r="AN227" s="68"/>
      <c r="AO227" s="49" t="s">
        <v>53</v>
      </c>
      <c r="AP227" s="50"/>
      <c r="AQ227" s="50"/>
      <c r="AR227" s="3"/>
      <c r="AS227" s="3"/>
      <c r="AT227" s="3"/>
      <c r="AU227" s="3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8"/>
      <c r="BG227" s="68"/>
      <c r="BK227" s="49" t="s">
        <v>53</v>
      </c>
      <c r="BL227" s="50"/>
      <c r="BM227" s="50"/>
      <c r="BN227" s="3"/>
      <c r="BO227" s="3"/>
      <c r="BP227" s="3"/>
      <c r="BQ227" s="3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3"/>
    </row>
    <row r="228" spans="1:80" ht="15" x14ac:dyDescent="0.4">
      <c r="A228" s="97"/>
      <c r="B228" s="97"/>
      <c r="C228" s="97"/>
      <c r="D228" s="97"/>
      <c r="E228" s="121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48"/>
      <c r="T228" s="48" t="s">
        <v>54</v>
      </c>
      <c r="U228" s="48"/>
      <c r="Y228" s="11" t="s">
        <v>55</v>
      </c>
      <c r="Z228" s="70">
        <f>IF(nnb&lt;3,ssdd,0)</f>
        <v>0</v>
      </c>
      <c r="AA228" s="70">
        <f t="shared" ref="AA228:AI229" si="65">Z228*(1+$AC$210)</f>
        <v>0</v>
      </c>
      <c r="AB228" s="70">
        <f t="shared" si="65"/>
        <v>0</v>
      </c>
      <c r="AC228" s="70">
        <f t="shared" si="65"/>
        <v>0</v>
      </c>
      <c r="AD228" s="70">
        <f t="shared" si="65"/>
        <v>0</v>
      </c>
      <c r="AE228" s="70">
        <f t="shared" si="65"/>
        <v>0</v>
      </c>
      <c r="AF228" s="70">
        <f t="shared" si="65"/>
        <v>0</v>
      </c>
      <c r="AG228" s="70">
        <f t="shared" si="65"/>
        <v>0</v>
      </c>
      <c r="AH228" s="70">
        <f t="shared" si="65"/>
        <v>0</v>
      </c>
      <c r="AI228" s="70">
        <f t="shared" si="65"/>
        <v>0</v>
      </c>
      <c r="AJ228" s="68"/>
      <c r="AK228" s="68"/>
      <c r="AL228" s="68"/>
      <c r="AM228" s="68"/>
      <c r="AN228" s="68"/>
      <c r="AO228" s="48"/>
      <c r="AP228" s="48" t="s">
        <v>54</v>
      </c>
      <c r="AQ228" s="48"/>
      <c r="AU228" s="11" t="s">
        <v>55</v>
      </c>
      <c r="AV228" s="70">
        <f>IF(vvg&lt;3,ggghhh,0)</f>
        <v>0</v>
      </c>
      <c r="AW228" s="70">
        <f t="shared" ref="AW228:BE229" si="66">AV228*(1+$AY$210)</f>
        <v>0</v>
      </c>
      <c r="AX228" s="70">
        <f t="shared" si="66"/>
        <v>0</v>
      </c>
      <c r="AY228" s="70">
        <f t="shared" si="66"/>
        <v>0</v>
      </c>
      <c r="AZ228" s="70">
        <f t="shared" si="66"/>
        <v>0</v>
      </c>
      <c r="BA228" s="70">
        <f t="shared" si="66"/>
        <v>0</v>
      </c>
      <c r="BB228" s="70">
        <f t="shared" si="66"/>
        <v>0</v>
      </c>
      <c r="BC228" s="70">
        <f t="shared" si="66"/>
        <v>0</v>
      </c>
      <c r="BD228" s="70">
        <f t="shared" si="66"/>
        <v>0</v>
      </c>
      <c r="BE228" s="70">
        <f t="shared" si="66"/>
        <v>0</v>
      </c>
      <c r="BF228" s="68"/>
      <c r="BG228" s="68"/>
      <c r="BK228" s="48"/>
      <c r="BL228" s="48" t="s">
        <v>54</v>
      </c>
      <c r="BM228" s="48"/>
      <c r="BQ228" s="11" t="s">
        <v>55</v>
      </c>
      <c r="BR228" s="70">
        <f>IF(dsav&lt;3,cccvvv,0)</f>
        <v>0</v>
      </c>
      <c r="BS228" s="70">
        <f t="shared" ref="BS228:CA229" si="67">BR228*(1+$BU$210)</f>
        <v>0</v>
      </c>
      <c r="BT228" s="70">
        <f t="shared" si="67"/>
        <v>0</v>
      </c>
      <c r="BU228" s="70">
        <f t="shared" si="67"/>
        <v>0</v>
      </c>
      <c r="BV228" s="70">
        <f t="shared" si="67"/>
        <v>0</v>
      </c>
      <c r="BW228" s="70">
        <f t="shared" si="67"/>
        <v>0</v>
      </c>
      <c r="BX228" s="70">
        <f t="shared" si="67"/>
        <v>0</v>
      </c>
      <c r="BY228" s="70">
        <f t="shared" si="67"/>
        <v>0</v>
      </c>
      <c r="BZ228" s="70">
        <f t="shared" si="67"/>
        <v>0</v>
      </c>
      <c r="CA228" s="70">
        <f t="shared" si="67"/>
        <v>0</v>
      </c>
    </row>
    <row r="229" spans="1:80" ht="15" x14ac:dyDescent="0.4">
      <c r="A229" s="97"/>
      <c r="B229" s="97"/>
      <c r="C229" s="97"/>
      <c r="D229" s="97"/>
      <c r="E229" s="121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48"/>
      <c r="T229" s="48" t="s">
        <v>56</v>
      </c>
      <c r="U229" s="48"/>
      <c r="Y229" s="11" t="s">
        <v>55</v>
      </c>
      <c r="Z229" s="70">
        <f>IF(nnb&gt;2,ssdd*AC209,0)</f>
        <v>4.4000000000000004</v>
      </c>
      <c r="AA229" s="70">
        <f t="shared" si="65"/>
        <v>4.7960000000000012</v>
      </c>
      <c r="AB229" s="70">
        <f t="shared" si="65"/>
        <v>5.2276400000000018</v>
      </c>
      <c r="AC229" s="70">
        <f t="shared" si="65"/>
        <v>5.6981276000000021</v>
      </c>
      <c r="AD229" s="70">
        <f t="shared" si="65"/>
        <v>6.2109590840000024</v>
      </c>
      <c r="AE229" s="70">
        <f t="shared" si="65"/>
        <v>6.7699454015600029</v>
      </c>
      <c r="AF229" s="70">
        <f t="shared" si="65"/>
        <v>7.3792404877004039</v>
      </c>
      <c r="AG229" s="70">
        <f t="shared" si="65"/>
        <v>8.0433721315934417</v>
      </c>
      <c r="AH229" s="70">
        <f t="shared" si="65"/>
        <v>8.7672756234368521</v>
      </c>
      <c r="AI229" s="70">
        <f t="shared" si="65"/>
        <v>9.5563304295461702</v>
      </c>
      <c r="AJ229" s="68"/>
      <c r="AK229" s="68"/>
      <c r="AL229" s="68"/>
      <c r="AM229" s="68"/>
      <c r="AN229" s="68"/>
      <c r="AO229" s="48"/>
      <c r="AP229" s="48" t="s">
        <v>56</v>
      </c>
      <c r="AQ229" s="48"/>
      <c r="AU229" s="11" t="s">
        <v>55</v>
      </c>
      <c r="AV229" s="70">
        <f>IF(vvg&gt;2,ggghhh*AY209,0)</f>
        <v>4.4000000000000004</v>
      </c>
      <c r="AW229" s="70">
        <f t="shared" si="66"/>
        <v>4.7080000000000011</v>
      </c>
      <c r="AX229" s="70">
        <f t="shared" si="66"/>
        <v>5.0375600000000018</v>
      </c>
      <c r="AY229" s="70">
        <f t="shared" si="66"/>
        <v>5.3901892000000027</v>
      </c>
      <c r="AZ229" s="70">
        <f t="shared" si="66"/>
        <v>5.7675024440000033</v>
      </c>
      <c r="BA229" s="70">
        <f t="shared" si="66"/>
        <v>6.1712276150800038</v>
      </c>
      <c r="BB229" s="70">
        <f t="shared" si="66"/>
        <v>6.6032135481356047</v>
      </c>
      <c r="BC229" s="70">
        <f t="shared" si="66"/>
        <v>7.0654384965050978</v>
      </c>
      <c r="BD229" s="70">
        <f t="shared" si="66"/>
        <v>7.5600191912604551</v>
      </c>
      <c r="BE229" s="70">
        <f t="shared" si="66"/>
        <v>8.0892205346486872</v>
      </c>
      <c r="BF229" s="68"/>
      <c r="BG229" s="68"/>
      <c r="BK229" s="48"/>
      <c r="BL229" s="48" t="s">
        <v>56</v>
      </c>
      <c r="BM229" s="48"/>
      <c r="BQ229" s="11" t="s">
        <v>55</v>
      </c>
      <c r="BR229" s="70">
        <f>IF(dsav&gt;2,cccvvv*BU209,0)</f>
        <v>4.4000000000000004</v>
      </c>
      <c r="BS229" s="70">
        <f t="shared" si="67"/>
        <v>4.18</v>
      </c>
      <c r="BT229" s="70">
        <f t="shared" si="67"/>
        <v>3.9709999999999996</v>
      </c>
      <c r="BU229" s="70">
        <f t="shared" si="67"/>
        <v>3.7724499999999996</v>
      </c>
      <c r="BV229" s="70">
        <f t="shared" si="67"/>
        <v>3.5838274999999995</v>
      </c>
      <c r="BW229" s="70">
        <f t="shared" si="67"/>
        <v>3.4046361249999992</v>
      </c>
      <c r="BX229" s="70">
        <f t="shared" si="67"/>
        <v>3.2344043187499993</v>
      </c>
      <c r="BY229" s="70">
        <f t="shared" si="67"/>
        <v>3.0726841028124992</v>
      </c>
      <c r="BZ229" s="70">
        <f t="shared" si="67"/>
        <v>2.9190498976718739</v>
      </c>
      <c r="CA229" s="70">
        <f t="shared" si="67"/>
        <v>2.77309740278828</v>
      </c>
    </row>
    <row r="230" spans="1:80" ht="15" x14ac:dyDescent="0.4">
      <c r="A230" s="97"/>
      <c r="B230" s="97"/>
      <c r="C230" s="97"/>
      <c r="D230" s="97"/>
      <c r="E230" s="121"/>
      <c r="F230" s="97"/>
      <c r="G230" s="97"/>
      <c r="H230" s="97"/>
      <c r="I230" s="97"/>
      <c r="J230" s="97"/>
      <c r="K230" s="97"/>
      <c r="L230" s="97"/>
      <c r="M230" s="127" t="s">
        <v>84</v>
      </c>
      <c r="N230" s="127" t="s">
        <v>88</v>
      </c>
      <c r="O230" s="97"/>
      <c r="P230" s="97"/>
      <c r="Q230" s="97"/>
      <c r="R230" s="97"/>
      <c r="S230" s="48"/>
      <c r="T230" s="48" t="s">
        <v>57</v>
      </c>
      <c r="U230" s="48"/>
      <c r="Y230" s="11" t="s">
        <v>55</v>
      </c>
      <c r="Z230" s="71">
        <f>IF(nnb=1,2.5,IF(OR(nnb=2,nnb=3),8.5,IF(nnb=4,0,"error")))</f>
        <v>8.5</v>
      </c>
      <c r="AA230" s="71">
        <f t="shared" ref="AA230:AI230" si="68">$Z$230</f>
        <v>8.5</v>
      </c>
      <c r="AB230" s="71">
        <f t="shared" si="68"/>
        <v>8.5</v>
      </c>
      <c r="AC230" s="71">
        <f t="shared" si="68"/>
        <v>8.5</v>
      </c>
      <c r="AD230" s="71">
        <f t="shared" si="68"/>
        <v>8.5</v>
      </c>
      <c r="AE230" s="71">
        <f t="shared" si="68"/>
        <v>8.5</v>
      </c>
      <c r="AF230" s="71">
        <f t="shared" si="68"/>
        <v>8.5</v>
      </c>
      <c r="AG230" s="71">
        <f t="shared" si="68"/>
        <v>8.5</v>
      </c>
      <c r="AH230" s="71">
        <f t="shared" si="68"/>
        <v>8.5</v>
      </c>
      <c r="AI230" s="71">
        <f t="shared" si="68"/>
        <v>8.5</v>
      </c>
      <c r="AJ230" s="68"/>
      <c r="AK230" s="68"/>
      <c r="AL230" s="68"/>
      <c r="AM230" s="68"/>
      <c r="AN230" s="68"/>
      <c r="AO230" s="48"/>
      <c r="AP230" s="48" t="s">
        <v>57</v>
      </c>
      <c r="AQ230" s="48"/>
      <c r="AU230" s="11" t="s">
        <v>55</v>
      </c>
      <c r="AV230" s="71">
        <f>IF(vvg=1,2.5,IF(OR(vvg=2,vvg=3),8.5,IF(vvg=4,0,"error")))</f>
        <v>8.5</v>
      </c>
      <c r="AW230" s="71">
        <f t="shared" ref="AW230:BE230" si="69">$AV$230</f>
        <v>8.5</v>
      </c>
      <c r="AX230" s="71">
        <f t="shared" si="69"/>
        <v>8.5</v>
      </c>
      <c r="AY230" s="71">
        <f t="shared" si="69"/>
        <v>8.5</v>
      </c>
      <c r="AZ230" s="71">
        <f t="shared" si="69"/>
        <v>8.5</v>
      </c>
      <c r="BA230" s="71">
        <f t="shared" si="69"/>
        <v>8.5</v>
      </c>
      <c r="BB230" s="71">
        <f t="shared" si="69"/>
        <v>8.5</v>
      </c>
      <c r="BC230" s="71">
        <f t="shared" si="69"/>
        <v>8.5</v>
      </c>
      <c r="BD230" s="71">
        <f t="shared" si="69"/>
        <v>8.5</v>
      </c>
      <c r="BE230" s="71">
        <f t="shared" si="69"/>
        <v>8.5</v>
      </c>
      <c r="BF230" s="68"/>
      <c r="BG230" s="68"/>
      <c r="BK230" s="48"/>
      <c r="BL230" s="48" t="s">
        <v>57</v>
      </c>
      <c r="BM230" s="48"/>
      <c r="BQ230" s="11" t="s">
        <v>55</v>
      </c>
      <c r="BR230" s="71">
        <f>IF(dsav=1,2.5,IF(OR(dsav=2,dsav=3),8.5,IF(dsav=4,0,"error")))</f>
        <v>8.5</v>
      </c>
      <c r="BS230" s="71">
        <f t="shared" ref="BS230:CA230" si="70">$BR$230</f>
        <v>8.5</v>
      </c>
      <c r="BT230" s="71">
        <f t="shared" si="70"/>
        <v>8.5</v>
      </c>
      <c r="BU230" s="71">
        <f t="shared" si="70"/>
        <v>8.5</v>
      </c>
      <c r="BV230" s="71">
        <f t="shared" si="70"/>
        <v>8.5</v>
      </c>
      <c r="BW230" s="71">
        <f t="shared" si="70"/>
        <v>8.5</v>
      </c>
      <c r="BX230" s="71">
        <f t="shared" si="70"/>
        <v>8.5</v>
      </c>
      <c r="BY230" s="71">
        <f t="shared" si="70"/>
        <v>8.5</v>
      </c>
      <c r="BZ230" s="71">
        <f t="shared" si="70"/>
        <v>8.5</v>
      </c>
      <c r="CA230" s="71">
        <f t="shared" si="70"/>
        <v>8.5</v>
      </c>
    </row>
    <row r="231" spans="1:80" ht="15" x14ac:dyDescent="0.4">
      <c r="A231" s="97"/>
      <c r="B231" s="97"/>
      <c r="C231" s="97"/>
      <c r="D231" s="97"/>
      <c r="E231" s="121"/>
      <c r="F231" s="97"/>
      <c r="G231" s="97"/>
      <c r="H231" s="97"/>
      <c r="I231" s="97"/>
      <c r="J231" s="97"/>
      <c r="K231" s="155" t="s">
        <v>33</v>
      </c>
      <c r="L231" s="155"/>
      <c r="M231" s="97"/>
      <c r="N231" s="97"/>
      <c r="O231" s="97"/>
      <c r="P231" s="97"/>
      <c r="Q231" s="97"/>
      <c r="R231" s="97"/>
      <c r="S231" s="48"/>
      <c r="T231" s="48" t="s">
        <v>53</v>
      </c>
      <c r="U231" s="48"/>
      <c r="Y231" s="11" t="s">
        <v>55</v>
      </c>
      <c r="Z231" s="70">
        <f t="shared" ref="Z231:AI231" si="71">MIN(IF(nnb&lt;=2,Z228,Z229),IF(nnb=4,Z229,Z230))</f>
        <v>4.4000000000000004</v>
      </c>
      <c r="AA231" s="70">
        <f t="shared" si="71"/>
        <v>4.7960000000000012</v>
      </c>
      <c r="AB231" s="70">
        <f t="shared" si="71"/>
        <v>5.2276400000000018</v>
      </c>
      <c r="AC231" s="70">
        <f t="shared" si="71"/>
        <v>5.6981276000000021</v>
      </c>
      <c r="AD231" s="70">
        <f t="shared" si="71"/>
        <v>6.2109590840000024</v>
      </c>
      <c r="AE231" s="70">
        <f t="shared" si="71"/>
        <v>6.7699454015600029</v>
      </c>
      <c r="AF231" s="70">
        <f t="shared" si="71"/>
        <v>7.3792404877004039</v>
      </c>
      <c r="AG231" s="70">
        <f t="shared" si="71"/>
        <v>8.0433721315934417</v>
      </c>
      <c r="AH231" s="70">
        <f t="shared" si="71"/>
        <v>8.5</v>
      </c>
      <c r="AI231" s="70">
        <f t="shared" si="71"/>
        <v>8.5</v>
      </c>
      <c r="AJ231" s="68"/>
      <c r="AK231" s="68"/>
      <c r="AL231" s="68"/>
      <c r="AM231" s="68"/>
      <c r="AN231" s="68"/>
      <c r="AO231" s="48"/>
      <c r="AP231" s="48" t="s">
        <v>53</v>
      </c>
      <c r="AQ231" s="48"/>
      <c r="AU231" s="11" t="s">
        <v>55</v>
      </c>
      <c r="AV231" s="70">
        <f t="shared" ref="AV231:BE231" si="72">MIN(IF(vvg&lt;=2,AV228,AV229),IF(vvg=4,AV229,AV230))</f>
        <v>4.4000000000000004</v>
      </c>
      <c r="AW231" s="70">
        <f t="shared" si="72"/>
        <v>4.7080000000000011</v>
      </c>
      <c r="AX231" s="70">
        <f t="shared" si="72"/>
        <v>5.0375600000000018</v>
      </c>
      <c r="AY231" s="70">
        <f t="shared" si="72"/>
        <v>5.3901892000000027</v>
      </c>
      <c r="AZ231" s="70">
        <f t="shared" si="72"/>
        <v>5.7675024440000033</v>
      </c>
      <c r="BA231" s="70">
        <f t="shared" si="72"/>
        <v>6.1712276150800038</v>
      </c>
      <c r="BB231" s="70">
        <f t="shared" si="72"/>
        <v>6.6032135481356047</v>
      </c>
      <c r="BC231" s="70">
        <f t="shared" si="72"/>
        <v>7.0654384965050978</v>
      </c>
      <c r="BD231" s="70">
        <f t="shared" si="72"/>
        <v>7.5600191912604551</v>
      </c>
      <c r="BE231" s="70">
        <f t="shared" si="72"/>
        <v>8.0892205346486872</v>
      </c>
      <c r="BF231" s="68"/>
      <c r="BG231" s="68"/>
      <c r="BK231" s="48"/>
      <c r="BL231" s="48" t="s">
        <v>53</v>
      </c>
      <c r="BM231" s="48"/>
      <c r="BQ231" s="11" t="s">
        <v>55</v>
      </c>
      <c r="BR231" s="70">
        <f t="shared" ref="BR231:CA231" si="73">MIN(IF(dsav&lt;=2,BR228,BR229),IF(dsav=4,BR229,BR230))</f>
        <v>4.4000000000000004</v>
      </c>
      <c r="BS231" s="70">
        <f t="shared" si="73"/>
        <v>4.18</v>
      </c>
      <c r="BT231" s="70">
        <f t="shared" si="73"/>
        <v>3.9709999999999996</v>
      </c>
      <c r="BU231" s="70">
        <f t="shared" si="73"/>
        <v>3.7724499999999996</v>
      </c>
      <c r="BV231" s="70">
        <f t="shared" si="73"/>
        <v>3.5838274999999995</v>
      </c>
      <c r="BW231" s="70">
        <f t="shared" si="73"/>
        <v>3.4046361249999992</v>
      </c>
      <c r="BX231" s="70">
        <f t="shared" si="73"/>
        <v>3.2344043187499993</v>
      </c>
      <c r="BY231" s="70">
        <f t="shared" si="73"/>
        <v>3.0726841028124992</v>
      </c>
      <c r="BZ231" s="70">
        <f t="shared" si="73"/>
        <v>2.9190498976718739</v>
      </c>
      <c r="CA231" s="70">
        <f t="shared" si="73"/>
        <v>2.77309740278828</v>
      </c>
    </row>
    <row r="232" spans="1:80" ht="15" x14ac:dyDescent="0.4">
      <c r="A232" s="97"/>
      <c r="B232" s="97"/>
      <c r="C232" s="97"/>
      <c r="D232" s="97"/>
      <c r="E232" s="121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48"/>
      <c r="T232" s="48"/>
      <c r="U232" s="48"/>
      <c r="Y232" s="11"/>
      <c r="Z232" s="136"/>
      <c r="AA232" s="136"/>
      <c r="AB232" s="136"/>
      <c r="AC232" s="136"/>
      <c r="AD232" s="136"/>
      <c r="AE232" s="136"/>
      <c r="AF232" s="136"/>
      <c r="AG232" s="136"/>
      <c r="AH232" s="136"/>
      <c r="AI232" s="136"/>
      <c r="AJ232" s="68"/>
      <c r="AK232" s="68"/>
      <c r="AL232" s="68"/>
      <c r="AM232" s="68"/>
      <c r="AN232" s="68"/>
      <c r="AO232" s="48"/>
      <c r="AP232" s="48"/>
      <c r="AQ232" s="48"/>
      <c r="AU232" s="11"/>
      <c r="AV232" s="136"/>
      <c r="AW232" s="136"/>
      <c r="AX232" s="136"/>
      <c r="AY232" s="136"/>
      <c r="AZ232" s="136"/>
      <c r="BA232" s="136"/>
      <c r="BB232" s="136"/>
      <c r="BC232" s="136"/>
      <c r="BD232" s="136"/>
      <c r="BE232" s="136"/>
      <c r="BF232" s="68"/>
      <c r="BG232" s="68"/>
      <c r="BK232" s="48"/>
      <c r="BL232" s="48"/>
      <c r="BM232" s="48"/>
      <c r="BQ232" s="11"/>
      <c r="BR232" s="136"/>
      <c r="BS232" s="136"/>
      <c r="BT232" s="136"/>
      <c r="BU232" s="136"/>
      <c r="BV232" s="136"/>
      <c r="BW232" s="136"/>
      <c r="BX232" s="136"/>
      <c r="BY232" s="136"/>
      <c r="BZ232" s="136"/>
      <c r="CA232" s="136"/>
    </row>
    <row r="233" spans="1:80" ht="15.4" x14ac:dyDescent="0.45">
      <c r="A233" s="97"/>
      <c r="B233" s="97"/>
      <c r="C233" s="97"/>
      <c r="D233" s="97"/>
      <c r="E233" s="121"/>
      <c r="F233" s="97"/>
      <c r="G233" s="97"/>
      <c r="H233" s="97"/>
      <c r="I233" s="97"/>
      <c r="J233" s="97"/>
      <c r="K233" s="120" t="s">
        <v>31</v>
      </c>
      <c r="L233" s="122">
        <v>0.25</v>
      </c>
      <c r="M233" s="128">
        <f>1-EXP(-N233*$E$2)</f>
        <v>0.32988198109304434</v>
      </c>
      <c r="N233" s="126">
        <f>Z271</f>
        <v>12.009043034609228</v>
      </c>
      <c r="O233" s="97"/>
      <c r="P233" s="97"/>
      <c r="Q233" s="97"/>
      <c r="R233" s="97"/>
      <c r="S233" s="49" t="s">
        <v>58</v>
      </c>
      <c r="T233" s="48"/>
      <c r="U233" s="48"/>
      <c r="Y233" s="80" t="s">
        <v>59</v>
      </c>
      <c r="Z233" s="72">
        <f t="shared" ref="Z233:AI233" si="74">Z231*$AC$212</f>
        <v>47.300000000000004</v>
      </c>
      <c r="AA233" s="72">
        <f t="shared" si="74"/>
        <v>51.557000000000009</v>
      </c>
      <c r="AB233" s="72">
        <f t="shared" si="74"/>
        <v>56.197130000000023</v>
      </c>
      <c r="AC233" s="72">
        <f t="shared" si="74"/>
        <v>61.254871700000024</v>
      </c>
      <c r="AD233" s="72">
        <f t="shared" si="74"/>
        <v>66.767810153000028</v>
      </c>
      <c r="AE233" s="72">
        <f t="shared" si="74"/>
        <v>72.776913066770035</v>
      </c>
      <c r="AF233" s="72">
        <f t="shared" si="74"/>
        <v>79.326835242779339</v>
      </c>
      <c r="AG233" s="72">
        <f t="shared" si="74"/>
        <v>86.466250414629499</v>
      </c>
      <c r="AH233" s="72">
        <f t="shared" si="74"/>
        <v>91.375</v>
      </c>
      <c r="AI233" s="72">
        <f t="shared" si="74"/>
        <v>91.375</v>
      </c>
      <c r="AJ233" s="68"/>
      <c r="AK233" s="68"/>
      <c r="AL233" s="68"/>
      <c r="AM233" s="68"/>
      <c r="AN233" s="68"/>
      <c r="AO233" s="49" t="s">
        <v>58</v>
      </c>
      <c r="AP233" s="48"/>
      <c r="AQ233" s="48"/>
      <c r="AU233" s="80" t="s">
        <v>59</v>
      </c>
      <c r="AV233" s="72">
        <f t="shared" ref="AV233:BE233" si="75">AV231*$AY$212</f>
        <v>47.300000000000004</v>
      </c>
      <c r="AW233" s="72">
        <f t="shared" si="75"/>
        <v>50.611000000000011</v>
      </c>
      <c r="AX233" s="72">
        <f t="shared" si="75"/>
        <v>54.153770000000023</v>
      </c>
      <c r="AY233" s="72">
        <f t="shared" si="75"/>
        <v>57.944533900000032</v>
      </c>
      <c r="AZ233" s="72">
        <f t="shared" si="75"/>
        <v>62.000651273000038</v>
      </c>
      <c r="BA233" s="72">
        <f t="shared" si="75"/>
        <v>66.340696862110036</v>
      </c>
      <c r="BB233" s="72">
        <f t="shared" si="75"/>
        <v>70.984545642457746</v>
      </c>
      <c r="BC233" s="72">
        <f t="shared" si="75"/>
        <v>75.953463837429808</v>
      </c>
      <c r="BD233" s="72">
        <f t="shared" si="75"/>
        <v>81.270206306049886</v>
      </c>
      <c r="BE233" s="72">
        <f t="shared" si="75"/>
        <v>86.959120747473392</v>
      </c>
      <c r="BF233" s="68"/>
      <c r="BG233" s="68"/>
      <c r="BK233" s="49" t="s">
        <v>58</v>
      </c>
      <c r="BL233" s="48"/>
      <c r="BM233" s="48"/>
      <c r="BQ233" s="80" t="s">
        <v>59</v>
      </c>
      <c r="BR233" s="72">
        <f t="shared" ref="BR233:CA233" si="76">BR231*$BU$212</f>
        <v>47.300000000000004</v>
      </c>
      <c r="BS233" s="72">
        <f t="shared" si="76"/>
        <v>44.934999999999995</v>
      </c>
      <c r="BT233" s="72">
        <f t="shared" si="76"/>
        <v>42.688249999999996</v>
      </c>
      <c r="BU233" s="72">
        <f t="shared" si="76"/>
        <v>40.553837499999993</v>
      </c>
      <c r="BV233" s="72">
        <f t="shared" si="76"/>
        <v>38.526145624999998</v>
      </c>
      <c r="BW233" s="72">
        <f t="shared" si="76"/>
        <v>36.599838343749994</v>
      </c>
      <c r="BX233" s="72">
        <f t="shared" si="76"/>
        <v>34.769846426562495</v>
      </c>
      <c r="BY233" s="72">
        <f t="shared" si="76"/>
        <v>33.031354105234364</v>
      </c>
      <c r="BZ233" s="72">
        <f t="shared" si="76"/>
        <v>31.379786399972645</v>
      </c>
      <c r="CA233" s="72">
        <f t="shared" si="76"/>
        <v>29.810797079974009</v>
      </c>
    </row>
    <row r="234" spans="1:80" ht="15.4" x14ac:dyDescent="0.45">
      <c r="A234" s="97"/>
      <c r="B234" s="97"/>
      <c r="C234" s="97"/>
      <c r="D234" s="97"/>
      <c r="E234" s="121"/>
      <c r="F234" s="97"/>
      <c r="G234" s="97"/>
      <c r="H234" s="97"/>
      <c r="I234" s="155" t="s">
        <v>38</v>
      </c>
      <c r="J234" s="164"/>
      <c r="K234" s="117"/>
      <c r="L234" s="97"/>
      <c r="M234" s="128"/>
      <c r="N234" s="126"/>
      <c r="O234" s="97"/>
      <c r="P234" s="97"/>
      <c r="Q234" s="97"/>
      <c r="R234" s="97"/>
      <c r="S234" s="50"/>
      <c r="T234" s="48"/>
      <c r="U234" s="48"/>
      <c r="Y234" s="80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68"/>
      <c r="AK234" s="68"/>
      <c r="AL234" s="68"/>
      <c r="AM234" s="68"/>
      <c r="AN234" s="68"/>
      <c r="AO234" s="50"/>
      <c r="AP234" s="48"/>
      <c r="AQ234" s="48"/>
      <c r="AU234" s="80"/>
      <c r="AV234" s="72"/>
      <c r="AW234" s="72"/>
      <c r="AX234" s="72"/>
      <c r="AY234" s="72"/>
      <c r="AZ234" s="72"/>
      <c r="BA234" s="72"/>
      <c r="BB234" s="72"/>
      <c r="BC234" s="72"/>
      <c r="BD234" s="72"/>
      <c r="BE234" s="72"/>
      <c r="BF234" s="68"/>
      <c r="BG234" s="68"/>
      <c r="BK234" s="50"/>
      <c r="BL234" s="48"/>
      <c r="BM234" s="48"/>
      <c r="BQ234" s="80"/>
      <c r="BR234" s="72"/>
      <c r="BS234" s="72"/>
      <c r="BT234" s="72"/>
      <c r="BU234" s="72"/>
      <c r="BV234" s="72"/>
      <c r="BW234" s="72"/>
      <c r="BX234" s="72"/>
      <c r="BY234" s="72"/>
      <c r="BZ234" s="72"/>
      <c r="CA234" s="72"/>
    </row>
    <row r="235" spans="1:80" ht="15.4" x14ac:dyDescent="0.45">
      <c r="A235" s="97"/>
      <c r="B235" s="97"/>
      <c r="C235" s="97"/>
      <c r="D235" s="97"/>
      <c r="E235" s="121"/>
      <c r="F235" s="97"/>
      <c r="G235" s="97"/>
      <c r="H235" s="97"/>
      <c r="I235" s="97"/>
      <c r="J235" s="97"/>
      <c r="K235" s="117"/>
      <c r="L235" s="97"/>
      <c r="M235" s="128"/>
      <c r="N235" s="126"/>
      <c r="O235" s="97"/>
      <c r="P235" s="97"/>
      <c r="Q235" s="97"/>
      <c r="R235" s="97"/>
      <c r="S235" s="49" t="s">
        <v>60</v>
      </c>
      <c r="T235" s="48"/>
      <c r="U235" s="48"/>
      <c r="Y235" s="80" t="s">
        <v>59</v>
      </c>
      <c r="Z235" s="72">
        <f t="shared" ref="Z235:AI235" si="77">IF(nnb=4,0,Z231*$AC$213)</f>
        <v>41.800000000000004</v>
      </c>
      <c r="AA235" s="72">
        <f t="shared" si="77"/>
        <v>45.562000000000012</v>
      </c>
      <c r="AB235" s="72">
        <f t="shared" si="77"/>
        <v>49.66258000000002</v>
      </c>
      <c r="AC235" s="72">
        <f t="shared" si="77"/>
        <v>54.132212200000019</v>
      </c>
      <c r="AD235" s="72">
        <f t="shared" si="77"/>
        <v>59.004111298000026</v>
      </c>
      <c r="AE235" s="72">
        <f t="shared" si="77"/>
        <v>64.314481314820029</v>
      </c>
      <c r="AF235" s="72">
        <f t="shared" si="77"/>
        <v>70.102784633153831</v>
      </c>
      <c r="AG235" s="72">
        <f t="shared" si="77"/>
        <v>76.412035250137691</v>
      </c>
      <c r="AH235" s="72">
        <f t="shared" si="77"/>
        <v>80.75</v>
      </c>
      <c r="AI235" s="72">
        <f t="shared" si="77"/>
        <v>80.75</v>
      </c>
      <c r="AJ235" s="68"/>
      <c r="AK235" s="68"/>
      <c r="AL235" s="68"/>
      <c r="AM235" s="68"/>
      <c r="AN235" s="68"/>
      <c r="AO235" s="49" t="s">
        <v>60</v>
      </c>
      <c r="AP235" s="48"/>
      <c r="AQ235" s="48"/>
      <c r="AU235" s="80" t="s">
        <v>59</v>
      </c>
      <c r="AV235" s="72">
        <f t="shared" ref="AV235:BE235" si="78">IF(vvg=4,0,AV231*$AY$213)</f>
        <v>41.800000000000004</v>
      </c>
      <c r="AW235" s="72">
        <f t="shared" si="78"/>
        <v>44.726000000000013</v>
      </c>
      <c r="AX235" s="72">
        <f t="shared" si="78"/>
        <v>47.85682000000002</v>
      </c>
      <c r="AY235" s="72">
        <f t="shared" si="78"/>
        <v>51.206797400000028</v>
      </c>
      <c r="AZ235" s="72">
        <f t="shared" si="78"/>
        <v>54.791273218000029</v>
      </c>
      <c r="BA235" s="72">
        <f t="shared" si="78"/>
        <v>58.626662343260037</v>
      </c>
      <c r="BB235" s="72">
        <f t="shared" si="78"/>
        <v>62.730528707288244</v>
      </c>
      <c r="BC235" s="72">
        <f t="shared" si="78"/>
        <v>67.121665716798432</v>
      </c>
      <c r="BD235" s="72">
        <f t="shared" si="78"/>
        <v>71.820182316974325</v>
      </c>
      <c r="BE235" s="72">
        <f t="shared" si="78"/>
        <v>76.847595079162531</v>
      </c>
      <c r="BF235" s="68"/>
      <c r="BG235" s="68"/>
      <c r="BK235" s="49" t="s">
        <v>60</v>
      </c>
      <c r="BL235" s="48"/>
      <c r="BM235" s="48"/>
      <c r="BQ235" s="80" t="s">
        <v>59</v>
      </c>
      <c r="BR235" s="72">
        <f t="shared" ref="BR235:CA235" si="79">IF(dsav=4,0,BR231*$BU$213)</f>
        <v>41.800000000000004</v>
      </c>
      <c r="BS235" s="72">
        <f t="shared" si="79"/>
        <v>39.709999999999994</v>
      </c>
      <c r="BT235" s="72">
        <f t="shared" si="79"/>
        <v>37.724499999999999</v>
      </c>
      <c r="BU235" s="72">
        <f t="shared" si="79"/>
        <v>35.838274999999996</v>
      </c>
      <c r="BV235" s="72">
        <f t="shared" si="79"/>
        <v>34.046361249999997</v>
      </c>
      <c r="BW235" s="72">
        <f t="shared" si="79"/>
        <v>32.344043187499992</v>
      </c>
      <c r="BX235" s="72">
        <f t="shared" si="79"/>
        <v>30.726841028124994</v>
      </c>
      <c r="BY235" s="72">
        <f t="shared" si="79"/>
        <v>29.190498976718743</v>
      </c>
      <c r="BZ235" s="72">
        <f t="shared" si="79"/>
        <v>27.730974027882802</v>
      </c>
      <c r="CA235" s="72">
        <f t="shared" si="79"/>
        <v>26.344425326488661</v>
      </c>
    </row>
    <row r="236" spans="1:80" ht="15.4" x14ac:dyDescent="0.45">
      <c r="A236" s="97"/>
      <c r="B236" s="97"/>
      <c r="C236" s="97"/>
      <c r="D236" s="97"/>
      <c r="E236" s="121"/>
      <c r="F236" s="97"/>
      <c r="G236" s="97"/>
      <c r="H236" s="97"/>
      <c r="I236" s="120" t="s">
        <v>31</v>
      </c>
      <c r="J236" s="122">
        <v>0.25</v>
      </c>
      <c r="K236" s="120" t="s">
        <v>30</v>
      </c>
      <c r="L236" s="122">
        <v>0.5</v>
      </c>
      <c r="M236" s="128">
        <f>1-EXP(-N236*$E$2)</f>
        <v>0.18442118226418014</v>
      </c>
      <c r="N236" s="126">
        <f>Y271</f>
        <v>6.1157163602176636</v>
      </c>
      <c r="O236" s="97"/>
      <c r="P236" s="97"/>
      <c r="Q236" s="97"/>
      <c r="R236" s="97"/>
      <c r="S236" s="50"/>
      <c r="T236" s="48"/>
      <c r="U236" s="48"/>
      <c r="Y236" s="80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68"/>
      <c r="AK236" s="68"/>
      <c r="AL236" s="68"/>
      <c r="AM236" s="68"/>
      <c r="AN236" s="68"/>
      <c r="AO236" s="50"/>
      <c r="AP236" s="48"/>
      <c r="AQ236" s="48"/>
      <c r="AU236" s="80"/>
      <c r="AV236" s="72"/>
      <c r="AW236" s="72"/>
      <c r="AX236" s="72"/>
      <c r="AY236" s="72"/>
      <c r="AZ236" s="72"/>
      <c r="BA236" s="72"/>
      <c r="BB236" s="72"/>
      <c r="BC236" s="72"/>
      <c r="BD236" s="72"/>
      <c r="BE236" s="72"/>
      <c r="BF236" s="68"/>
      <c r="BG236" s="68"/>
      <c r="BK236" s="50"/>
      <c r="BL236" s="48"/>
      <c r="BM236" s="48"/>
      <c r="BQ236" s="80"/>
      <c r="BR236" s="72"/>
      <c r="BS236" s="72"/>
      <c r="BT236" s="72"/>
      <c r="BU236" s="72"/>
      <c r="BV236" s="72"/>
      <c r="BW236" s="72"/>
      <c r="BX236" s="72"/>
      <c r="BY236" s="72"/>
      <c r="BZ236" s="72"/>
      <c r="CA236" s="72"/>
    </row>
    <row r="237" spans="1:80" ht="15" x14ac:dyDescent="0.4">
      <c r="A237" s="97"/>
      <c r="B237" s="97"/>
      <c r="C237" s="97"/>
      <c r="D237" s="97"/>
      <c r="E237" s="121"/>
      <c r="F237" s="97"/>
      <c r="G237" s="97"/>
      <c r="H237" s="97"/>
      <c r="I237" s="117">
        <f>M233*L233+M236*L236+M239*L239</f>
        <v>0.19168130454335602</v>
      </c>
      <c r="J237" s="97"/>
      <c r="K237" s="117"/>
      <c r="L237" s="97"/>
      <c r="M237" s="128"/>
      <c r="N237" s="126"/>
      <c r="O237" s="97"/>
      <c r="P237" s="97"/>
      <c r="Q237" s="97"/>
      <c r="R237" s="97"/>
      <c r="S237" s="51" t="s">
        <v>61</v>
      </c>
      <c r="T237" s="48"/>
      <c r="U237" s="48"/>
      <c r="Y237" s="80" t="s">
        <v>59</v>
      </c>
      <c r="Z237" s="72">
        <f>IF(nnb=2,$AC$214,0)</f>
        <v>0</v>
      </c>
      <c r="AA237" s="72">
        <v>0</v>
      </c>
      <c r="AB237" s="72">
        <v>0</v>
      </c>
      <c r="AC237" s="72">
        <v>0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68"/>
      <c r="AK237" s="68"/>
      <c r="AL237" s="68"/>
      <c r="AM237" s="68"/>
      <c r="AN237" s="68"/>
      <c r="AO237" s="51" t="s">
        <v>61</v>
      </c>
      <c r="AP237" s="48"/>
      <c r="AQ237" s="48"/>
      <c r="AU237" s="80" t="s">
        <v>59</v>
      </c>
      <c r="AV237" s="72">
        <f>IF(vvg=2,$AY$214,0)</f>
        <v>0</v>
      </c>
      <c r="AW237" s="72">
        <v>0</v>
      </c>
      <c r="AX237" s="72">
        <v>0</v>
      </c>
      <c r="AY237" s="72">
        <v>0</v>
      </c>
      <c r="AZ237" s="72">
        <v>0</v>
      </c>
      <c r="BA237" s="72">
        <v>0</v>
      </c>
      <c r="BB237" s="72">
        <v>0</v>
      </c>
      <c r="BC237" s="72">
        <v>0</v>
      </c>
      <c r="BD237" s="72">
        <v>0</v>
      </c>
      <c r="BE237" s="72">
        <v>0</v>
      </c>
      <c r="BF237" s="68"/>
      <c r="BG237" s="68"/>
      <c r="BK237" s="51" t="s">
        <v>61</v>
      </c>
      <c r="BL237" s="48"/>
      <c r="BM237" s="48"/>
      <c r="BQ237" s="80" t="s">
        <v>59</v>
      </c>
      <c r="BR237" s="72">
        <f>IF(dsav=2,$BU$214,0)</f>
        <v>0</v>
      </c>
      <c r="BS237" s="72">
        <v>0</v>
      </c>
      <c r="BT237" s="72">
        <v>0</v>
      </c>
      <c r="BU237" s="72">
        <v>0</v>
      </c>
      <c r="BV237" s="72">
        <v>0</v>
      </c>
      <c r="BW237" s="72">
        <v>0</v>
      </c>
      <c r="BX237" s="72">
        <v>0</v>
      </c>
      <c r="BY237" s="72">
        <v>0</v>
      </c>
      <c r="BZ237" s="72">
        <v>0</v>
      </c>
      <c r="CA237" s="72">
        <v>0</v>
      </c>
    </row>
    <row r="238" spans="1:80" ht="15" x14ac:dyDescent="0.4">
      <c r="A238" s="97"/>
      <c r="B238" s="97"/>
      <c r="C238" s="97"/>
      <c r="D238" s="97"/>
      <c r="E238" s="121"/>
      <c r="F238" s="97"/>
      <c r="G238" s="97"/>
      <c r="H238" s="97"/>
      <c r="I238" s="117"/>
      <c r="J238" s="97"/>
      <c r="K238" s="123"/>
      <c r="L238" s="97"/>
      <c r="M238" s="128"/>
      <c r="N238" s="126"/>
      <c r="O238" s="97"/>
      <c r="P238" s="97"/>
      <c r="Q238" s="97"/>
      <c r="R238" s="97"/>
      <c r="S238" s="48"/>
      <c r="T238" s="48"/>
      <c r="U238" s="48"/>
      <c r="Y238" s="80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68"/>
      <c r="AK238" s="68"/>
      <c r="AL238" s="68"/>
      <c r="AM238" s="68"/>
      <c r="AN238" s="68"/>
      <c r="AO238" s="48"/>
      <c r="AP238" s="48"/>
      <c r="AQ238" s="48"/>
      <c r="AU238" s="80"/>
      <c r="AV238" s="72"/>
      <c r="AW238" s="72"/>
      <c r="AX238" s="72"/>
      <c r="AY238" s="72"/>
      <c r="AZ238" s="72"/>
      <c r="BA238" s="72"/>
      <c r="BB238" s="72"/>
      <c r="BC238" s="72"/>
      <c r="BD238" s="72"/>
      <c r="BE238" s="72"/>
      <c r="BF238" s="68"/>
      <c r="BG238" s="68"/>
      <c r="BK238" s="48"/>
      <c r="BL238" s="48"/>
      <c r="BM238" s="48"/>
      <c r="BQ238" s="80"/>
      <c r="BR238" s="72"/>
      <c r="BS238" s="72"/>
      <c r="BT238" s="72"/>
      <c r="BU238" s="72"/>
      <c r="BV238" s="72"/>
      <c r="BW238" s="72"/>
      <c r="BX238" s="72"/>
      <c r="BY238" s="72"/>
      <c r="BZ238" s="72"/>
      <c r="CA238" s="72"/>
    </row>
    <row r="239" spans="1:80" ht="15" x14ac:dyDescent="0.4">
      <c r="A239" s="97"/>
      <c r="B239" s="97"/>
      <c r="C239" s="97"/>
      <c r="D239" s="97"/>
      <c r="E239" s="121"/>
      <c r="F239" s="97"/>
      <c r="G239" s="97"/>
      <c r="H239" s="97"/>
      <c r="I239" s="117"/>
      <c r="J239" s="97"/>
      <c r="K239" s="122" t="s">
        <v>29</v>
      </c>
      <c r="L239" s="122">
        <v>0.25</v>
      </c>
      <c r="M239" s="128">
        <f>1-EXP(-N239*$E$2)</f>
        <v>6.8000872552019476E-2</v>
      </c>
      <c r="N239" s="126">
        <f>X271</f>
        <v>2.112702015347919</v>
      </c>
      <c r="O239" s="97"/>
      <c r="P239" s="97"/>
      <c r="Q239" s="97"/>
      <c r="R239" s="97"/>
      <c r="S239" s="51" t="s">
        <v>62</v>
      </c>
      <c r="T239" s="48"/>
      <c r="U239" s="48"/>
      <c r="Y239" s="80" t="s">
        <v>59</v>
      </c>
      <c r="Z239" s="72">
        <f t="shared" ref="Z239:AI239" si="80">IF(nnb=3,$AA$197*(Z233-Z235),0)</f>
        <v>3.3</v>
      </c>
      <c r="AA239" s="72">
        <f t="shared" si="80"/>
        <v>3.5969999999999982</v>
      </c>
      <c r="AB239" s="72">
        <f t="shared" si="80"/>
        <v>3.9207300000000016</v>
      </c>
      <c r="AC239" s="72">
        <f t="shared" si="80"/>
        <v>4.2735957000000022</v>
      </c>
      <c r="AD239" s="72">
        <f t="shared" si="80"/>
        <v>4.6582193130000009</v>
      </c>
      <c r="AE239" s="72">
        <f t="shared" si="80"/>
        <v>5.0774590511700035</v>
      </c>
      <c r="AF239" s="72">
        <f t="shared" si="80"/>
        <v>5.5344303657753047</v>
      </c>
      <c r="AG239" s="72">
        <f t="shared" si="80"/>
        <v>6.0325290986950844</v>
      </c>
      <c r="AH239" s="72">
        <f t="shared" si="80"/>
        <v>6.375</v>
      </c>
      <c r="AI239" s="72">
        <f t="shared" si="80"/>
        <v>6.375</v>
      </c>
      <c r="AJ239" s="68"/>
      <c r="AK239" s="68"/>
      <c r="AL239" s="68"/>
      <c r="AM239" s="68"/>
      <c r="AN239" s="68"/>
      <c r="AO239" s="51" t="s">
        <v>62</v>
      </c>
      <c r="AP239" s="48"/>
      <c r="AQ239" s="48"/>
      <c r="AU239" s="80" t="s">
        <v>59</v>
      </c>
      <c r="AV239" s="72">
        <f t="shared" ref="AV239:BE239" si="81">IF(vvg=3,$AW$197*(AV233-AV235),0)</f>
        <v>3.3</v>
      </c>
      <c r="AW239" s="72">
        <f t="shared" si="81"/>
        <v>3.5309999999999988</v>
      </c>
      <c r="AX239" s="72">
        <f t="shared" si="81"/>
        <v>3.7781700000000011</v>
      </c>
      <c r="AY239" s="72">
        <f t="shared" si="81"/>
        <v>4.0426419000000022</v>
      </c>
      <c r="AZ239" s="72">
        <f t="shared" si="81"/>
        <v>4.3256268330000056</v>
      </c>
      <c r="BA239" s="72">
        <f t="shared" si="81"/>
        <v>4.6284207113099995</v>
      </c>
      <c r="BB239" s="72">
        <f t="shared" si="81"/>
        <v>4.9524101611017013</v>
      </c>
      <c r="BC239" s="72">
        <f t="shared" si="81"/>
        <v>5.2990788723788258</v>
      </c>
      <c r="BD239" s="72">
        <f t="shared" si="81"/>
        <v>5.670014393445336</v>
      </c>
      <c r="BE239" s="72">
        <f t="shared" si="81"/>
        <v>6.0669154009865167</v>
      </c>
      <c r="BF239" s="68"/>
      <c r="BG239" s="68"/>
      <c r="BK239" s="51" t="s">
        <v>62</v>
      </c>
      <c r="BL239" s="48"/>
      <c r="BM239" s="48"/>
      <c r="BQ239" s="80" t="s">
        <v>59</v>
      </c>
      <c r="BR239" s="72">
        <f t="shared" ref="BR239:CA239" si="82">IF(dsav=3,$BS$197*(BR233-BR235),0)</f>
        <v>3.3</v>
      </c>
      <c r="BS239" s="72">
        <f t="shared" si="82"/>
        <v>3.1350000000000007</v>
      </c>
      <c r="BT239" s="72">
        <f t="shared" si="82"/>
        <v>2.9782499999999983</v>
      </c>
      <c r="BU239" s="72">
        <f t="shared" si="82"/>
        <v>2.8293374999999981</v>
      </c>
      <c r="BV239" s="72">
        <f t="shared" si="82"/>
        <v>2.6878706250000008</v>
      </c>
      <c r="BW239" s="72">
        <f t="shared" si="82"/>
        <v>2.5534770937500011</v>
      </c>
      <c r="BX239" s="72">
        <f t="shared" si="82"/>
        <v>2.4258032390625002</v>
      </c>
      <c r="BY239" s="72">
        <f t="shared" si="82"/>
        <v>2.3045130771093723</v>
      </c>
      <c r="BZ239" s="72">
        <f t="shared" si="82"/>
        <v>2.1892874232539055</v>
      </c>
      <c r="CA239" s="72">
        <f t="shared" si="82"/>
        <v>2.0798230520912084</v>
      </c>
    </row>
    <row r="240" spans="1:80" ht="15" x14ac:dyDescent="0.4">
      <c r="A240" s="97"/>
      <c r="B240" s="97"/>
      <c r="C240" s="97"/>
      <c r="D240" s="97"/>
      <c r="E240" s="121"/>
      <c r="F240" s="97"/>
      <c r="G240" s="97"/>
      <c r="H240" s="97"/>
      <c r="I240" s="117"/>
      <c r="J240" s="97"/>
      <c r="K240" s="97"/>
      <c r="L240" s="97"/>
      <c r="M240" s="128"/>
      <c r="N240" s="126"/>
      <c r="O240" s="97"/>
      <c r="P240" s="97"/>
      <c r="Q240" s="97"/>
      <c r="R240" s="97"/>
      <c r="S240" s="51" t="s">
        <v>63</v>
      </c>
      <c r="T240" s="48"/>
      <c r="U240" s="48"/>
      <c r="Y240" s="80" t="s">
        <v>59</v>
      </c>
      <c r="Z240" s="72">
        <f t="shared" ref="Z240:AI240" si="83">$AA$198*(Z233)</f>
        <v>46.354000000000006</v>
      </c>
      <c r="AA240" s="72">
        <f t="shared" si="83"/>
        <v>50.525860000000009</v>
      </c>
      <c r="AB240" s="72">
        <f t="shared" si="83"/>
        <v>55.073187400000023</v>
      </c>
      <c r="AC240" s="72">
        <f t="shared" si="83"/>
        <v>60.029774266000025</v>
      </c>
      <c r="AD240" s="72">
        <f t="shared" si="83"/>
        <v>65.432453949940026</v>
      </c>
      <c r="AE240" s="72">
        <f t="shared" si="83"/>
        <v>71.32137480543463</v>
      </c>
      <c r="AF240" s="72">
        <f t="shared" si="83"/>
        <v>77.740298537923749</v>
      </c>
      <c r="AG240" s="72">
        <f t="shared" si="83"/>
        <v>84.736925406336908</v>
      </c>
      <c r="AH240" s="72">
        <f t="shared" si="83"/>
        <v>89.547499999999999</v>
      </c>
      <c r="AI240" s="72">
        <f t="shared" si="83"/>
        <v>89.547499999999999</v>
      </c>
      <c r="AJ240" s="68"/>
      <c r="AK240" s="68"/>
      <c r="AL240" s="68"/>
      <c r="AM240" s="68"/>
      <c r="AN240" s="68"/>
      <c r="AO240" s="51" t="s">
        <v>63</v>
      </c>
      <c r="AP240" s="48"/>
      <c r="AQ240" s="48"/>
      <c r="AU240" s="80" t="s">
        <v>59</v>
      </c>
      <c r="AV240" s="72">
        <f t="shared" ref="AV240:BE240" si="84">$AW$198*(AV233)</f>
        <v>46.354000000000006</v>
      </c>
      <c r="AW240" s="72">
        <f t="shared" si="84"/>
        <v>49.598780000000012</v>
      </c>
      <c r="AX240" s="72">
        <f t="shared" si="84"/>
        <v>53.070694600000024</v>
      </c>
      <c r="AY240" s="72">
        <f t="shared" si="84"/>
        <v>56.785643222000033</v>
      </c>
      <c r="AZ240" s="72">
        <f t="shared" si="84"/>
        <v>60.760638247540037</v>
      </c>
      <c r="BA240" s="72">
        <f t="shared" si="84"/>
        <v>65.013882924867829</v>
      </c>
      <c r="BB240" s="72">
        <f t="shared" si="84"/>
        <v>69.564854729608584</v>
      </c>
      <c r="BC240" s="72">
        <f t="shared" si="84"/>
        <v>74.434394560681213</v>
      </c>
      <c r="BD240" s="72">
        <f t="shared" si="84"/>
        <v>79.644802179928888</v>
      </c>
      <c r="BE240" s="72">
        <f t="shared" si="84"/>
        <v>85.219938332523924</v>
      </c>
      <c r="BF240" s="68"/>
      <c r="BG240" s="68"/>
      <c r="BK240" s="51" t="s">
        <v>63</v>
      </c>
      <c r="BL240" s="48"/>
      <c r="BM240" s="48"/>
      <c r="BQ240" s="80" t="s">
        <v>59</v>
      </c>
      <c r="BR240" s="72">
        <f t="shared" ref="BR240:CA240" si="85">$BS$198*(BR233)</f>
        <v>46.354000000000006</v>
      </c>
      <c r="BS240" s="72">
        <f t="shared" si="85"/>
        <v>44.036299999999997</v>
      </c>
      <c r="BT240" s="72">
        <f t="shared" si="85"/>
        <v>41.834484999999994</v>
      </c>
      <c r="BU240" s="72">
        <f t="shared" si="85"/>
        <v>39.742760749999995</v>
      </c>
      <c r="BV240" s="72">
        <f t="shared" si="85"/>
        <v>37.755622712499999</v>
      </c>
      <c r="BW240" s="72">
        <f t="shared" si="85"/>
        <v>35.867841576874994</v>
      </c>
      <c r="BX240" s="72">
        <f t="shared" si="85"/>
        <v>34.074449498031242</v>
      </c>
      <c r="BY240" s="72">
        <f t="shared" si="85"/>
        <v>32.370727023129675</v>
      </c>
      <c r="BZ240" s="72">
        <f t="shared" si="85"/>
        <v>30.752190671973192</v>
      </c>
      <c r="CA240" s="72">
        <f t="shared" si="85"/>
        <v>29.214581138374527</v>
      </c>
    </row>
    <row r="241" spans="1:79" ht="15" x14ac:dyDescent="0.4">
      <c r="A241" s="97"/>
      <c r="B241" s="97"/>
      <c r="C241" s="97"/>
      <c r="D241" s="97"/>
      <c r="E241" s="121"/>
      <c r="F241" s="97"/>
      <c r="G241" s="97"/>
      <c r="H241" s="97"/>
      <c r="I241" s="117"/>
      <c r="J241" s="97"/>
      <c r="K241" s="155" t="s">
        <v>33</v>
      </c>
      <c r="L241" s="155"/>
      <c r="M241" s="128"/>
      <c r="N241" s="126"/>
      <c r="O241" s="97"/>
      <c r="P241" s="97"/>
      <c r="Q241" s="97"/>
      <c r="R241" s="97"/>
      <c r="S241" s="48"/>
      <c r="T241" s="48"/>
      <c r="U241" s="48"/>
      <c r="Y241" s="80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68"/>
      <c r="AK241" s="68"/>
      <c r="AL241" s="68"/>
      <c r="AM241" s="68"/>
      <c r="AN241" s="68"/>
      <c r="AO241" s="48"/>
      <c r="AP241" s="48"/>
      <c r="AQ241" s="48"/>
      <c r="AU241" s="80"/>
      <c r="AV241" s="72"/>
      <c r="AW241" s="72"/>
      <c r="AX241" s="72"/>
      <c r="AY241" s="72"/>
      <c r="AZ241" s="72"/>
      <c r="BA241" s="72"/>
      <c r="BB241" s="72"/>
      <c r="BC241" s="72"/>
      <c r="BD241" s="72"/>
      <c r="BE241" s="72"/>
      <c r="BF241" s="68"/>
      <c r="BG241" s="68"/>
      <c r="BK241" s="48"/>
      <c r="BL241" s="48"/>
      <c r="BM241" s="48"/>
      <c r="BQ241" s="80"/>
      <c r="BR241" s="72"/>
      <c r="BS241" s="72"/>
      <c r="BT241" s="72"/>
      <c r="BU241" s="72"/>
      <c r="BV241" s="72"/>
      <c r="BW241" s="72"/>
      <c r="BX241" s="72"/>
      <c r="BY241" s="72"/>
      <c r="BZ241" s="72"/>
      <c r="CA241" s="72"/>
    </row>
    <row r="242" spans="1:79" ht="15" x14ac:dyDescent="0.4">
      <c r="A242" s="97"/>
      <c r="B242" s="97"/>
      <c r="C242" s="97"/>
      <c r="D242" s="97"/>
      <c r="E242" s="121"/>
      <c r="F242" s="97"/>
      <c r="G242" s="97"/>
      <c r="H242" s="97"/>
      <c r="I242" s="117"/>
      <c r="J242" s="97"/>
      <c r="K242" s="97"/>
      <c r="L242" s="97"/>
      <c r="M242" s="128"/>
      <c r="N242" s="126"/>
      <c r="O242" s="97"/>
      <c r="P242" s="97"/>
      <c r="Q242" s="97"/>
      <c r="R242" s="97"/>
      <c r="S242" s="51" t="s">
        <v>64</v>
      </c>
      <c r="T242" s="48"/>
      <c r="U242" s="48"/>
      <c r="Y242" s="80" t="s">
        <v>59</v>
      </c>
      <c r="Z242" s="72">
        <f t="shared" ref="Z242:AI242" si="86">IF(nnb=1,Z233-Z235,IF(nnb=2,Z233-Z235-Z237,IF(nnb=3,Z233-Z235-Z239,IF(nnb=4,Z233-Z235-Z240,"error"))))</f>
        <v>2.2000000000000002</v>
      </c>
      <c r="AA242" s="72">
        <f t="shared" si="86"/>
        <v>2.3979999999999992</v>
      </c>
      <c r="AB242" s="72">
        <f t="shared" si="86"/>
        <v>2.6138200000000014</v>
      </c>
      <c r="AC242" s="72">
        <f t="shared" si="86"/>
        <v>2.8490638000000024</v>
      </c>
      <c r="AD242" s="72">
        <f t="shared" si="86"/>
        <v>3.1054795420000003</v>
      </c>
      <c r="AE242" s="72">
        <f t="shared" si="86"/>
        <v>3.3849727007800032</v>
      </c>
      <c r="AF242" s="72">
        <f t="shared" si="86"/>
        <v>3.6896202438502028</v>
      </c>
      <c r="AG242" s="72">
        <f t="shared" si="86"/>
        <v>4.0216860657967235</v>
      </c>
      <c r="AH242" s="72">
        <f t="shared" si="86"/>
        <v>4.25</v>
      </c>
      <c r="AI242" s="72">
        <f t="shared" si="86"/>
        <v>4.25</v>
      </c>
      <c r="AJ242" s="68"/>
      <c r="AK242" s="68"/>
      <c r="AL242" s="68"/>
      <c r="AM242" s="68"/>
      <c r="AN242" s="68"/>
      <c r="AO242" s="51" t="s">
        <v>64</v>
      </c>
      <c r="AP242" s="48"/>
      <c r="AQ242" s="48"/>
      <c r="AU242" s="80" t="s">
        <v>59</v>
      </c>
      <c r="AV242" s="72">
        <f t="shared" ref="AV242:BE242" si="87">IF(vvg=1,AV233-AV235,IF(vvg=2,AV233-AV235-AV237,IF(vvg=3,AV233-AV235-AV239,IF(vvg=4,AV233-AV235-AV240,"error"))))</f>
        <v>2.2000000000000002</v>
      </c>
      <c r="AW242" s="72">
        <f t="shared" si="87"/>
        <v>2.3539999999999992</v>
      </c>
      <c r="AX242" s="72">
        <f t="shared" si="87"/>
        <v>2.5187800000000014</v>
      </c>
      <c r="AY242" s="72">
        <f t="shared" si="87"/>
        <v>2.6950946000000018</v>
      </c>
      <c r="AZ242" s="72">
        <f t="shared" si="87"/>
        <v>2.8837512220000034</v>
      </c>
      <c r="BA242" s="72">
        <f t="shared" si="87"/>
        <v>3.0856138075399997</v>
      </c>
      <c r="BB242" s="72">
        <f t="shared" si="87"/>
        <v>3.3016067740678015</v>
      </c>
      <c r="BC242" s="72">
        <f t="shared" si="87"/>
        <v>3.5327192482525502</v>
      </c>
      <c r="BD242" s="72">
        <f t="shared" si="87"/>
        <v>3.7800095956302249</v>
      </c>
      <c r="BE242" s="72">
        <f t="shared" si="87"/>
        <v>4.0446102673243445</v>
      </c>
      <c r="BF242" s="68"/>
      <c r="BG242" s="68"/>
      <c r="BK242" s="51" t="s">
        <v>64</v>
      </c>
      <c r="BL242" s="48"/>
      <c r="BM242" s="48"/>
      <c r="BQ242" s="80" t="s">
        <v>59</v>
      </c>
      <c r="BR242" s="72">
        <f t="shared" ref="BR242:CA242" si="88">IF(dsav=1,BR233-BR235,IF(dsav=2,BR233-BR235-BR237,IF(dsav=3,BR233-BR235-BR239,IF(dsav=4,BR233-BR235-BR240,"error"))))</f>
        <v>2.2000000000000002</v>
      </c>
      <c r="BS242" s="72">
        <f t="shared" si="88"/>
        <v>2.0900000000000007</v>
      </c>
      <c r="BT242" s="72">
        <f t="shared" si="88"/>
        <v>1.9854999999999992</v>
      </c>
      <c r="BU242" s="72">
        <f t="shared" si="88"/>
        <v>1.8862249999999992</v>
      </c>
      <c r="BV242" s="72">
        <f t="shared" si="88"/>
        <v>1.7919137500000004</v>
      </c>
      <c r="BW242" s="72">
        <f t="shared" si="88"/>
        <v>1.7023180625000012</v>
      </c>
      <c r="BX242" s="72">
        <f t="shared" si="88"/>
        <v>1.6172021593750006</v>
      </c>
      <c r="BY242" s="72">
        <f t="shared" si="88"/>
        <v>1.5363420514062485</v>
      </c>
      <c r="BZ242" s="72">
        <f t="shared" si="88"/>
        <v>1.4595249488359374</v>
      </c>
      <c r="CA242" s="72">
        <f t="shared" si="88"/>
        <v>1.3865487013941391</v>
      </c>
    </row>
    <row r="243" spans="1:79" ht="15" x14ac:dyDescent="0.4">
      <c r="A243" s="97"/>
      <c r="B243" s="97"/>
      <c r="C243" s="97"/>
      <c r="D243" s="97"/>
      <c r="E243" s="121"/>
      <c r="F243" s="97"/>
      <c r="G243" s="97"/>
      <c r="H243" s="97"/>
      <c r="I243" s="117"/>
      <c r="J243" s="97"/>
      <c r="K243" s="120" t="s">
        <v>31</v>
      </c>
      <c r="L243" s="122">
        <v>0.25</v>
      </c>
      <c r="M243" s="128">
        <f>1-EXP(-N243*$E$2)</f>
        <v>0.30808809311953</v>
      </c>
      <c r="N243" s="126">
        <f>Z270</f>
        <v>11.048899009917973</v>
      </c>
      <c r="O243" s="97"/>
      <c r="P243" s="97"/>
      <c r="Q243" s="97"/>
      <c r="R243" s="97"/>
      <c r="S243" s="48"/>
      <c r="T243" s="48"/>
      <c r="U243" s="48"/>
      <c r="Y243" s="80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68"/>
      <c r="AK243" s="68"/>
      <c r="AL243" s="68"/>
      <c r="AM243" s="68"/>
      <c r="AN243" s="68"/>
      <c r="AO243" s="48"/>
      <c r="AP243" s="48"/>
      <c r="AQ243" s="48"/>
      <c r="AU243" s="80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68"/>
      <c r="BG243" s="68"/>
      <c r="BK243" s="48"/>
      <c r="BL243" s="48"/>
      <c r="BM243" s="48"/>
      <c r="BQ243" s="80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</row>
    <row r="244" spans="1:79" ht="15" x14ac:dyDescent="0.4">
      <c r="A244" s="97"/>
      <c r="B244" s="97"/>
      <c r="C244" s="97"/>
      <c r="D244" s="97"/>
      <c r="E244" s="121"/>
      <c r="F244" s="97"/>
      <c r="G244" s="97"/>
      <c r="H244" s="97"/>
      <c r="I244" s="117"/>
      <c r="J244" s="97"/>
      <c r="K244" s="117"/>
      <c r="L244" s="97"/>
      <c r="M244" s="128"/>
      <c r="N244" s="126"/>
      <c r="O244" s="97"/>
      <c r="P244" s="97"/>
      <c r="Q244" s="97"/>
      <c r="R244" s="97"/>
      <c r="S244" s="51" t="s">
        <v>65</v>
      </c>
      <c r="T244" s="48"/>
      <c r="U244" s="48"/>
      <c r="Y244" s="80" t="s">
        <v>59</v>
      </c>
      <c r="Z244" s="72">
        <f t="shared" ref="Z244:AI244" si="89">sdsf*Z242</f>
        <v>0.83600000000000008</v>
      </c>
      <c r="AA244" s="72">
        <f t="shared" si="89"/>
        <v>0.91123999999999972</v>
      </c>
      <c r="AB244" s="72">
        <f t="shared" si="89"/>
        <v>0.99325160000000057</v>
      </c>
      <c r="AC244" s="72">
        <f t="shared" si="89"/>
        <v>1.0826442440000008</v>
      </c>
      <c r="AD244" s="72">
        <f t="shared" si="89"/>
        <v>1.1800822259600001</v>
      </c>
      <c r="AE244" s="72">
        <f t="shared" si="89"/>
        <v>1.2862896262964012</v>
      </c>
      <c r="AF244" s="72">
        <f t="shared" si="89"/>
        <v>1.4020556926630772</v>
      </c>
      <c r="AG244" s="72">
        <f t="shared" si="89"/>
        <v>1.5282407050027549</v>
      </c>
      <c r="AH244" s="72">
        <f t="shared" si="89"/>
        <v>1.615</v>
      </c>
      <c r="AI244" s="72">
        <f t="shared" si="89"/>
        <v>1.615</v>
      </c>
      <c r="AJ244" s="68"/>
      <c r="AK244" s="68"/>
      <c r="AL244" s="68"/>
      <c r="AM244" s="68"/>
      <c r="AN244" s="68"/>
      <c r="AO244" s="51" t="s">
        <v>65</v>
      </c>
      <c r="AP244" s="48"/>
      <c r="AQ244" s="48"/>
      <c r="AU244" s="80" t="s">
        <v>59</v>
      </c>
      <c r="AV244" s="72">
        <f t="shared" ref="AV244:BE244" si="90">dsd*AV242</f>
        <v>0.83600000000000008</v>
      </c>
      <c r="AW244" s="72">
        <f t="shared" si="90"/>
        <v>0.89451999999999976</v>
      </c>
      <c r="AX244" s="72">
        <f t="shared" si="90"/>
        <v>0.95713640000000055</v>
      </c>
      <c r="AY244" s="72">
        <f t="shared" si="90"/>
        <v>1.0241359480000007</v>
      </c>
      <c r="AZ244" s="72">
        <f t="shared" si="90"/>
        <v>1.0958254643600014</v>
      </c>
      <c r="BA244" s="72">
        <f t="shared" si="90"/>
        <v>1.1725332468651999</v>
      </c>
      <c r="BB244" s="72">
        <f t="shared" si="90"/>
        <v>1.2546105741457645</v>
      </c>
      <c r="BC244" s="72">
        <f t="shared" si="90"/>
        <v>1.342433314335969</v>
      </c>
      <c r="BD244" s="72">
        <f t="shared" si="90"/>
        <v>1.4364036463394854</v>
      </c>
      <c r="BE244" s="72">
        <f t="shared" si="90"/>
        <v>1.5369519015832509</v>
      </c>
      <c r="BF244" s="68"/>
      <c r="BG244" s="68"/>
      <c r="BK244" s="51" t="s">
        <v>65</v>
      </c>
      <c r="BL244" s="48"/>
      <c r="BM244" s="48"/>
      <c r="BQ244" s="80" t="s">
        <v>59</v>
      </c>
      <c r="BR244" s="72">
        <f t="shared" ref="BR244:CA244" si="91">gddgdg*BR242</f>
        <v>0.83600000000000008</v>
      </c>
      <c r="BS244" s="72">
        <f t="shared" si="91"/>
        <v>0.79420000000000024</v>
      </c>
      <c r="BT244" s="72">
        <f t="shared" si="91"/>
        <v>0.75448999999999966</v>
      </c>
      <c r="BU244" s="72">
        <f t="shared" si="91"/>
        <v>0.71676549999999972</v>
      </c>
      <c r="BV244" s="72">
        <f t="shared" si="91"/>
        <v>0.68092722500000014</v>
      </c>
      <c r="BW244" s="72">
        <f t="shared" si="91"/>
        <v>0.64688086375000042</v>
      </c>
      <c r="BX244" s="72">
        <f t="shared" si="91"/>
        <v>0.61453682056250025</v>
      </c>
      <c r="BY244" s="72">
        <f t="shared" si="91"/>
        <v>0.58380997953437441</v>
      </c>
      <c r="BZ244" s="72">
        <f t="shared" si="91"/>
        <v>0.5546194805576562</v>
      </c>
      <c r="CA244" s="72">
        <f t="shared" si="91"/>
        <v>0.52688850652977282</v>
      </c>
    </row>
    <row r="245" spans="1:79" ht="15" x14ac:dyDescent="0.4">
      <c r="A245" s="97"/>
      <c r="B245" s="97"/>
      <c r="C245" s="97"/>
      <c r="D245" s="97"/>
      <c r="E245" s="121"/>
      <c r="F245" s="165" t="s">
        <v>10</v>
      </c>
      <c r="G245" s="156"/>
      <c r="H245" s="157"/>
      <c r="I245" s="117"/>
      <c r="J245" s="97"/>
      <c r="K245" s="117"/>
      <c r="L245" s="97"/>
      <c r="M245" s="128"/>
      <c r="N245" s="126"/>
      <c r="O245" s="97"/>
      <c r="P245" s="97"/>
      <c r="Q245" s="97"/>
      <c r="R245" s="97"/>
      <c r="S245" s="51" t="s">
        <v>66</v>
      </c>
      <c r="T245" s="48"/>
      <c r="U245" s="48"/>
      <c r="Y245" s="80" t="s">
        <v>59</v>
      </c>
      <c r="Z245" s="72">
        <f>IF(Z244&lt;0,ABS(Z244),0)</f>
        <v>0</v>
      </c>
      <c r="AA245" s="72">
        <f t="shared" ref="AA245:AI245" si="92">IF((AA244-Z245)&lt;0,ABS(Z245-AA244),0)</f>
        <v>0</v>
      </c>
      <c r="AB245" s="72">
        <f t="shared" si="92"/>
        <v>0</v>
      </c>
      <c r="AC245" s="72">
        <f t="shared" si="92"/>
        <v>0</v>
      </c>
      <c r="AD245" s="72">
        <f t="shared" si="92"/>
        <v>0</v>
      </c>
      <c r="AE245" s="72">
        <f t="shared" si="92"/>
        <v>0</v>
      </c>
      <c r="AF245" s="72">
        <f t="shared" si="92"/>
        <v>0</v>
      </c>
      <c r="AG245" s="72">
        <f t="shared" si="92"/>
        <v>0</v>
      </c>
      <c r="AH245" s="72">
        <f t="shared" si="92"/>
        <v>0</v>
      </c>
      <c r="AI245" s="72">
        <f t="shared" si="92"/>
        <v>0</v>
      </c>
      <c r="AJ245" s="68"/>
      <c r="AK245" s="68"/>
      <c r="AL245" s="68"/>
      <c r="AM245" s="68"/>
      <c r="AN245" s="68"/>
      <c r="AO245" s="51" t="s">
        <v>66</v>
      </c>
      <c r="AP245" s="48"/>
      <c r="AQ245" s="48"/>
      <c r="AU245" s="80" t="s">
        <v>59</v>
      </c>
      <c r="AV245" s="72">
        <f>IF(AV244&lt;0,ABS(AV244),0)</f>
        <v>0</v>
      </c>
      <c r="AW245" s="72">
        <f t="shared" ref="AW245:BE245" si="93">IF((AW244-AV245)&lt;0,ABS(AV245-AW244),0)</f>
        <v>0</v>
      </c>
      <c r="AX245" s="72">
        <f t="shared" si="93"/>
        <v>0</v>
      </c>
      <c r="AY245" s="72">
        <f t="shared" si="93"/>
        <v>0</v>
      </c>
      <c r="AZ245" s="72">
        <f t="shared" si="93"/>
        <v>0</v>
      </c>
      <c r="BA245" s="72">
        <f t="shared" si="93"/>
        <v>0</v>
      </c>
      <c r="BB245" s="72">
        <f t="shared" si="93"/>
        <v>0</v>
      </c>
      <c r="BC245" s="72">
        <f t="shared" si="93"/>
        <v>0</v>
      </c>
      <c r="BD245" s="72">
        <f t="shared" si="93"/>
        <v>0</v>
      </c>
      <c r="BE245" s="72">
        <f t="shared" si="93"/>
        <v>0</v>
      </c>
      <c r="BF245" s="68"/>
      <c r="BG245" s="68"/>
      <c r="BK245" s="51" t="s">
        <v>66</v>
      </c>
      <c r="BL245" s="48"/>
      <c r="BM245" s="48"/>
      <c r="BQ245" s="80" t="s">
        <v>59</v>
      </c>
      <c r="BR245" s="72">
        <f>IF(BR244&lt;0,ABS(BR244),0)</f>
        <v>0</v>
      </c>
      <c r="BS245" s="72">
        <f t="shared" ref="BS245:CA245" si="94">IF((BS244-BR245)&lt;0,ABS(BR245-BS244),0)</f>
        <v>0</v>
      </c>
      <c r="BT245" s="72">
        <f t="shared" si="94"/>
        <v>0</v>
      </c>
      <c r="BU245" s="72">
        <f t="shared" si="94"/>
        <v>0</v>
      </c>
      <c r="BV245" s="72">
        <f t="shared" si="94"/>
        <v>0</v>
      </c>
      <c r="BW245" s="72">
        <f t="shared" si="94"/>
        <v>0</v>
      </c>
      <c r="BX245" s="72">
        <f t="shared" si="94"/>
        <v>0</v>
      </c>
      <c r="BY245" s="72">
        <f t="shared" si="94"/>
        <v>0</v>
      </c>
      <c r="BZ245" s="72">
        <f t="shared" si="94"/>
        <v>0</v>
      </c>
      <c r="CA245" s="72">
        <f t="shared" si="94"/>
        <v>0</v>
      </c>
    </row>
    <row r="246" spans="1:79" ht="15" x14ac:dyDescent="0.4">
      <c r="A246" s="97"/>
      <c r="B246" s="97"/>
      <c r="C246" s="97"/>
      <c r="D246" s="97"/>
      <c r="E246" s="97"/>
      <c r="F246" s="120" t="s">
        <v>84</v>
      </c>
      <c r="G246" s="122">
        <f>J236*I237+J246*I247+J256*I257</f>
        <v>0.16622149739321784</v>
      </c>
      <c r="H246" s="122"/>
      <c r="I246" s="120" t="s">
        <v>30</v>
      </c>
      <c r="J246" s="122">
        <v>0.5</v>
      </c>
      <c r="K246" s="120" t="s">
        <v>30</v>
      </c>
      <c r="L246" s="122">
        <v>0.5</v>
      </c>
      <c r="M246" s="128">
        <f>1-EXP(-N246*$E$2)</f>
        <v>0.17101935443750516</v>
      </c>
      <c r="N246" s="126">
        <f>Y270</f>
        <v>5.6267541254211872</v>
      </c>
      <c r="O246" s="97"/>
      <c r="P246" s="97"/>
      <c r="Q246" s="97"/>
      <c r="R246" s="97"/>
      <c r="S246" s="51" t="s">
        <v>67</v>
      </c>
      <c r="T246" s="48"/>
      <c r="U246" s="48"/>
      <c r="Y246" s="80" t="s">
        <v>59</v>
      </c>
      <c r="Z246" s="72">
        <f>IF(Z244&lt;0,0,Z244)</f>
        <v>0.83600000000000008</v>
      </c>
      <c r="AA246" s="72">
        <f t="shared" ref="AA246:AI246" si="95">IF(AA244&lt;0,0,IF((AA244-Z245)&lt;0,0,(AA244-Z245)))</f>
        <v>0.91123999999999972</v>
      </c>
      <c r="AB246" s="72">
        <f t="shared" si="95"/>
        <v>0.99325160000000057</v>
      </c>
      <c r="AC246" s="72">
        <f t="shared" si="95"/>
        <v>1.0826442440000008</v>
      </c>
      <c r="AD246" s="72">
        <f t="shared" si="95"/>
        <v>1.1800822259600001</v>
      </c>
      <c r="AE246" s="72">
        <f t="shared" si="95"/>
        <v>1.2862896262964012</v>
      </c>
      <c r="AF246" s="72">
        <f t="shared" si="95"/>
        <v>1.4020556926630772</v>
      </c>
      <c r="AG246" s="72">
        <f t="shared" si="95"/>
        <v>1.5282407050027549</v>
      </c>
      <c r="AH246" s="72">
        <f t="shared" si="95"/>
        <v>1.615</v>
      </c>
      <c r="AI246" s="72">
        <f t="shared" si="95"/>
        <v>1.615</v>
      </c>
      <c r="AJ246" s="68"/>
      <c r="AK246" s="68"/>
      <c r="AL246" s="68"/>
      <c r="AM246" s="68"/>
      <c r="AN246" s="68"/>
      <c r="AO246" s="51" t="s">
        <v>67</v>
      </c>
      <c r="AP246" s="48"/>
      <c r="AQ246" s="48"/>
      <c r="AU246" s="80" t="s">
        <v>59</v>
      </c>
      <c r="AV246" s="72">
        <f>IF(AV244&lt;0,0,AV244)</f>
        <v>0.83600000000000008</v>
      </c>
      <c r="AW246" s="72">
        <f t="shared" ref="AW246:BE246" si="96">IF(AW244&lt;0,0,IF((AW244-AV245)&lt;0,0,(AW244-AV245)))</f>
        <v>0.89451999999999976</v>
      </c>
      <c r="AX246" s="72">
        <f t="shared" si="96"/>
        <v>0.95713640000000055</v>
      </c>
      <c r="AY246" s="72">
        <f t="shared" si="96"/>
        <v>1.0241359480000007</v>
      </c>
      <c r="AZ246" s="72">
        <f t="shared" si="96"/>
        <v>1.0958254643600014</v>
      </c>
      <c r="BA246" s="72">
        <f t="shared" si="96"/>
        <v>1.1725332468651999</v>
      </c>
      <c r="BB246" s="72">
        <f t="shared" si="96"/>
        <v>1.2546105741457645</v>
      </c>
      <c r="BC246" s="72">
        <f t="shared" si="96"/>
        <v>1.342433314335969</v>
      </c>
      <c r="BD246" s="72">
        <f t="shared" si="96"/>
        <v>1.4364036463394854</v>
      </c>
      <c r="BE246" s="72">
        <f t="shared" si="96"/>
        <v>1.5369519015832509</v>
      </c>
      <c r="BF246" s="68"/>
      <c r="BG246" s="68"/>
      <c r="BK246" s="51" t="s">
        <v>67</v>
      </c>
      <c r="BL246" s="48"/>
      <c r="BM246" s="48"/>
      <c r="BQ246" s="80" t="s">
        <v>59</v>
      </c>
      <c r="BR246" s="72">
        <f>IF(BR244&lt;0,0,BR244)</f>
        <v>0.83600000000000008</v>
      </c>
      <c r="BS246" s="72">
        <f t="shared" ref="BS246:CA246" si="97">IF(BS244&lt;0,0,IF((BS244-BR245)&lt;0,0,(BS244-BR245)))</f>
        <v>0.79420000000000024</v>
      </c>
      <c r="BT246" s="72">
        <f t="shared" si="97"/>
        <v>0.75448999999999966</v>
      </c>
      <c r="BU246" s="72">
        <f t="shared" si="97"/>
        <v>0.71676549999999972</v>
      </c>
      <c r="BV246" s="72">
        <f t="shared" si="97"/>
        <v>0.68092722500000014</v>
      </c>
      <c r="BW246" s="72">
        <f t="shared" si="97"/>
        <v>0.64688086375000042</v>
      </c>
      <c r="BX246" s="72">
        <f t="shared" si="97"/>
        <v>0.61453682056250025</v>
      </c>
      <c r="BY246" s="72">
        <f t="shared" si="97"/>
        <v>0.58380997953437441</v>
      </c>
      <c r="BZ246" s="72">
        <f t="shared" si="97"/>
        <v>0.5546194805576562</v>
      </c>
      <c r="CA246" s="72">
        <f t="shared" si="97"/>
        <v>0.52688850652977282</v>
      </c>
    </row>
    <row r="247" spans="1:79" ht="15" x14ac:dyDescent="0.4">
      <c r="A247" s="97"/>
      <c r="B247" s="97"/>
      <c r="C247" s="97"/>
      <c r="D247" s="97"/>
      <c r="E247" s="97"/>
      <c r="F247" s="97" t="s">
        <v>87</v>
      </c>
      <c r="G247" s="126">
        <f>-LN(-G246+1)/$E$2</f>
        <v>5.4536248890453543</v>
      </c>
      <c r="H247" s="97"/>
      <c r="I247" s="117">
        <f>M243*L243+M246*L246+M249*L249</f>
        <v>0.17821631912291092</v>
      </c>
      <c r="J247" s="97"/>
      <c r="K247" s="117"/>
      <c r="L247" s="97"/>
      <c r="M247" s="128"/>
      <c r="N247" s="126"/>
      <c r="O247" s="97"/>
      <c r="P247" s="97"/>
      <c r="Q247" s="97"/>
      <c r="R247" s="97"/>
      <c r="S247" s="48"/>
      <c r="T247" s="48"/>
      <c r="U247" s="48"/>
      <c r="Y247" s="80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3"/>
      <c r="AK247" s="73"/>
      <c r="AL247" s="73"/>
      <c r="AM247" s="68"/>
      <c r="AN247" s="68"/>
      <c r="AO247" s="48"/>
      <c r="AP247" s="48"/>
      <c r="AQ247" s="48"/>
      <c r="AU247" s="80"/>
      <c r="AV247" s="72"/>
      <c r="AW247" s="72"/>
      <c r="AX247" s="72"/>
      <c r="AY247" s="72"/>
      <c r="AZ247" s="72"/>
      <c r="BA247" s="72"/>
      <c r="BB247" s="72"/>
      <c r="BC247" s="72"/>
      <c r="BD247" s="72"/>
      <c r="BE247" s="72"/>
      <c r="BF247" s="73"/>
      <c r="BG247" s="73"/>
      <c r="BK247" s="48"/>
      <c r="BL247" s="48"/>
      <c r="BM247" s="48"/>
      <c r="BQ247" s="80"/>
      <c r="BR247" s="72"/>
      <c r="BS247" s="72"/>
      <c r="BT247" s="72"/>
      <c r="BU247" s="72"/>
      <c r="BV247" s="72"/>
      <c r="BW247" s="72"/>
      <c r="BX247" s="72"/>
      <c r="BY247" s="72"/>
      <c r="BZ247" s="72"/>
      <c r="CA247" s="72"/>
    </row>
    <row r="248" spans="1:79" ht="15" x14ac:dyDescent="0.4">
      <c r="A248" s="97"/>
      <c r="B248" s="97"/>
      <c r="C248" s="97"/>
      <c r="D248" s="97"/>
      <c r="E248" s="97"/>
      <c r="F248" s="97"/>
      <c r="G248" s="97"/>
      <c r="H248" s="97"/>
      <c r="I248" s="117"/>
      <c r="J248" s="97"/>
      <c r="K248" s="123"/>
      <c r="L248" s="97"/>
      <c r="M248" s="128"/>
      <c r="N248" s="126"/>
      <c r="O248" s="97"/>
      <c r="P248" s="97"/>
      <c r="Q248" s="97"/>
      <c r="R248" s="97"/>
      <c r="S248" s="51" t="s">
        <v>68</v>
      </c>
      <c r="Y248" s="80" t="s">
        <v>69</v>
      </c>
      <c r="Z248" s="74">
        <f t="shared" ref="Z248:AI248" si="98">Z242-Z246</f>
        <v>1.3640000000000001</v>
      </c>
      <c r="AA248" s="74">
        <f t="shared" si="98"/>
        <v>1.4867599999999994</v>
      </c>
      <c r="AB248" s="74">
        <f t="shared" si="98"/>
        <v>1.6205684000000007</v>
      </c>
      <c r="AC248" s="74">
        <f t="shared" si="98"/>
        <v>1.7664195560000016</v>
      </c>
      <c r="AD248" s="74">
        <f t="shared" si="98"/>
        <v>1.9253973160400002</v>
      </c>
      <c r="AE248" s="74">
        <f t="shared" si="98"/>
        <v>2.0986830744836018</v>
      </c>
      <c r="AF248" s="74">
        <f t="shared" si="98"/>
        <v>2.2875645511871259</v>
      </c>
      <c r="AG248" s="74">
        <f t="shared" si="98"/>
        <v>2.4934453607939684</v>
      </c>
      <c r="AH248" s="74">
        <f t="shared" si="98"/>
        <v>2.6349999999999998</v>
      </c>
      <c r="AI248" s="74">
        <f t="shared" si="98"/>
        <v>2.6349999999999998</v>
      </c>
      <c r="AJ248" s="75"/>
      <c r="AK248" s="75"/>
      <c r="AL248" s="75"/>
      <c r="AM248" s="68"/>
      <c r="AN248" s="68"/>
      <c r="AO248" s="51" t="s">
        <v>68</v>
      </c>
      <c r="AU248" s="80" t="s">
        <v>69</v>
      </c>
      <c r="AV248" s="74">
        <f t="shared" ref="AV248:BE248" si="99">AV242-AV246</f>
        <v>1.3640000000000001</v>
      </c>
      <c r="AW248" s="74">
        <f t="shared" si="99"/>
        <v>1.4594799999999994</v>
      </c>
      <c r="AX248" s="74">
        <f t="shared" si="99"/>
        <v>1.5616436000000009</v>
      </c>
      <c r="AY248" s="74">
        <f t="shared" si="99"/>
        <v>1.670958652000001</v>
      </c>
      <c r="AZ248" s="74">
        <f t="shared" si="99"/>
        <v>1.7879257576400021</v>
      </c>
      <c r="BA248" s="74">
        <f t="shared" si="99"/>
        <v>1.9130805606747998</v>
      </c>
      <c r="BB248" s="74">
        <f t="shared" si="99"/>
        <v>2.0469961999220372</v>
      </c>
      <c r="BC248" s="74">
        <f t="shared" si="99"/>
        <v>2.1902859339165812</v>
      </c>
      <c r="BD248" s="74">
        <f t="shared" si="99"/>
        <v>2.3436059492907395</v>
      </c>
      <c r="BE248" s="74">
        <f t="shared" si="99"/>
        <v>2.5076583657410936</v>
      </c>
      <c r="BF248" s="75"/>
      <c r="BG248" s="75"/>
      <c r="BK248" s="51" t="s">
        <v>68</v>
      </c>
      <c r="BQ248" s="80" t="s">
        <v>69</v>
      </c>
      <c r="BR248" s="74">
        <f t="shared" ref="BR248:CA248" si="100">BR242-BR246</f>
        <v>1.3640000000000001</v>
      </c>
      <c r="BS248" s="74">
        <f t="shared" si="100"/>
        <v>1.2958000000000005</v>
      </c>
      <c r="BT248" s="74">
        <f t="shared" si="100"/>
        <v>1.2310099999999995</v>
      </c>
      <c r="BU248" s="74">
        <f t="shared" si="100"/>
        <v>1.1694594999999994</v>
      </c>
      <c r="BV248" s="74">
        <f t="shared" si="100"/>
        <v>1.1109865250000004</v>
      </c>
      <c r="BW248" s="74">
        <f t="shared" si="100"/>
        <v>1.0554371987500009</v>
      </c>
      <c r="BX248" s="74">
        <f t="shared" si="100"/>
        <v>1.0026653388125002</v>
      </c>
      <c r="BY248" s="74">
        <f t="shared" si="100"/>
        <v>0.95253207187187405</v>
      </c>
      <c r="BZ248" s="74">
        <f t="shared" si="100"/>
        <v>0.90490546827828122</v>
      </c>
      <c r="CA248" s="74">
        <f t="shared" si="100"/>
        <v>0.85966019486436629</v>
      </c>
    </row>
    <row r="249" spans="1:79" x14ac:dyDescent="0.35">
      <c r="A249" s="97"/>
      <c r="B249" s="97"/>
      <c r="C249" s="97"/>
      <c r="D249" s="97"/>
      <c r="E249" s="97"/>
      <c r="F249" s="97"/>
      <c r="G249" s="97"/>
      <c r="H249" s="97"/>
      <c r="I249" s="117"/>
      <c r="J249" s="97"/>
      <c r="K249" s="122" t="s">
        <v>29</v>
      </c>
      <c r="L249" s="122">
        <v>0.25</v>
      </c>
      <c r="M249" s="128">
        <f>1-EXP(-N249*$E$2)</f>
        <v>6.2738474497103347E-2</v>
      </c>
      <c r="N249" s="126">
        <f>X270</f>
        <v>1.9437877887818653</v>
      </c>
      <c r="O249" s="97"/>
      <c r="P249" s="97"/>
      <c r="Q249" s="97"/>
      <c r="R249" s="97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</row>
    <row r="250" spans="1:79" ht="15" x14ac:dyDescent="0.4">
      <c r="A250" s="97"/>
      <c r="B250" s="97"/>
      <c r="C250" s="97"/>
      <c r="D250" s="97"/>
      <c r="E250" s="97"/>
      <c r="F250" s="97"/>
      <c r="G250" s="97"/>
      <c r="H250" s="97"/>
      <c r="I250" s="117"/>
      <c r="J250" s="97"/>
      <c r="K250" s="97"/>
      <c r="L250" s="97"/>
      <c r="M250" s="128"/>
      <c r="N250" s="126"/>
      <c r="O250" s="97"/>
      <c r="P250" s="97"/>
      <c r="Q250" s="97"/>
      <c r="R250" s="97"/>
      <c r="S250" s="51" t="s">
        <v>70</v>
      </c>
      <c r="T250" s="48"/>
      <c r="U250" s="48"/>
      <c r="Y250" s="80" t="s">
        <v>71</v>
      </c>
      <c r="Z250" s="93">
        <f>Z248+NPV(dgdgf,AA248,AB248,AC248,AD248,AE248,AF248,AG248,AH248,AI248)</f>
        <v>14.014019224682471</v>
      </c>
      <c r="AA250" s="92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68"/>
      <c r="AN250" s="68"/>
      <c r="AO250" s="51" t="s">
        <v>70</v>
      </c>
      <c r="AP250" s="48"/>
      <c r="AQ250" s="48"/>
      <c r="AU250" s="80" t="s">
        <v>71</v>
      </c>
      <c r="AV250" s="93">
        <f>AV248+NPV(gfdg,AW248,AX248,AY248,AZ248,BA248,BB248,BC248,BD248,BE248)</f>
        <v>13.085474710281828</v>
      </c>
      <c r="AW250" s="92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K250" s="51" t="s">
        <v>70</v>
      </c>
      <c r="BL250" s="48"/>
      <c r="BM250" s="48"/>
      <c r="BQ250" s="80" t="s">
        <v>71</v>
      </c>
      <c r="BR250" s="93">
        <f>BR248+NPV(fgfg,BS248,BT248,BU248,BV248,BW248,BX248,BY248,BZ248,CA248)</f>
        <v>8.1890621666409036</v>
      </c>
      <c r="BS250" s="92"/>
      <c r="BT250" s="76"/>
      <c r="BU250" s="76"/>
      <c r="BV250" s="76"/>
      <c r="BW250" s="76"/>
      <c r="BX250" s="76"/>
      <c r="BY250" s="76"/>
      <c r="BZ250" s="76"/>
      <c r="CA250" s="76"/>
    </row>
    <row r="251" spans="1:79" x14ac:dyDescent="0.35">
      <c r="A251" s="97"/>
      <c r="B251" s="97"/>
      <c r="C251" s="97"/>
      <c r="D251" s="97"/>
      <c r="E251" s="97"/>
      <c r="F251" s="97"/>
      <c r="G251" s="97"/>
      <c r="H251" s="97"/>
      <c r="I251" s="117"/>
      <c r="J251" s="97"/>
      <c r="K251" s="155" t="s">
        <v>33</v>
      </c>
      <c r="L251" s="155"/>
      <c r="M251" s="128"/>
      <c r="N251" s="126"/>
      <c r="O251" s="97"/>
      <c r="P251" s="97"/>
      <c r="Q251" s="97"/>
      <c r="R251" s="97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68"/>
      <c r="AN251" s="68"/>
      <c r="AO251" s="68"/>
    </row>
    <row r="252" spans="1:79" x14ac:dyDescent="0.35">
      <c r="A252" s="97"/>
      <c r="B252" s="97"/>
      <c r="C252" s="97"/>
      <c r="D252" s="97"/>
      <c r="E252" s="97"/>
      <c r="F252" s="97"/>
      <c r="G252" s="97"/>
      <c r="H252" s="97"/>
      <c r="I252" s="117"/>
      <c r="J252" s="97"/>
      <c r="K252" s="97"/>
      <c r="L252" s="97"/>
      <c r="M252" s="128"/>
      <c r="N252" s="126"/>
      <c r="O252" s="97"/>
      <c r="P252" s="97"/>
      <c r="Q252" s="97"/>
      <c r="R252" s="97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68"/>
      <c r="AN252" s="68"/>
      <c r="AO252" s="68"/>
    </row>
    <row r="253" spans="1:79" x14ac:dyDescent="0.35">
      <c r="A253" s="97"/>
      <c r="B253" s="97"/>
      <c r="C253" s="97"/>
      <c r="D253" s="97"/>
      <c r="E253" s="97"/>
      <c r="F253" s="97"/>
      <c r="G253" s="97"/>
      <c r="H253" s="97"/>
      <c r="I253" s="117"/>
      <c r="J253" s="97"/>
      <c r="K253" s="120" t="s">
        <v>31</v>
      </c>
      <c r="L253" s="122">
        <v>0.25</v>
      </c>
      <c r="M253" s="128">
        <f>1-EXP(-N253*$E$2)</f>
        <v>0.20585155516663478</v>
      </c>
      <c r="N253" s="126">
        <f>Z269</f>
        <v>6.9145463094327972</v>
      </c>
      <c r="O253" s="97"/>
      <c r="P253" s="97"/>
      <c r="Q253" s="97"/>
      <c r="R253" s="97"/>
      <c r="Z253" s="94"/>
      <c r="AA253" s="75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</row>
    <row r="254" spans="1:79" x14ac:dyDescent="0.35">
      <c r="A254" s="97"/>
      <c r="B254" s="97"/>
      <c r="C254" s="97"/>
      <c r="D254" s="97"/>
      <c r="E254" s="97"/>
      <c r="F254" s="97"/>
      <c r="G254" s="97"/>
      <c r="H254" s="97"/>
      <c r="I254" s="117"/>
      <c r="J254" s="97"/>
      <c r="K254" s="117"/>
      <c r="L254" s="97"/>
      <c r="M254" s="128"/>
      <c r="N254" s="126"/>
      <c r="O254" s="97"/>
      <c r="P254" s="97"/>
      <c r="Q254" s="97"/>
      <c r="R254" s="97"/>
      <c r="Y254" s="7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68"/>
      <c r="AN254" s="68"/>
      <c r="AO254" s="68"/>
    </row>
    <row r="255" spans="1:79" x14ac:dyDescent="0.35">
      <c r="A255" s="97"/>
      <c r="B255" s="97"/>
      <c r="C255" s="97"/>
      <c r="D255" s="97"/>
      <c r="E255" s="97"/>
      <c r="F255" s="97"/>
      <c r="G255" s="97"/>
      <c r="H255" s="97"/>
      <c r="I255" s="123"/>
      <c r="J255" s="97"/>
      <c r="K255" s="117"/>
      <c r="L255" s="97"/>
      <c r="M255" s="128"/>
      <c r="N255" s="126"/>
      <c r="O255" s="97"/>
      <c r="P255" s="97"/>
      <c r="Q255" s="97"/>
      <c r="R255" s="97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</row>
    <row r="256" spans="1:79" x14ac:dyDescent="0.35">
      <c r="A256" s="97"/>
      <c r="B256" s="97"/>
      <c r="C256" s="97"/>
      <c r="D256" s="97"/>
      <c r="E256" s="97"/>
      <c r="F256" s="97"/>
      <c r="G256" s="97"/>
      <c r="H256" s="97"/>
      <c r="I256" s="122" t="s">
        <v>29</v>
      </c>
      <c r="J256" s="122">
        <v>0.25</v>
      </c>
      <c r="K256" s="120" t="s">
        <v>30</v>
      </c>
      <c r="L256" s="122">
        <v>0.5</v>
      </c>
      <c r="M256" s="128">
        <f>1-EXP(-N256*$E$2)</f>
        <v>0.11074972394855054</v>
      </c>
      <c r="N256" s="126">
        <f>Y269</f>
        <v>3.5212967316555885</v>
      </c>
      <c r="O256" s="97"/>
      <c r="P256" s="97"/>
      <c r="Q256" s="97"/>
      <c r="R256" s="97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</row>
    <row r="257" spans="1:41" x14ac:dyDescent="0.35">
      <c r="A257" s="97"/>
      <c r="B257" s="97"/>
      <c r="C257" s="97"/>
      <c r="D257" s="97"/>
      <c r="E257" s="97"/>
      <c r="F257" s="97"/>
      <c r="G257" s="97"/>
      <c r="H257" s="97"/>
      <c r="I257" s="97">
        <f>M253*L253+M256*L256+M259*L259</f>
        <v>0.11677204678369346</v>
      </c>
      <c r="J257" s="97"/>
      <c r="K257" s="117"/>
      <c r="L257" s="97"/>
      <c r="M257" s="128"/>
      <c r="N257" s="126"/>
      <c r="O257" s="97"/>
      <c r="P257" s="97"/>
      <c r="Q257" s="97"/>
      <c r="R257" s="97"/>
      <c r="T257" s="13"/>
      <c r="Z257" s="77"/>
      <c r="AA257" s="77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</row>
    <row r="258" spans="1:41" x14ac:dyDescent="0.35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123"/>
      <c r="L258" s="97"/>
      <c r="M258" s="128"/>
      <c r="N258" s="126"/>
      <c r="O258" s="97"/>
      <c r="P258" s="97"/>
      <c r="Q258" s="97"/>
      <c r="R258" s="97"/>
      <c r="S258" s="13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68"/>
      <c r="AN258" s="68"/>
      <c r="AO258" s="68"/>
    </row>
    <row r="259" spans="1:41" x14ac:dyDescent="0.35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122" t="s">
        <v>29</v>
      </c>
      <c r="L259" s="122">
        <v>0.25</v>
      </c>
      <c r="M259" s="128">
        <f>1-EXP(-N259*$E$2)</f>
        <v>3.973718407103799E-2</v>
      </c>
      <c r="N259" s="126">
        <f>X269</f>
        <v>1.2164479618446589</v>
      </c>
      <c r="O259" s="97"/>
      <c r="P259" s="97"/>
      <c r="Q259" s="97"/>
      <c r="R259" s="97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68"/>
      <c r="AN259" s="68"/>
      <c r="AO259" s="68"/>
    </row>
    <row r="260" spans="1:41" x14ac:dyDescent="0.35">
      <c r="R260" s="97"/>
      <c r="Z260" s="75"/>
      <c r="AA260" s="75"/>
      <c r="AB260" s="75"/>
      <c r="AC260" s="75"/>
      <c r="AD260" s="75"/>
      <c r="AE260" s="75"/>
      <c r="AF260" s="75"/>
      <c r="AG260" s="75"/>
      <c r="AH260" s="75"/>
      <c r="AI260" s="75"/>
      <c r="AJ260" s="75"/>
      <c r="AK260" s="75"/>
      <c r="AL260" s="75"/>
      <c r="AM260" s="68"/>
      <c r="AN260" s="68"/>
      <c r="AO260" s="68"/>
    </row>
    <row r="261" spans="1:41" x14ac:dyDescent="0.35">
      <c r="R261" s="97"/>
      <c r="T261" s="33"/>
      <c r="Z261" s="75"/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5"/>
      <c r="AL261" s="75"/>
      <c r="AM261" s="68"/>
      <c r="AN261" s="68"/>
      <c r="AO261" s="68"/>
    </row>
    <row r="262" spans="1:41" x14ac:dyDescent="0.35"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97"/>
      <c r="T262" s="33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68"/>
      <c r="AN262" s="68"/>
      <c r="AO262" s="68"/>
    </row>
    <row r="263" spans="1:41" x14ac:dyDescent="0.35"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97"/>
      <c r="T263" s="33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68"/>
      <c r="AN263" s="68"/>
      <c r="AO263" s="68"/>
    </row>
    <row r="264" spans="1:41" x14ac:dyDescent="0.35"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97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68"/>
      <c r="AN264" s="68"/>
      <c r="AO264" s="68"/>
    </row>
    <row r="265" spans="1:41" x14ac:dyDescent="0.35">
      <c r="R265" s="97"/>
      <c r="U265" s="68"/>
      <c r="V265" s="68"/>
      <c r="W265" s="68"/>
      <c r="X265" s="68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68"/>
      <c r="AN265" s="68"/>
      <c r="AO265" s="68"/>
    </row>
    <row r="266" spans="1:41" x14ac:dyDescent="0.35"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97"/>
      <c r="U266" s="68"/>
      <c r="V266" s="68"/>
      <c r="W266" s="68"/>
      <c r="X266" s="140" t="str">
        <f>T309</f>
        <v>DA Corp. markets</v>
      </c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68"/>
      <c r="AN266" s="68"/>
      <c r="AO266" s="68"/>
    </row>
    <row r="267" spans="1:41" ht="15.4" x14ac:dyDescent="0.45">
      <c r="R267" s="97"/>
      <c r="U267" s="68"/>
      <c r="V267" s="68"/>
      <c r="W267" s="68"/>
      <c r="X267" s="55" t="s">
        <v>29</v>
      </c>
      <c r="Y267" s="55" t="s">
        <v>30</v>
      </c>
      <c r="Z267" s="55" t="s">
        <v>31</v>
      </c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68"/>
      <c r="AN267" s="68"/>
      <c r="AO267" s="68"/>
    </row>
    <row r="268" spans="1:41" x14ac:dyDescent="0.35">
      <c r="R268" s="97"/>
      <c r="U268" s="78"/>
      <c r="V268" s="68"/>
      <c r="W268" s="141">
        <f>Z351</f>
        <v>5.6267541254211872</v>
      </c>
      <c r="X268" s="150">
        <v>0.95</v>
      </c>
      <c r="Y268" s="150">
        <v>2.75</v>
      </c>
      <c r="Z268" s="150">
        <v>5.4</v>
      </c>
      <c r="AA268" s="75"/>
      <c r="AB268" s="75"/>
      <c r="AC268" s="75"/>
      <c r="AD268" s="75"/>
      <c r="AE268" s="75"/>
      <c r="AF268" s="75"/>
      <c r="AG268" s="75"/>
      <c r="AH268" s="75"/>
      <c r="AI268" s="75"/>
      <c r="AJ268" s="75"/>
      <c r="AK268" s="75"/>
      <c r="AL268" s="75"/>
      <c r="AM268" s="68"/>
      <c r="AN268" s="68"/>
      <c r="AO268" s="68"/>
    </row>
    <row r="269" spans="1:41" ht="15.4" x14ac:dyDescent="0.45"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97"/>
      <c r="U269" s="146" t="str">
        <f>T311</f>
        <v>Demand Growth Rate</v>
      </c>
      <c r="V269" s="55" t="s">
        <v>29</v>
      </c>
      <c r="W269" s="81">
        <v>-0.05</v>
      </c>
      <c r="X269" s="68">
        <f t="dataTable" ref="X269:Z271" dt2D="1" dtr="1" r1="AC309" r2="AC311"/>
        <v>1.2164479618446589</v>
      </c>
      <c r="Y269">
        <v>3.5212967316555885</v>
      </c>
      <c r="Z269">
        <v>6.9145463094327972</v>
      </c>
      <c r="AA269" s="79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68"/>
      <c r="AN269" s="68"/>
      <c r="AO269" s="68"/>
    </row>
    <row r="270" spans="1:41" ht="15.4" x14ac:dyDescent="0.45"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97"/>
      <c r="U270" s="75"/>
      <c r="V270" s="55" t="s">
        <v>30</v>
      </c>
      <c r="W270" s="82">
        <v>7.0000000000000007E-2</v>
      </c>
      <c r="X270" s="68">
        <v>1.9437877887818653</v>
      </c>
      <c r="Y270">
        <v>5.6267541254211872</v>
      </c>
      <c r="Z270">
        <v>11.048899009917973</v>
      </c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</row>
    <row r="271" spans="1:41" ht="15.4" x14ac:dyDescent="0.45"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97"/>
      <c r="S271" s="13"/>
      <c r="U271" s="75"/>
      <c r="V271" s="55" t="s">
        <v>31</v>
      </c>
      <c r="W271" s="83">
        <v>0.09</v>
      </c>
      <c r="X271" s="68">
        <v>2.112702015347919</v>
      </c>
      <c r="Y271">
        <v>6.1157163602176636</v>
      </c>
      <c r="Z271">
        <v>12.009043034609228</v>
      </c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</row>
    <row r="272" spans="1:41" x14ac:dyDescent="0.35"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97"/>
      <c r="S272" s="2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</row>
    <row r="273" spans="1:41" x14ac:dyDescent="0.35">
      <c r="R273" s="97"/>
      <c r="T273" s="13"/>
      <c r="Z273" s="77"/>
      <c r="AA273" s="77"/>
      <c r="AB273" s="77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</row>
    <row r="274" spans="1:41" x14ac:dyDescent="0.35"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97"/>
      <c r="S274" s="13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68"/>
      <c r="AN274" s="68"/>
      <c r="AO274" s="68"/>
    </row>
    <row r="275" spans="1:41" x14ac:dyDescent="0.35"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97"/>
      <c r="S275" s="13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</row>
    <row r="276" spans="1:41" x14ac:dyDescent="0.35">
      <c r="R276" s="97"/>
      <c r="Y276" s="34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68"/>
      <c r="AN276" s="68"/>
      <c r="AO276" s="68"/>
    </row>
    <row r="277" spans="1:41" x14ac:dyDescent="0.35">
      <c r="G277" s="7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97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</row>
    <row r="278" spans="1:41" x14ac:dyDescent="0.35">
      <c r="R278" s="97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</row>
    <row r="279" spans="1:41" ht="19.149999999999999" x14ac:dyDescent="0.65">
      <c r="R279" s="97"/>
      <c r="S279" s="38" t="s">
        <v>0</v>
      </c>
      <c r="AL279" s="75"/>
      <c r="AM279" s="68"/>
      <c r="AN279" s="68"/>
      <c r="AO279" s="68"/>
    </row>
    <row r="280" spans="1:41" ht="13.15" thickBot="1" x14ac:dyDescent="0.4">
      <c r="B280" s="13"/>
      <c r="H280" s="33"/>
      <c r="I280" s="33"/>
      <c r="R280" s="97"/>
      <c r="AL280" s="75"/>
      <c r="AM280" s="68"/>
      <c r="AN280" s="68"/>
      <c r="AO280" s="68"/>
    </row>
    <row r="281" spans="1:41" ht="15.4" x14ac:dyDescent="0.45">
      <c r="A281" s="13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97"/>
      <c r="S281" s="53" t="s">
        <v>1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75"/>
      <c r="AM281" s="68"/>
      <c r="AN281" s="68"/>
      <c r="AO281" s="68"/>
    </row>
    <row r="282" spans="1:41" x14ac:dyDescent="0.35"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97"/>
      <c r="S282" s="2"/>
      <c r="AL282" s="68"/>
      <c r="AM282" s="68"/>
      <c r="AN282" s="68"/>
      <c r="AO282" s="68"/>
    </row>
    <row r="283" spans="1:41" x14ac:dyDescent="0.35"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97"/>
      <c r="S283" s="3"/>
      <c r="W283" s="4" t="s">
        <v>2</v>
      </c>
      <c r="X283" s="5"/>
      <c r="Y283" s="5"/>
      <c r="Z283" s="5"/>
      <c r="AA283" s="5"/>
      <c r="AB283" s="5"/>
      <c r="AC283" s="6">
        <v>4</v>
      </c>
      <c r="AD283" s="7" t="s">
        <v>3</v>
      </c>
      <c r="AL283" s="75"/>
      <c r="AM283" s="68"/>
      <c r="AN283" s="68"/>
      <c r="AO283" s="68"/>
    </row>
    <row r="284" spans="1:41" x14ac:dyDescent="0.35">
      <c r="B284" s="33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97"/>
      <c r="W284" s="8" t="s">
        <v>4</v>
      </c>
      <c r="X284" s="9"/>
      <c r="Y284" s="9"/>
      <c r="Z284" s="9"/>
      <c r="AA284" s="9"/>
      <c r="AB284" s="9"/>
      <c r="AC284" s="10" t="str">
        <f>INDEX(X287:X290,AC283)</f>
        <v>Royalty</v>
      </c>
      <c r="AD284" s="7" t="s">
        <v>5</v>
      </c>
      <c r="AL284" s="68"/>
      <c r="AM284" s="68"/>
      <c r="AN284" s="68"/>
      <c r="AO284" s="68"/>
    </row>
    <row r="285" spans="1:41" x14ac:dyDescent="0.35">
      <c r="B285" s="33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97"/>
      <c r="AL285" s="68"/>
      <c r="AM285" s="68"/>
      <c r="AN285" s="68"/>
      <c r="AO285" s="68"/>
    </row>
    <row r="286" spans="1:41" x14ac:dyDescent="0.35">
      <c r="B286" s="3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97"/>
      <c r="W286" t="s">
        <v>6</v>
      </c>
      <c r="AL286" s="75"/>
      <c r="AM286" s="68"/>
      <c r="AN286" s="68"/>
      <c r="AO286" s="68"/>
    </row>
    <row r="287" spans="1:41" x14ac:dyDescent="0.35"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97"/>
      <c r="W287">
        <v>1</v>
      </c>
      <c r="X287" s="37" t="s">
        <v>7</v>
      </c>
      <c r="AL287" s="75"/>
      <c r="AM287" s="68"/>
      <c r="AN287" s="68"/>
      <c r="AO287" s="68"/>
    </row>
    <row r="288" spans="1:41" x14ac:dyDescent="0.35"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97"/>
      <c r="W288">
        <v>2</v>
      </c>
      <c r="X288" s="37" t="s">
        <v>8</v>
      </c>
      <c r="AE288" s="11"/>
      <c r="AL288" s="75"/>
      <c r="AM288" s="68"/>
      <c r="AN288" s="68"/>
      <c r="AO288" s="68"/>
    </row>
    <row r="289" spans="1:41" x14ac:dyDescent="0.35"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97"/>
      <c r="W289">
        <v>3</v>
      </c>
      <c r="X289" s="37" t="s">
        <v>9</v>
      </c>
      <c r="AE289" s="11"/>
      <c r="AL289" s="75"/>
      <c r="AM289" s="68"/>
      <c r="AN289" s="68"/>
      <c r="AO289" s="68"/>
    </row>
    <row r="290" spans="1:41" x14ac:dyDescent="0.35">
      <c r="G290" s="12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97"/>
      <c r="W290">
        <v>4</v>
      </c>
      <c r="X290" s="37" t="s">
        <v>10</v>
      </c>
      <c r="AL290" s="68"/>
      <c r="AM290" s="68"/>
      <c r="AN290" s="68"/>
      <c r="AO290" s="68"/>
    </row>
    <row r="291" spans="1:41" ht="13.15" thickBot="1" x14ac:dyDescent="0.4"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97"/>
      <c r="AL291" s="75"/>
      <c r="AM291" s="68"/>
      <c r="AN291" s="68"/>
      <c r="AO291" s="68"/>
    </row>
    <row r="292" spans="1:41" ht="15.4" x14ac:dyDescent="0.45">
      <c r="H292" s="31"/>
      <c r="I292" s="35"/>
      <c r="J292" s="31"/>
      <c r="K292" s="31"/>
      <c r="L292" s="31"/>
      <c r="M292" s="31"/>
      <c r="N292" s="31"/>
      <c r="O292" s="31"/>
      <c r="P292" s="31"/>
      <c r="Q292" s="31"/>
      <c r="R292" s="97"/>
      <c r="S292" s="53" t="s">
        <v>11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75"/>
      <c r="AM292" s="68"/>
      <c r="AN292" s="68"/>
      <c r="AO292" s="68"/>
    </row>
    <row r="293" spans="1:41" x14ac:dyDescent="0.35">
      <c r="R293" s="97"/>
      <c r="AL293" s="68"/>
      <c r="AM293" s="68"/>
      <c r="AN293" s="68"/>
      <c r="AO293" s="68"/>
    </row>
    <row r="294" spans="1:41" ht="15.4" x14ac:dyDescent="0.45">
      <c r="R294" s="97"/>
      <c r="S294" s="49"/>
      <c r="T294" s="49" t="s">
        <v>12</v>
      </c>
      <c r="U294" s="49"/>
      <c r="V294" s="49"/>
      <c r="W294" s="49"/>
      <c r="X294" s="49"/>
      <c r="Y294" s="49"/>
      <c r="Z294" s="55" t="s">
        <v>13</v>
      </c>
      <c r="AA294" s="55" t="s">
        <v>14</v>
      </c>
      <c r="AB294" s="56" t="s">
        <v>15</v>
      </c>
      <c r="AC294" s="55"/>
      <c r="AD294" s="55"/>
      <c r="AE294" s="55"/>
      <c r="AF294" s="55"/>
      <c r="AG294" s="55"/>
      <c r="AH294" s="55"/>
      <c r="AI294" s="55"/>
      <c r="AJ294" s="55"/>
      <c r="AK294" s="55"/>
      <c r="AL294" s="75"/>
      <c r="AM294" s="68"/>
      <c r="AN294" s="68"/>
      <c r="AO294" s="68"/>
    </row>
    <row r="295" spans="1:41" x14ac:dyDescent="0.35">
      <c r="A295" s="13"/>
      <c r="R295" s="97"/>
      <c r="S295" s="2"/>
      <c r="T295" s="4"/>
      <c r="U295" s="5"/>
      <c r="V295" s="5"/>
      <c r="W295" s="5"/>
      <c r="X295" s="5"/>
      <c r="Y295" s="5"/>
      <c r="Z295" s="5"/>
      <c r="AA295" s="5"/>
      <c r="AB295" s="15"/>
      <c r="AC295" s="23"/>
      <c r="AD295" s="3"/>
      <c r="AE295" s="3"/>
      <c r="AF295" s="3"/>
      <c r="AG295" s="3"/>
      <c r="AH295" s="3"/>
      <c r="AI295" s="3"/>
      <c r="AJ295" s="3"/>
      <c r="AK295" s="3"/>
      <c r="AL295" s="68"/>
      <c r="AM295" s="68"/>
      <c r="AN295" s="68"/>
      <c r="AO295" s="68"/>
    </row>
    <row r="296" spans="1:41" x14ac:dyDescent="0.35">
      <c r="A296" s="2"/>
      <c r="R296" s="97"/>
      <c r="S296" s="24" t="s">
        <v>16</v>
      </c>
      <c r="T296" s="16" t="s">
        <v>17</v>
      </c>
      <c r="U296" s="3"/>
      <c r="V296" s="3"/>
      <c r="W296" s="3"/>
      <c r="X296" s="3"/>
      <c r="Y296" s="3"/>
      <c r="Z296" s="17" t="s">
        <v>18</v>
      </c>
      <c r="AA296" s="27">
        <f>$H$1</f>
        <v>0.08</v>
      </c>
      <c r="AB296" s="25" t="s">
        <v>19</v>
      </c>
      <c r="AE296" s="26"/>
      <c r="AF296" s="26"/>
      <c r="AG296" s="26"/>
      <c r="AH296" s="26"/>
      <c r="AI296" s="26"/>
      <c r="AJ296" s="26"/>
      <c r="AK296" s="3"/>
      <c r="AL296" s="68"/>
      <c r="AM296" s="68"/>
      <c r="AN296" s="68"/>
      <c r="AO296" s="68"/>
    </row>
    <row r="297" spans="1:41" x14ac:dyDescent="0.35">
      <c r="B297" s="13"/>
      <c r="H297" s="33"/>
      <c r="I297" s="33"/>
      <c r="J297" s="33"/>
      <c r="R297" s="97"/>
      <c r="S297" s="24" t="s">
        <v>16</v>
      </c>
      <c r="T297" s="16" t="s">
        <v>20</v>
      </c>
      <c r="U297" s="3"/>
      <c r="V297" s="3"/>
      <c r="W297" s="3"/>
      <c r="X297" s="3"/>
      <c r="Y297" s="3"/>
      <c r="Z297" s="17" t="s">
        <v>18</v>
      </c>
      <c r="AA297" s="91">
        <f>$H$2</f>
        <v>0.38</v>
      </c>
      <c r="AB297" s="25" t="s">
        <v>21</v>
      </c>
      <c r="AE297" s="26"/>
      <c r="AF297" s="26"/>
      <c r="AG297" s="26"/>
      <c r="AH297" s="26"/>
      <c r="AI297" s="26"/>
      <c r="AJ297" s="26"/>
      <c r="AK297" s="3"/>
      <c r="AL297" s="68"/>
      <c r="AM297" s="68"/>
      <c r="AN297" s="68"/>
      <c r="AO297" s="68"/>
    </row>
    <row r="298" spans="1:41" x14ac:dyDescent="0.35">
      <c r="A298" s="13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97"/>
      <c r="S298" s="24"/>
      <c r="T298" s="16" t="s">
        <v>22</v>
      </c>
      <c r="U298" s="3"/>
      <c r="V298" s="3"/>
      <c r="W298" s="3"/>
      <c r="X298" s="3"/>
      <c r="Y298" s="3"/>
      <c r="Z298" s="17" t="s">
        <v>18</v>
      </c>
      <c r="AA298" s="91">
        <v>0.6</v>
      </c>
      <c r="AB298" s="25" t="s">
        <v>23</v>
      </c>
      <c r="AE298" s="26"/>
      <c r="AF298" s="26"/>
      <c r="AG298" s="26"/>
      <c r="AH298" s="26"/>
      <c r="AI298" s="26"/>
      <c r="AJ298" s="26"/>
      <c r="AK298" s="3"/>
      <c r="AL298" s="78"/>
      <c r="AM298" s="68"/>
      <c r="AN298" s="68"/>
      <c r="AO298" s="68"/>
    </row>
    <row r="299" spans="1:41" x14ac:dyDescent="0.35">
      <c r="A299" s="13"/>
      <c r="R299" s="97"/>
      <c r="S299" s="24"/>
      <c r="T299" s="16" t="s">
        <v>24</v>
      </c>
      <c r="U299" s="3"/>
      <c r="V299" s="3"/>
      <c r="W299" s="3"/>
      <c r="X299" s="3"/>
      <c r="Y299" s="3"/>
      <c r="Z299" s="17" t="s">
        <v>18</v>
      </c>
      <c r="AA299" s="28">
        <f>$H$3</f>
        <v>0.98</v>
      </c>
      <c r="AB299" s="25" t="s">
        <v>25</v>
      </c>
      <c r="AE299" s="40"/>
      <c r="AF299" s="40"/>
      <c r="AG299" s="40"/>
      <c r="AH299" s="40"/>
      <c r="AI299" s="40"/>
      <c r="AJ299" s="40"/>
      <c r="AK299" s="3"/>
      <c r="AL299" s="75"/>
      <c r="AM299" s="68"/>
      <c r="AN299" s="68"/>
      <c r="AO299" s="68"/>
    </row>
    <row r="300" spans="1:41" x14ac:dyDescent="0.35">
      <c r="G300" s="34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97"/>
      <c r="S300" s="24"/>
      <c r="T300" s="16"/>
      <c r="U300" s="3"/>
      <c r="V300" s="3"/>
      <c r="W300" s="3"/>
      <c r="X300" s="3"/>
      <c r="Y300" s="3"/>
      <c r="Z300" s="17"/>
      <c r="AA300" s="40"/>
      <c r="AB300" s="25"/>
      <c r="AE300" s="40"/>
      <c r="AF300" s="40"/>
      <c r="AG300" s="40"/>
      <c r="AH300" s="40"/>
      <c r="AI300" s="40"/>
      <c r="AJ300" s="40"/>
      <c r="AK300" s="3"/>
      <c r="AL300" s="75"/>
      <c r="AM300" s="68"/>
      <c r="AN300" s="68"/>
      <c r="AO300" s="68"/>
    </row>
    <row r="301" spans="1:41" x14ac:dyDescent="0.35">
      <c r="R301" s="97"/>
      <c r="S301" s="24"/>
      <c r="T301" s="16"/>
      <c r="U301" s="3"/>
      <c r="V301" s="3"/>
      <c r="W301" s="3"/>
      <c r="X301" s="3"/>
      <c r="Y301" s="3"/>
      <c r="Z301" s="17"/>
      <c r="AA301" s="39"/>
      <c r="AB301" s="25"/>
      <c r="AE301" s="39"/>
      <c r="AF301" s="39"/>
      <c r="AG301" s="39"/>
      <c r="AH301" s="39"/>
      <c r="AI301" s="39"/>
      <c r="AJ301" s="39"/>
      <c r="AK301" s="3"/>
      <c r="AL301" s="75"/>
      <c r="AM301" s="68"/>
      <c r="AN301" s="68"/>
      <c r="AO301" s="68"/>
    </row>
    <row r="302" spans="1:41" x14ac:dyDescent="0.35">
      <c r="R302" s="97"/>
      <c r="S302" s="24"/>
      <c r="T302" s="16"/>
      <c r="U302" s="3"/>
      <c r="V302" s="3"/>
      <c r="W302" s="3"/>
      <c r="X302" s="3"/>
      <c r="Y302" s="3"/>
      <c r="Z302" s="17"/>
      <c r="AA302" s="39"/>
      <c r="AB302" s="25"/>
      <c r="AE302" s="39"/>
      <c r="AF302" s="39"/>
      <c r="AG302" s="39"/>
      <c r="AH302" s="39"/>
      <c r="AI302" s="39"/>
      <c r="AJ302" s="39"/>
      <c r="AK302" s="3"/>
      <c r="AL302" s="75"/>
      <c r="AM302" s="68"/>
      <c r="AN302" s="68"/>
      <c r="AO302" s="68"/>
    </row>
    <row r="303" spans="1:41" x14ac:dyDescent="0.35"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97"/>
      <c r="S303" s="24" t="s">
        <v>16</v>
      </c>
      <c r="T303" s="18"/>
      <c r="U303" s="19"/>
      <c r="V303" s="19"/>
      <c r="W303" s="19"/>
      <c r="X303" s="19"/>
      <c r="Y303" s="19"/>
      <c r="Z303" s="19"/>
      <c r="AA303" s="19"/>
      <c r="AB303" s="59"/>
      <c r="AC303" s="23"/>
      <c r="AD303" s="3"/>
      <c r="AE303" s="3"/>
      <c r="AF303" s="3"/>
      <c r="AG303" s="3"/>
      <c r="AH303" s="3"/>
      <c r="AI303" s="3"/>
      <c r="AJ303" s="3"/>
      <c r="AK303" s="3"/>
      <c r="AL303" s="75"/>
      <c r="AM303" s="68"/>
      <c r="AN303" s="68"/>
      <c r="AO303" s="68"/>
    </row>
    <row r="304" spans="1:41" ht="13.15" thickBot="1" x14ac:dyDescent="0.4"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97"/>
      <c r="S304" s="24"/>
      <c r="T304" s="3"/>
      <c r="U304" s="3"/>
      <c r="V304" s="3"/>
      <c r="W304" s="3"/>
      <c r="X304" s="3"/>
      <c r="Y304" s="3"/>
      <c r="Z304" s="3"/>
      <c r="AA304" s="3"/>
      <c r="AC304" s="23"/>
      <c r="AD304" s="3"/>
      <c r="AE304" s="3"/>
      <c r="AF304" s="3"/>
      <c r="AG304" s="3"/>
      <c r="AH304" s="3"/>
      <c r="AI304" s="3"/>
      <c r="AJ304" s="3"/>
      <c r="AK304" s="3"/>
      <c r="AL304" s="75"/>
      <c r="AM304" s="68"/>
      <c r="AN304" s="68"/>
      <c r="AO304" s="68"/>
    </row>
    <row r="305" spans="7:41" ht="15.4" x14ac:dyDescent="0.45"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97"/>
      <c r="S305" s="53" t="s">
        <v>26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75"/>
      <c r="AM305" s="68"/>
      <c r="AN305" s="68"/>
      <c r="AO305" s="68"/>
    </row>
    <row r="306" spans="7:41" ht="15.4" x14ac:dyDescent="0.45">
      <c r="R306" s="97"/>
      <c r="S306" s="54"/>
      <c r="AL306" s="75"/>
      <c r="AM306" s="68"/>
      <c r="AN306" s="68"/>
      <c r="AO306" s="68"/>
    </row>
    <row r="307" spans="7:41" ht="15.4" x14ac:dyDescent="0.45"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97"/>
      <c r="S307" s="49"/>
      <c r="T307" s="49" t="s">
        <v>12</v>
      </c>
      <c r="U307" s="49"/>
      <c r="V307" s="49"/>
      <c r="W307" s="49"/>
      <c r="X307" s="49"/>
      <c r="Y307" s="49"/>
      <c r="Z307" s="55" t="s">
        <v>13</v>
      </c>
      <c r="AA307" s="55" t="s">
        <v>27</v>
      </c>
      <c r="AB307" s="56"/>
      <c r="AC307" s="55" t="s">
        <v>28</v>
      </c>
      <c r="AD307" s="55" t="s">
        <v>15</v>
      </c>
      <c r="AE307" s="55" t="s">
        <v>29</v>
      </c>
      <c r="AF307" s="55" t="s">
        <v>30</v>
      </c>
      <c r="AG307" s="55" t="s">
        <v>31</v>
      </c>
      <c r="AH307" s="9"/>
      <c r="AJ307" s="55"/>
      <c r="AL307" s="75"/>
      <c r="AM307" s="68"/>
      <c r="AN307" s="68"/>
      <c r="AO307" s="68"/>
    </row>
    <row r="308" spans="7:41" x14ac:dyDescent="0.35">
      <c r="R308" s="97"/>
      <c r="S308" s="24" t="s">
        <v>16</v>
      </c>
      <c r="T308" s="60" t="s">
        <v>32</v>
      </c>
      <c r="U308" s="5"/>
      <c r="V308" s="5"/>
      <c r="W308" s="5"/>
      <c r="X308" s="5"/>
      <c r="Y308" s="5"/>
      <c r="Z308" s="5"/>
      <c r="AA308" s="5"/>
      <c r="AB308" s="14"/>
      <c r="AC308" s="21"/>
      <c r="AD308" s="5"/>
      <c r="AE308" s="5"/>
      <c r="AF308" s="5"/>
      <c r="AG308" s="5"/>
      <c r="AH308" s="58"/>
      <c r="AJ308" s="3"/>
      <c r="AL308" s="75"/>
      <c r="AM308" s="68"/>
      <c r="AN308" s="68"/>
      <c r="AO308" s="68"/>
    </row>
    <row r="309" spans="7:41" x14ac:dyDescent="0.35">
      <c r="R309" s="97"/>
      <c r="S309" s="46" t="s">
        <v>16</v>
      </c>
      <c r="T309" s="140" t="s">
        <v>33</v>
      </c>
      <c r="U309" s="95"/>
      <c r="V309" s="95"/>
      <c r="W309" s="3"/>
      <c r="X309" s="3"/>
      <c r="Y309" s="3"/>
      <c r="Z309" s="17" t="s">
        <v>34</v>
      </c>
      <c r="AA309" s="44">
        <v>2</v>
      </c>
      <c r="AB309" s="7"/>
      <c r="AC309" s="41">
        <f>INDEX(AE309:AG309,AA309)</f>
        <v>2.75</v>
      </c>
      <c r="AD309" s="7" t="s">
        <v>35</v>
      </c>
      <c r="AE309" s="150">
        <v>0.95</v>
      </c>
      <c r="AF309" s="150">
        <v>2.75</v>
      </c>
      <c r="AG309" s="150">
        <v>5.4</v>
      </c>
      <c r="AH309" s="58"/>
      <c r="AJ309" s="42"/>
      <c r="AL309" s="75"/>
      <c r="AM309" s="68"/>
      <c r="AN309" s="68"/>
      <c r="AO309" s="68"/>
    </row>
    <row r="310" spans="7:41" x14ac:dyDescent="0.35"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97"/>
      <c r="S310" s="46" t="s">
        <v>16</v>
      </c>
      <c r="T310" s="43" t="s">
        <v>36</v>
      </c>
      <c r="U310" s="95"/>
      <c r="V310" s="95"/>
      <c r="W310" s="3"/>
      <c r="X310" s="3"/>
      <c r="Y310" s="3"/>
      <c r="Z310" s="17" t="s">
        <v>34</v>
      </c>
      <c r="AA310" s="44">
        <v>2</v>
      </c>
      <c r="AB310" s="7"/>
      <c r="AC310" s="41">
        <f>INDEX(AE310:AG310,AA310)</f>
        <v>1.6</v>
      </c>
      <c r="AD310" s="7" t="s">
        <v>37</v>
      </c>
      <c r="AE310" s="62">
        <v>1.3</v>
      </c>
      <c r="AF310" s="63">
        <v>1.6</v>
      </c>
      <c r="AG310" s="64">
        <v>1.8</v>
      </c>
      <c r="AH310" s="58"/>
      <c r="AJ310" s="3"/>
      <c r="AL310" s="68"/>
      <c r="AM310" s="68"/>
      <c r="AN310" s="68"/>
      <c r="AO310" s="68"/>
    </row>
    <row r="311" spans="7:41" x14ac:dyDescent="0.35"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97"/>
      <c r="S311" s="24" t="s">
        <v>16</v>
      </c>
      <c r="T311" s="140" t="s">
        <v>38</v>
      </c>
      <c r="U311" s="3"/>
      <c r="W311" s="3"/>
      <c r="X311" s="3"/>
      <c r="Y311" s="3"/>
      <c r="Z311" s="17" t="s">
        <v>39</v>
      </c>
      <c r="AA311" s="44">
        <v>2</v>
      </c>
      <c r="AB311" s="7"/>
      <c r="AC311" s="84">
        <f>INDEX(AE311:AG311,AA311)</f>
        <v>7.0000000000000007E-2</v>
      </c>
      <c r="AD311" s="7" t="s">
        <v>40</v>
      </c>
      <c r="AE311" s="81">
        <v>-0.05</v>
      </c>
      <c r="AF311" s="82">
        <v>7.0000000000000007E-2</v>
      </c>
      <c r="AG311" s="83">
        <v>0.09</v>
      </c>
      <c r="AH311" s="58"/>
      <c r="AJ311" s="47"/>
      <c r="AL311" s="68"/>
      <c r="AM311" s="68"/>
      <c r="AN311" s="68"/>
      <c r="AO311" s="68"/>
    </row>
    <row r="312" spans="7:41" x14ac:dyDescent="0.35"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97"/>
      <c r="S312" s="24" t="s">
        <v>16</v>
      </c>
      <c r="T312" s="13" t="s">
        <v>41</v>
      </c>
      <c r="V312" s="3"/>
      <c r="W312" s="3"/>
      <c r="X312" s="3"/>
      <c r="Y312" s="3"/>
      <c r="Z312" s="3"/>
      <c r="AA312" s="132"/>
      <c r="AC312" s="40"/>
      <c r="AD312" s="3"/>
      <c r="AE312" s="26"/>
      <c r="AF312" s="26"/>
      <c r="AG312" s="26"/>
      <c r="AH312" s="58"/>
      <c r="AJ312" s="3"/>
      <c r="AL312" s="68"/>
      <c r="AM312" s="68"/>
      <c r="AN312" s="68"/>
      <c r="AO312" s="68"/>
    </row>
    <row r="313" spans="7:41" x14ac:dyDescent="0.35"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97"/>
      <c r="S313" s="24" t="s">
        <v>16</v>
      </c>
      <c r="T313" s="16" t="s">
        <v>42</v>
      </c>
      <c r="U313" s="3"/>
      <c r="V313" s="3"/>
      <c r="W313" s="3"/>
      <c r="X313" s="3"/>
      <c r="Y313" s="3"/>
      <c r="Z313" s="17" t="s">
        <v>43</v>
      </c>
      <c r="AA313" s="44">
        <v>2</v>
      </c>
      <c r="AC313" s="84">
        <f>INDEX(AE313:AG313,AA313)</f>
        <v>10.75</v>
      </c>
      <c r="AD313" s="7" t="s">
        <v>44</v>
      </c>
      <c r="AE313" s="85">
        <v>9.75</v>
      </c>
      <c r="AF313" s="86">
        <v>10.75</v>
      </c>
      <c r="AG313" s="87">
        <v>11.5</v>
      </c>
      <c r="AH313" s="58"/>
      <c r="AL313" s="68"/>
      <c r="AM313" s="68"/>
      <c r="AN313" s="68"/>
      <c r="AO313" s="68"/>
    </row>
    <row r="314" spans="7:41" x14ac:dyDescent="0.35">
      <c r="R314" s="97"/>
      <c r="S314" s="24" t="s">
        <v>16</v>
      </c>
      <c r="T314" s="16" t="s">
        <v>45</v>
      </c>
      <c r="V314" s="3"/>
      <c r="W314" s="3"/>
      <c r="X314" s="3"/>
      <c r="Y314" s="3"/>
      <c r="Z314" s="17" t="s">
        <v>43</v>
      </c>
      <c r="AA314" s="44">
        <v>2</v>
      </c>
      <c r="AB314" s="7"/>
      <c r="AC314" s="41">
        <f>INDEX(AE314:AG314,AA314)</f>
        <v>9.5</v>
      </c>
      <c r="AD314" s="7" t="s">
        <v>46</v>
      </c>
      <c r="AE314" s="85">
        <v>9.25</v>
      </c>
      <c r="AF314" s="86">
        <v>9.5</v>
      </c>
      <c r="AG314" s="87">
        <v>9.75</v>
      </c>
      <c r="AH314" s="58"/>
      <c r="AL314" s="78"/>
      <c r="AM314" s="68"/>
      <c r="AN314" s="68"/>
      <c r="AO314" s="68"/>
    </row>
    <row r="315" spans="7:41" x14ac:dyDescent="0.35"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97"/>
      <c r="S315" s="24"/>
      <c r="T315" s="16" t="s">
        <v>47</v>
      </c>
      <c r="V315" s="3"/>
      <c r="W315" s="3"/>
      <c r="X315" s="3"/>
      <c r="Y315" s="3"/>
      <c r="Z315" s="17" t="s">
        <v>48</v>
      </c>
      <c r="AA315" s="44">
        <v>2</v>
      </c>
      <c r="AB315" s="7"/>
      <c r="AC315" s="84">
        <f>INDEX(AE315:AG315,AA315)</f>
        <v>14.5</v>
      </c>
      <c r="AD315" s="7" t="s">
        <v>49</v>
      </c>
      <c r="AE315" s="88">
        <v>13</v>
      </c>
      <c r="AF315" s="89">
        <v>14.5</v>
      </c>
      <c r="AG315" s="90">
        <v>17</v>
      </c>
      <c r="AH315" s="58"/>
      <c r="AL315" s="68"/>
      <c r="AM315" s="68"/>
      <c r="AN315" s="68"/>
      <c r="AO315" s="68"/>
    </row>
    <row r="316" spans="7:41" x14ac:dyDescent="0.35"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97"/>
      <c r="T316" s="16"/>
      <c r="AA316" s="66"/>
      <c r="AH316" s="58"/>
      <c r="AL316" s="75"/>
      <c r="AM316" s="68"/>
      <c r="AN316" s="68"/>
      <c r="AO316" s="68"/>
    </row>
    <row r="317" spans="7:41" x14ac:dyDescent="0.35">
      <c r="R317" s="97"/>
      <c r="S317" s="24" t="s">
        <v>16</v>
      </c>
      <c r="T317" s="22"/>
      <c r="U317" s="3"/>
      <c r="V317" s="3"/>
      <c r="W317" s="3"/>
      <c r="X317" s="3"/>
      <c r="Y317" s="3"/>
      <c r="AA317" s="66"/>
      <c r="AH317" s="58"/>
      <c r="AL317" s="68"/>
      <c r="AM317" s="68"/>
      <c r="AN317" s="68"/>
      <c r="AO317" s="68"/>
    </row>
    <row r="318" spans="7:41" x14ac:dyDescent="0.35">
      <c r="G318" s="7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97"/>
      <c r="S318" s="46" t="s">
        <v>16</v>
      </c>
      <c r="T318" s="43"/>
      <c r="U318" s="95"/>
      <c r="V318" s="3"/>
      <c r="W318" s="3"/>
      <c r="X318" s="3"/>
      <c r="Y318" s="3"/>
      <c r="Z318" s="17"/>
      <c r="AA318" s="65"/>
      <c r="AB318" s="7"/>
      <c r="AC318" s="42"/>
      <c r="AD318" s="7"/>
      <c r="AE318" s="42"/>
      <c r="AF318" s="42"/>
      <c r="AG318" s="42"/>
      <c r="AH318" s="58"/>
      <c r="AL318" s="68"/>
      <c r="AM318" s="68"/>
      <c r="AN318" s="68"/>
      <c r="AO318" s="68"/>
    </row>
    <row r="319" spans="7:41" x14ac:dyDescent="0.35">
      <c r="R319" s="97"/>
      <c r="S319" s="2"/>
      <c r="T319" s="29"/>
      <c r="U319" s="19"/>
      <c r="V319" s="19"/>
      <c r="W319" s="19"/>
      <c r="X319" s="19"/>
      <c r="Y319" s="19"/>
      <c r="Z319" s="20"/>
      <c r="AA319" s="20"/>
      <c r="AB319" s="9"/>
      <c r="AC319" s="30"/>
      <c r="AD319" s="61"/>
      <c r="AE319" s="30"/>
      <c r="AF319" s="30"/>
      <c r="AG319" s="30"/>
      <c r="AH319" s="59"/>
      <c r="AJ319" s="42"/>
      <c r="AL319" s="75"/>
      <c r="AM319" s="68"/>
      <c r="AN319" s="68"/>
      <c r="AO319" s="68"/>
    </row>
    <row r="320" spans="7:41" ht="13.15" thickBot="1" x14ac:dyDescent="0.4">
      <c r="R320" s="97"/>
      <c r="AL320" s="75"/>
      <c r="AM320" s="68"/>
      <c r="AN320" s="68"/>
      <c r="AO320" s="68"/>
    </row>
    <row r="321" spans="1:41" ht="15.4" x14ac:dyDescent="0.45">
      <c r="B321" s="13"/>
      <c r="H321" s="33"/>
      <c r="I321" s="33"/>
      <c r="R321" s="97"/>
      <c r="S321" s="53" t="s">
        <v>50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75"/>
      <c r="AM321" s="68"/>
      <c r="AN321" s="68"/>
      <c r="AO321" s="68"/>
    </row>
    <row r="322" spans="1:41" ht="15.4" x14ac:dyDescent="0.45">
      <c r="A322" s="13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97"/>
      <c r="S322" s="54"/>
      <c r="AL322" s="68"/>
      <c r="AM322" s="68"/>
      <c r="AN322" s="68"/>
      <c r="AO322" s="68"/>
    </row>
    <row r="323" spans="1:41" ht="15.4" x14ac:dyDescent="0.45"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97"/>
      <c r="S323" s="54" t="str">
        <f>ggff</f>
        <v>Royalty</v>
      </c>
      <c r="AL323" s="75"/>
      <c r="AM323" s="68"/>
      <c r="AN323" s="68"/>
      <c r="AO323" s="68"/>
    </row>
    <row r="324" spans="1:41" x14ac:dyDescent="0.35"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97"/>
      <c r="S324" s="13"/>
      <c r="AL324" s="68"/>
      <c r="AM324" s="68"/>
      <c r="AN324" s="68"/>
      <c r="AO324" s="68"/>
    </row>
    <row r="325" spans="1:41" ht="15" x14ac:dyDescent="0.4">
      <c r="B325" s="33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97"/>
      <c r="S325" s="51" t="s">
        <v>51</v>
      </c>
      <c r="T325" s="48"/>
      <c r="U325" s="48"/>
      <c r="Y325" s="7"/>
      <c r="Z325" s="52">
        <v>2026</v>
      </c>
      <c r="AA325" s="52">
        <f t="shared" ref="AA325:AI325" si="101">Z325+1</f>
        <v>2027</v>
      </c>
      <c r="AB325" s="52">
        <f t="shared" si="101"/>
        <v>2028</v>
      </c>
      <c r="AC325" s="52">
        <f t="shared" si="101"/>
        <v>2029</v>
      </c>
      <c r="AD325" s="52">
        <f t="shared" si="101"/>
        <v>2030</v>
      </c>
      <c r="AE325" s="52">
        <f t="shared" si="101"/>
        <v>2031</v>
      </c>
      <c r="AF325" s="52">
        <f t="shared" si="101"/>
        <v>2032</v>
      </c>
      <c r="AG325" s="52">
        <f t="shared" si="101"/>
        <v>2033</v>
      </c>
      <c r="AH325" s="52">
        <f t="shared" si="101"/>
        <v>2034</v>
      </c>
      <c r="AI325" s="52">
        <f t="shared" si="101"/>
        <v>2035</v>
      </c>
      <c r="AL325" s="68"/>
      <c r="AM325" s="68"/>
      <c r="AN325" s="68"/>
      <c r="AO325" s="68"/>
    </row>
    <row r="326" spans="1:41" ht="15" x14ac:dyDescent="0.4">
      <c r="B326" s="33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97"/>
      <c r="S326" s="51" t="s">
        <v>52</v>
      </c>
      <c r="T326" s="48"/>
      <c r="U326" s="48"/>
      <c r="Y326" s="7"/>
      <c r="Z326" s="52">
        <f t="shared" ref="Z326:AI326" si="102">Z325-$Z$325</f>
        <v>0</v>
      </c>
      <c r="AA326" s="52">
        <f t="shared" si="102"/>
        <v>1</v>
      </c>
      <c r="AB326" s="52">
        <f t="shared" si="102"/>
        <v>2</v>
      </c>
      <c r="AC326" s="52">
        <f t="shared" si="102"/>
        <v>3</v>
      </c>
      <c r="AD326" s="52">
        <f t="shared" si="102"/>
        <v>4</v>
      </c>
      <c r="AE326" s="52">
        <f t="shared" si="102"/>
        <v>5</v>
      </c>
      <c r="AF326" s="52">
        <f t="shared" si="102"/>
        <v>6</v>
      </c>
      <c r="AG326" s="52">
        <f t="shared" si="102"/>
        <v>7</v>
      </c>
      <c r="AH326" s="52">
        <f t="shared" si="102"/>
        <v>8</v>
      </c>
      <c r="AI326" s="52">
        <f t="shared" si="102"/>
        <v>9</v>
      </c>
      <c r="AL326" s="75"/>
      <c r="AM326" s="68"/>
      <c r="AN326" s="68"/>
      <c r="AO326" s="68"/>
    </row>
    <row r="327" spans="1:41" ht="15.4" x14ac:dyDescent="0.45">
      <c r="B327" s="33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97"/>
      <c r="S327" s="49"/>
      <c r="T327" s="48"/>
      <c r="U327" s="48"/>
      <c r="Y327" s="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8"/>
      <c r="AK327" s="68"/>
      <c r="AL327" s="75"/>
      <c r="AM327" s="68"/>
      <c r="AN327" s="68"/>
      <c r="AO327" s="68"/>
    </row>
    <row r="328" spans="1:41" ht="15.4" x14ac:dyDescent="0.45"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97"/>
      <c r="S328" s="49" t="s">
        <v>53</v>
      </c>
      <c r="T328" s="50"/>
      <c r="U328" s="50"/>
      <c r="V328" s="3"/>
      <c r="W328" s="3"/>
      <c r="X328" s="3"/>
      <c r="Y328" s="3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8"/>
      <c r="AK328" s="68"/>
      <c r="AL328" s="75"/>
      <c r="AM328" s="68"/>
      <c r="AN328" s="68"/>
      <c r="AO328" s="68"/>
    </row>
    <row r="329" spans="1:41" ht="15" x14ac:dyDescent="0.4"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97"/>
      <c r="S329" s="48"/>
      <c r="T329" s="48" t="s">
        <v>54</v>
      </c>
      <c r="U329" s="48"/>
      <c r="Y329" s="11" t="s">
        <v>55</v>
      </c>
      <c r="Z329" s="70">
        <f>IF(pp&lt;3,jj,0)</f>
        <v>0</v>
      </c>
      <c r="AA329" s="70">
        <f t="shared" ref="AA329:AI330" si="103">Z329*(1+$AC$311)</f>
        <v>0</v>
      </c>
      <c r="AB329" s="70">
        <f t="shared" si="103"/>
        <v>0</v>
      </c>
      <c r="AC329" s="70">
        <f t="shared" si="103"/>
        <v>0</v>
      </c>
      <c r="AD329" s="70">
        <f t="shared" si="103"/>
        <v>0</v>
      </c>
      <c r="AE329" s="70">
        <f t="shared" si="103"/>
        <v>0</v>
      </c>
      <c r="AF329" s="70">
        <f t="shared" si="103"/>
        <v>0</v>
      </c>
      <c r="AG329" s="70">
        <f t="shared" si="103"/>
        <v>0</v>
      </c>
      <c r="AH329" s="70">
        <f t="shared" si="103"/>
        <v>0</v>
      </c>
      <c r="AI329" s="70">
        <f t="shared" si="103"/>
        <v>0</v>
      </c>
      <c r="AJ329" s="68"/>
      <c r="AK329" s="68"/>
      <c r="AL329" s="75"/>
      <c r="AM329" s="68"/>
      <c r="AN329" s="68"/>
      <c r="AO329" s="68"/>
    </row>
    <row r="330" spans="1:41" ht="15" x14ac:dyDescent="0.4"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97"/>
      <c r="S330" s="48"/>
      <c r="T330" s="48" t="s">
        <v>56</v>
      </c>
      <c r="U330" s="48"/>
      <c r="Y330" s="11" t="s">
        <v>55</v>
      </c>
      <c r="Z330" s="70">
        <f>IF(pp&gt;2,jj*AC310,0)</f>
        <v>4.4000000000000004</v>
      </c>
      <c r="AA330" s="70">
        <f t="shared" si="103"/>
        <v>4.7080000000000011</v>
      </c>
      <c r="AB330" s="70">
        <f t="shared" si="103"/>
        <v>5.0375600000000018</v>
      </c>
      <c r="AC330" s="70">
        <f t="shared" si="103"/>
        <v>5.3901892000000027</v>
      </c>
      <c r="AD330" s="70">
        <f t="shared" si="103"/>
        <v>5.7675024440000033</v>
      </c>
      <c r="AE330" s="70">
        <f t="shared" si="103"/>
        <v>6.1712276150800038</v>
      </c>
      <c r="AF330" s="70">
        <f t="shared" si="103"/>
        <v>6.6032135481356047</v>
      </c>
      <c r="AG330" s="70">
        <f t="shared" si="103"/>
        <v>7.0654384965050978</v>
      </c>
      <c r="AH330" s="70">
        <f t="shared" si="103"/>
        <v>7.5600191912604551</v>
      </c>
      <c r="AI330" s="70">
        <f t="shared" si="103"/>
        <v>8.0892205346486872</v>
      </c>
      <c r="AJ330" s="68"/>
      <c r="AK330" s="68"/>
      <c r="AL330" s="68"/>
      <c r="AM330" s="68"/>
      <c r="AN330" s="68"/>
      <c r="AO330" s="68"/>
    </row>
    <row r="331" spans="1:41" ht="15" x14ac:dyDescent="0.4">
      <c r="G331" s="12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97"/>
      <c r="S331" s="48"/>
      <c r="T331" s="48" t="s">
        <v>57</v>
      </c>
      <c r="U331" s="48"/>
      <c r="Y331" s="11" t="s">
        <v>55</v>
      </c>
      <c r="Z331" s="71">
        <f>IF(pp=1,2.5,IF(OR(pp=2,pp=3),8.5,IF(pp=4,0,"error")))</f>
        <v>0</v>
      </c>
      <c r="AA331" s="71">
        <f t="shared" ref="AA331:AI331" si="104">$Z$331</f>
        <v>0</v>
      </c>
      <c r="AB331" s="71">
        <f t="shared" si="104"/>
        <v>0</v>
      </c>
      <c r="AC331" s="71">
        <f t="shared" si="104"/>
        <v>0</v>
      </c>
      <c r="AD331" s="71">
        <f t="shared" si="104"/>
        <v>0</v>
      </c>
      <c r="AE331" s="71">
        <f t="shared" si="104"/>
        <v>0</v>
      </c>
      <c r="AF331" s="71">
        <f t="shared" si="104"/>
        <v>0</v>
      </c>
      <c r="AG331" s="71">
        <f t="shared" si="104"/>
        <v>0</v>
      </c>
      <c r="AH331" s="71">
        <f t="shared" si="104"/>
        <v>0</v>
      </c>
      <c r="AI331" s="71">
        <f t="shared" si="104"/>
        <v>0</v>
      </c>
      <c r="AJ331" s="68"/>
      <c r="AK331" s="68"/>
      <c r="AL331" s="75"/>
      <c r="AM331" s="68"/>
      <c r="AN331" s="68"/>
      <c r="AO331" s="68"/>
    </row>
    <row r="332" spans="1:41" ht="15" x14ac:dyDescent="0.4"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97"/>
      <c r="S332" s="48"/>
      <c r="T332" s="48" t="s">
        <v>53</v>
      </c>
      <c r="U332" s="48"/>
      <c r="Y332" s="11" t="s">
        <v>55</v>
      </c>
      <c r="Z332" s="70">
        <f t="shared" ref="Z332:AI332" si="105">MIN(IF(pp&lt;=2,Z329,Z330),IF(pp=4,Z330,Z331))</f>
        <v>4.4000000000000004</v>
      </c>
      <c r="AA332" s="70">
        <f t="shared" si="105"/>
        <v>4.7080000000000011</v>
      </c>
      <c r="AB332" s="70">
        <f t="shared" si="105"/>
        <v>5.0375600000000018</v>
      </c>
      <c r="AC332" s="70">
        <f t="shared" si="105"/>
        <v>5.3901892000000027</v>
      </c>
      <c r="AD332" s="70">
        <f t="shared" si="105"/>
        <v>5.7675024440000033</v>
      </c>
      <c r="AE332" s="70">
        <f t="shared" si="105"/>
        <v>6.1712276150800038</v>
      </c>
      <c r="AF332" s="70">
        <f t="shared" si="105"/>
        <v>6.6032135481356047</v>
      </c>
      <c r="AG332" s="70">
        <f t="shared" si="105"/>
        <v>7.0654384965050978</v>
      </c>
      <c r="AH332" s="70">
        <f t="shared" si="105"/>
        <v>7.5600191912604551</v>
      </c>
      <c r="AI332" s="70">
        <f t="shared" si="105"/>
        <v>8.0892205346486872</v>
      </c>
      <c r="AJ332" s="68"/>
      <c r="AK332" s="68"/>
      <c r="AL332" s="75"/>
      <c r="AM332" s="68"/>
      <c r="AN332" s="68"/>
      <c r="AO332" s="68"/>
    </row>
    <row r="333" spans="1:41" ht="15" x14ac:dyDescent="0.4">
      <c r="H333" s="31"/>
      <c r="I333" s="35"/>
      <c r="J333" s="31"/>
      <c r="K333" s="31"/>
      <c r="L333" s="31"/>
      <c r="M333" s="31"/>
      <c r="N333" s="31"/>
      <c r="O333" s="31"/>
      <c r="P333" s="31"/>
      <c r="Q333" s="31"/>
      <c r="R333" s="97"/>
      <c r="S333" s="48"/>
      <c r="T333" s="48"/>
      <c r="U333" s="48"/>
      <c r="Y333" s="11"/>
      <c r="Z333" s="136"/>
      <c r="AA333" s="136"/>
      <c r="AB333" s="136"/>
      <c r="AC333" s="136"/>
      <c r="AD333" s="136"/>
      <c r="AE333" s="136"/>
      <c r="AF333" s="136"/>
      <c r="AG333" s="136"/>
      <c r="AH333" s="136"/>
      <c r="AI333" s="136"/>
      <c r="AJ333" s="68"/>
      <c r="AK333" s="68"/>
      <c r="AL333" s="68"/>
      <c r="AM333" s="68"/>
      <c r="AN333" s="68"/>
      <c r="AO333" s="68"/>
    </row>
    <row r="334" spans="1:41" ht="15.4" x14ac:dyDescent="0.45">
      <c r="R334" s="97"/>
      <c r="S334" s="49" t="s">
        <v>58</v>
      </c>
      <c r="T334" s="48"/>
      <c r="U334" s="48"/>
      <c r="Y334" s="80" t="s">
        <v>59</v>
      </c>
      <c r="Z334" s="72">
        <f t="shared" ref="Z334:AI334" si="106">Z332*$AC$313</f>
        <v>47.300000000000004</v>
      </c>
      <c r="AA334" s="72">
        <f t="shared" si="106"/>
        <v>50.611000000000011</v>
      </c>
      <c r="AB334" s="72">
        <f t="shared" si="106"/>
        <v>54.153770000000023</v>
      </c>
      <c r="AC334" s="72">
        <f t="shared" si="106"/>
        <v>57.944533900000032</v>
      </c>
      <c r="AD334" s="72">
        <f t="shared" si="106"/>
        <v>62.000651273000038</v>
      </c>
      <c r="AE334" s="72">
        <f t="shared" si="106"/>
        <v>66.340696862110036</v>
      </c>
      <c r="AF334" s="72">
        <f t="shared" si="106"/>
        <v>70.984545642457746</v>
      </c>
      <c r="AG334" s="72">
        <f t="shared" si="106"/>
        <v>75.953463837429808</v>
      </c>
      <c r="AH334" s="72">
        <f t="shared" si="106"/>
        <v>81.270206306049886</v>
      </c>
      <c r="AI334" s="72">
        <f t="shared" si="106"/>
        <v>86.959120747473392</v>
      </c>
      <c r="AJ334" s="68"/>
      <c r="AK334" s="68"/>
      <c r="AL334" s="75"/>
      <c r="AM334" s="68"/>
      <c r="AN334" s="68"/>
      <c r="AO334" s="68"/>
    </row>
    <row r="335" spans="1:41" ht="15.4" x14ac:dyDescent="0.45">
      <c r="H335" s="36"/>
      <c r="R335" s="97"/>
      <c r="S335" s="50"/>
      <c r="T335" s="48"/>
      <c r="U335" s="48"/>
      <c r="Y335" s="80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68"/>
      <c r="AK335" s="68"/>
      <c r="AL335" s="68"/>
      <c r="AM335" s="68"/>
      <c r="AN335" s="68"/>
      <c r="AO335" s="68"/>
    </row>
    <row r="336" spans="1:41" ht="15.4" x14ac:dyDescent="0.45">
      <c r="R336" s="97"/>
      <c r="S336" s="49" t="s">
        <v>60</v>
      </c>
      <c r="T336" s="48"/>
      <c r="U336" s="48"/>
      <c r="Y336" s="80" t="s">
        <v>59</v>
      </c>
      <c r="Z336" s="72">
        <f t="shared" ref="Z336:AI336" si="107">IF(pp=4,0,Z332*$AC$314)</f>
        <v>0</v>
      </c>
      <c r="AA336" s="72">
        <f t="shared" si="107"/>
        <v>0</v>
      </c>
      <c r="AB336" s="72">
        <f t="shared" si="107"/>
        <v>0</v>
      </c>
      <c r="AC336" s="72">
        <f t="shared" si="107"/>
        <v>0</v>
      </c>
      <c r="AD336" s="72">
        <f t="shared" si="107"/>
        <v>0</v>
      </c>
      <c r="AE336" s="72">
        <f t="shared" si="107"/>
        <v>0</v>
      </c>
      <c r="AF336" s="72">
        <f t="shared" si="107"/>
        <v>0</v>
      </c>
      <c r="AG336" s="72">
        <f t="shared" si="107"/>
        <v>0</v>
      </c>
      <c r="AH336" s="72">
        <f t="shared" si="107"/>
        <v>0</v>
      </c>
      <c r="AI336" s="72">
        <f t="shared" si="107"/>
        <v>0</v>
      </c>
      <c r="AJ336" s="68"/>
      <c r="AK336" s="68"/>
    </row>
    <row r="337" spans="18:48" ht="15.4" x14ac:dyDescent="0.45">
      <c r="R337" s="97"/>
      <c r="S337" s="50"/>
      <c r="T337" s="48"/>
      <c r="U337" s="48"/>
      <c r="Y337" s="80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68"/>
      <c r="AK337" s="68"/>
    </row>
    <row r="338" spans="18:48" ht="15" x14ac:dyDescent="0.4">
      <c r="R338" s="97"/>
      <c r="S338" s="51" t="s">
        <v>61</v>
      </c>
      <c r="T338" s="48"/>
      <c r="U338" s="48"/>
      <c r="Y338" s="80" t="s">
        <v>59</v>
      </c>
      <c r="Z338" s="72">
        <f>IF(pp=2,$AC$315,0)</f>
        <v>0</v>
      </c>
      <c r="AA338" s="72">
        <v>0</v>
      </c>
      <c r="AB338" s="72">
        <v>0</v>
      </c>
      <c r="AC338" s="72">
        <v>0</v>
      </c>
      <c r="AD338" s="72">
        <v>0</v>
      </c>
      <c r="AE338" s="72">
        <v>0</v>
      </c>
      <c r="AF338" s="72">
        <v>0</v>
      </c>
      <c r="AG338" s="72">
        <v>0</v>
      </c>
      <c r="AH338" s="72">
        <v>0</v>
      </c>
      <c r="AI338" s="72">
        <v>0</v>
      </c>
      <c r="AJ338" s="68"/>
      <c r="AK338" s="68"/>
      <c r="AL338" s="32"/>
    </row>
    <row r="339" spans="18:48" ht="15" x14ac:dyDescent="0.4">
      <c r="R339" s="97"/>
      <c r="S339" s="48"/>
      <c r="T339" s="48"/>
      <c r="U339" s="48"/>
      <c r="Y339" s="80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68"/>
      <c r="AK339" s="68"/>
      <c r="AL339" s="31"/>
    </row>
    <row r="340" spans="18:48" ht="15" x14ac:dyDescent="0.4">
      <c r="R340" s="97"/>
      <c r="S340" s="51" t="s">
        <v>62</v>
      </c>
      <c r="T340" s="48"/>
      <c r="U340" s="48"/>
      <c r="Y340" s="80" t="s">
        <v>59</v>
      </c>
      <c r="Z340" s="72">
        <f t="shared" ref="Z340:AI340" si="108">IF(pp=3,$AA$298*(Z334-Z336),0)</f>
        <v>0</v>
      </c>
      <c r="AA340" s="72">
        <f t="shared" si="108"/>
        <v>0</v>
      </c>
      <c r="AB340" s="72">
        <f t="shared" si="108"/>
        <v>0</v>
      </c>
      <c r="AC340" s="72">
        <f t="shared" si="108"/>
        <v>0</v>
      </c>
      <c r="AD340" s="72">
        <f t="shared" si="108"/>
        <v>0</v>
      </c>
      <c r="AE340" s="72">
        <f t="shared" si="108"/>
        <v>0</v>
      </c>
      <c r="AF340" s="72">
        <f t="shared" si="108"/>
        <v>0</v>
      </c>
      <c r="AG340" s="72">
        <f t="shared" si="108"/>
        <v>0</v>
      </c>
      <c r="AH340" s="72">
        <f t="shared" si="108"/>
        <v>0</v>
      </c>
      <c r="AI340" s="72">
        <f t="shared" si="108"/>
        <v>0</v>
      </c>
      <c r="AJ340" s="68"/>
      <c r="AK340" s="68"/>
      <c r="AL340" s="31"/>
    </row>
    <row r="341" spans="18:48" ht="15" x14ac:dyDescent="0.4">
      <c r="R341" s="97"/>
      <c r="S341" s="51" t="s">
        <v>63</v>
      </c>
      <c r="T341" s="48"/>
      <c r="U341" s="48"/>
      <c r="Y341" s="80" t="s">
        <v>59</v>
      </c>
      <c r="Z341" s="72">
        <f t="shared" ref="Z341:AI341" si="109">$AA$299*(Z334)</f>
        <v>46.354000000000006</v>
      </c>
      <c r="AA341" s="72">
        <f t="shared" si="109"/>
        <v>49.598780000000012</v>
      </c>
      <c r="AB341" s="72">
        <f t="shared" si="109"/>
        <v>53.070694600000024</v>
      </c>
      <c r="AC341" s="72">
        <f t="shared" si="109"/>
        <v>56.785643222000033</v>
      </c>
      <c r="AD341" s="72">
        <f t="shared" si="109"/>
        <v>60.760638247540037</v>
      </c>
      <c r="AE341" s="72">
        <f t="shared" si="109"/>
        <v>65.013882924867829</v>
      </c>
      <c r="AF341" s="72">
        <f t="shared" si="109"/>
        <v>69.564854729608584</v>
      </c>
      <c r="AG341" s="72">
        <f t="shared" si="109"/>
        <v>74.434394560681213</v>
      </c>
      <c r="AH341" s="72">
        <f t="shared" si="109"/>
        <v>79.644802179928888</v>
      </c>
      <c r="AI341" s="72">
        <f t="shared" si="109"/>
        <v>85.219938332523924</v>
      </c>
      <c r="AJ341" s="68"/>
      <c r="AK341" s="68"/>
      <c r="AL341" s="31"/>
    </row>
    <row r="342" spans="18:48" ht="15" x14ac:dyDescent="0.4">
      <c r="R342" s="97"/>
      <c r="S342" s="48"/>
      <c r="T342" s="48"/>
      <c r="U342" s="48"/>
      <c r="Y342" s="80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68"/>
      <c r="AK342" s="68"/>
      <c r="AL342" s="31"/>
    </row>
    <row r="343" spans="18:48" ht="15" x14ac:dyDescent="0.4">
      <c r="R343" s="97"/>
      <c r="S343" s="51" t="s">
        <v>64</v>
      </c>
      <c r="T343" s="48"/>
      <c r="U343" s="48"/>
      <c r="Y343" s="80" t="s">
        <v>59</v>
      </c>
      <c r="Z343" s="72">
        <f t="shared" ref="Z343:AI343" si="110">IF(pp=1,Z334-Z336,IF(pp=2,Z334-Z336-Z338,IF(pp=3,Z334-Z336-Z340,IF(pp=4,Z334-Z336-Z341,"error"))))</f>
        <v>0.94599999999999795</v>
      </c>
      <c r="AA343" s="72">
        <f t="shared" si="110"/>
        <v>1.0122199999999992</v>
      </c>
      <c r="AB343" s="72">
        <f t="shared" si="110"/>
        <v>1.0830753999999985</v>
      </c>
      <c r="AC343" s="72">
        <f t="shared" si="110"/>
        <v>1.1588906779999988</v>
      </c>
      <c r="AD343" s="72">
        <f t="shared" si="110"/>
        <v>1.2400130254600015</v>
      </c>
      <c r="AE343" s="72">
        <f t="shared" si="110"/>
        <v>1.326813937242207</v>
      </c>
      <c r="AF343" s="72">
        <f t="shared" si="110"/>
        <v>1.4196909128491626</v>
      </c>
      <c r="AG343" s="72">
        <f t="shared" si="110"/>
        <v>1.5190692767485956</v>
      </c>
      <c r="AH343" s="72">
        <f t="shared" si="110"/>
        <v>1.6254041261209977</v>
      </c>
      <c r="AI343" s="72">
        <f t="shared" si="110"/>
        <v>1.7391824149494681</v>
      </c>
      <c r="AJ343" s="68"/>
      <c r="AK343" s="68"/>
      <c r="AL343" s="31"/>
    </row>
    <row r="344" spans="18:48" ht="15" x14ac:dyDescent="0.4">
      <c r="R344" s="97"/>
      <c r="S344" s="48"/>
      <c r="T344" s="48"/>
      <c r="U344" s="48"/>
      <c r="Y344" s="80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68"/>
      <c r="AK344" s="68"/>
      <c r="AL344" s="31"/>
    </row>
    <row r="345" spans="18:48" ht="15" x14ac:dyDescent="0.4">
      <c r="R345" s="97"/>
      <c r="S345" s="51" t="s">
        <v>65</v>
      </c>
      <c r="T345" s="48"/>
      <c r="U345" s="48"/>
      <c r="Y345" s="80" t="s">
        <v>59</v>
      </c>
      <c r="Z345" s="72">
        <f t="shared" ref="Z345:AI345" si="111">y*Z343</f>
        <v>0.35947999999999924</v>
      </c>
      <c r="AA345" s="72">
        <f t="shared" si="111"/>
        <v>0.3846435999999997</v>
      </c>
      <c r="AB345" s="72">
        <f t="shared" si="111"/>
        <v>0.41156865199999942</v>
      </c>
      <c r="AC345" s="72">
        <f t="shared" si="111"/>
        <v>0.44037845763999955</v>
      </c>
      <c r="AD345" s="72">
        <f t="shared" si="111"/>
        <v>0.47120494967480059</v>
      </c>
      <c r="AE345" s="72">
        <f t="shared" si="111"/>
        <v>0.50418929615203867</v>
      </c>
      <c r="AF345" s="72">
        <f t="shared" si="111"/>
        <v>0.53948254688268182</v>
      </c>
      <c r="AG345" s="72">
        <f t="shared" si="111"/>
        <v>0.57724632516446639</v>
      </c>
      <c r="AH345" s="72">
        <f t="shared" si="111"/>
        <v>0.61765356792597914</v>
      </c>
      <c r="AI345" s="72">
        <f t="shared" si="111"/>
        <v>0.66088931768079795</v>
      </c>
      <c r="AJ345" s="68"/>
      <c r="AK345" s="68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</row>
    <row r="346" spans="18:48" ht="15" x14ac:dyDescent="0.4">
      <c r="R346" s="97"/>
      <c r="S346" s="51" t="s">
        <v>66</v>
      </c>
      <c r="T346" s="48"/>
      <c r="U346" s="48"/>
      <c r="Y346" s="80" t="s">
        <v>59</v>
      </c>
      <c r="Z346" s="72">
        <f>IF(Z345&lt;0,ABS(Z345),0)</f>
        <v>0</v>
      </c>
      <c r="AA346" s="72">
        <f t="shared" ref="AA346:AI346" si="112">IF((AA345-Z346)&lt;0,ABS(Z346-AA345),0)</f>
        <v>0</v>
      </c>
      <c r="AB346" s="72">
        <f t="shared" si="112"/>
        <v>0</v>
      </c>
      <c r="AC346" s="72">
        <f t="shared" si="112"/>
        <v>0</v>
      </c>
      <c r="AD346" s="72">
        <f t="shared" si="112"/>
        <v>0</v>
      </c>
      <c r="AE346" s="72">
        <f t="shared" si="112"/>
        <v>0</v>
      </c>
      <c r="AF346" s="72">
        <f t="shared" si="112"/>
        <v>0</v>
      </c>
      <c r="AG346" s="72">
        <f t="shared" si="112"/>
        <v>0</v>
      </c>
      <c r="AH346" s="72">
        <f t="shared" si="112"/>
        <v>0</v>
      </c>
      <c r="AI346" s="72">
        <f t="shared" si="112"/>
        <v>0</v>
      </c>
      <c r="AJ346" s="68"/>
      <c r="AK346" s="68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</row>
    <row r="347" spans="18:48" ht="15" x14ac:dyDescent="0.4">
      <c r="R347" s="97"/>
      <c r="S347" s="51" t="s">
        <v>67</v>
      </c>
      <c r="T347" s="48"/>
      <c r="U347" s="48"/>
      <c r="Y347" s="80" t="s">
        <v>59</v>
      </c>
      <c r="Z347" s="72">
        <f>IF(Z345&lt;0,0,Z345)</f>
        <v>0.35947999999999924</v>
      </c>
      <c r="AA347" s="72">
        <f t="shared" ref="AA347:AI347" si="113">IF(AA345&lt;0,0,IF((AA345-Z346)&lt;0,0,(AA345-Z346)))</f>
        <v>0.3846435999999997</v>
      </c>
      <c r="AB347" s="72">
        <f t="shared" si="113"/>
        <v>0.41156865199999942</v>
      </c>
      <c r="AC347" s="72">
        <f t="shared" si="113"/>
        <v>0.44037845763999955</v>
      </c>
      <c r="AD347" s="72">
        <f t="shared" si="113"/>
        <v>0.47120494967480059</v>
      </c>
      <c r="AE347" s="72">
        <f t="shared" si="113"/>
        <v>0.50418929615203867</v>
      </c>
      <c r="AF347" s="72">
        <f t="shared" si="113"/>
        <v>0.53948254688268182</v>
      </c>
      <c r="AG347" s="72">
        <f t="shared" si="113"/>
        <v>0.57724632516446639</v>
      </c>
      <c r="AH347" s="72">
        <f t="shared" si="113"/>
        <v>0.61765356792597914</v>
      </c>
      <c r="AI347" s="72">
        <f t="shared" si="113"/>
        <v>0.66088931768079795</v>
      </c>
      <c r="AJ347" s="68"/>
      <c r="AK347" s="68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</row>
    <row r="348" spans="18:48" ht="15" x14ac:dyDescent="0.4">
      <c r="R348" s="97"/>
      <c r="S348" s="48"/>
      <c r="T348" s="48"/>
      <c r="U348" s="48"/>
      <c r="Y348" s="80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3"/>
      <c r="AK348" s="73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</row>
    <row r="349" spans="18:48" ht="15" x14ac:dyDescent="0.4">
      <c r="R349" s="97"/>
      <c r="S349" s="51" t="s">
        <v>68</v>
      </c>
      <c r="Y349" s="80" t="s">
        <v>69</v>
      </c>
      <c r="Z349" s="74">
        <f t="shared" ref="Z349:AI349" si="114">Z343-Z347</f>
        <v>0.58651999999999871</v>
      </c>
      <c r="AA349" s="74">
        <f t="shared" si="114"/>
        <v>0.62757639999999948</v>
      </c>
      <c r="AB349" s="74">
        <f t="shared" si="114"/>
        <v>0.67150674799999899</v>
      </c>
      <c r="AC349" s="74">
        <f t="shared" si="114"/>
        <v>0.71851222035999918</v>
      </c>
      <c r="AD349" s="74">
        <f t="shared" si="114"/>
        <v>0.76880807578520094</v>
      </c>
      <c r="AE349" s="74">
        <f t="shared" si="114"/>
        <v>0.82262464109016831</v>
      </c>
      <c r="AF349" s="74">
        <f t="shared" si="114"/>
        <v>0.88020836596648078</v>
      </c>
      <c r="AG349" s="74">
        <f t="shared" si="114"/>
        <v>0.94182295158412921</v>
      </c>
      <c r="AH349" s="74">
        <f t="shared" si="114"/>
        <v>1.0077505581950186</v>
      </c>
      <c r="AI349" s="74">
        <f t="shared" si="114"/>
        <v>1.0782930972686702</v>
      </c>
      <c r="AJ349" s="75"/>
      <c r="AK349" s="75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</row>
    <row r="350" spans="18:48" x14ac:dyDescent="0.35">
      <c r="R350" s="97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</row>
    <row r="351" spans="18:48" ht="15" x14ac:dyDescent="0.4">
      <c r="R351" s="97"/>
      <c r="S351" s="51" t="s">
        <v>70</v>
      </c>
      <c r="T351" s="48"/>
      <c r="U351" s="48"/>
      <c r="Y351" s="80" t="s">
        <v>71</v>
      </c>
      <c r="Z351" s="93">
        <f>Z349+NPV(p,AA349,AB349,AC349,AD349,AE349,AF349,AG349,AH349,AI349)</f>
        <v>5.6267541254211872</v>
      </c>
      <c r="AA351" s="92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</row>
    <row r="352" spans="18:48" x14ac:dyDescent="0.35">
      <c r="R352" s="97"/>
      <c r="S352" s="2"/>
    </row>
    <row r="353" spans="18:48" x14ac:dyDescent="0.35">
      <c r="R353" s="97"/>
      <c r="T353" s="13"/>
      <c r="Z353" s="33"/>
      <c r="AA353" s="33"/>
      <c r="AB353" s="33"/>
    </row>
    <row r="354" spans="18:48" x14ac:dyDescent="0.35">
      <c r="R354" s="97"/>
      <c r="S354" s="13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</row>
  </sheetData>
  <mergeCells count="44">
    <mergeCell ref="F245:H245"/>
    <mergeCell ref="K251:L251"/>
    <mergeCell ref="K200:L200"/>
    <mergeCell ref="M207:N207"/>
    <mergeCell ref="M217:N217"/>
    <mergeCell ref="K231:L231"/>
    <mergeCell ref="I234:J234"/>
    <mergeCell ref="K241:L241"/>
    <mergeCell ref="M197:N197"/>
    <mergeCell ref="K138:L138"/>
    <mergeCell ref="B145:E145"/>
    <mergeCell ref="M145:N145"/>
    <mergeCell ref="I148:J148"/>
    <mergeCell ref="M155:N155"/>
    <mergeCell ref="K164:L164"/>
    <mergeCell ref="M166:N166"/>
    <mergeCell ref="K169:L169"/>
    <mergeCell ref="M176:N176"/>
    <mergeCell ref="F180:H180"/>
    <mergeCell ref="M186:N186"/>
    <mergeCell ref="M135:N135"/>
    <mergeCell ref="F50:H50"/>
    <mergeCell ref="M56:N56"/>
    <mergeCell ref="M67:N67"/>
    <mergeCell ref="K70:L70"/>
    <mergeCell ref="M77:N77"/>
    <mergeCell ref="M87:N87"/>
    <mergeCell ref="K101:L101"/>
    <mergeCell ref="I104:J104"/>
    <mergeCell ref="K111:L111"/>
    <mergeCell ref="F115:H115"/>
    <mergeCell ref="K121:L121"/>
    <mergeCell ref="M46:N46"/>
    <mergeCell ref="C1:D1"/>
    <mergeCell ref="C2:D2"/>
    <mergeCell ref="B5:C5"/>
    <mergeCell ref="M5:N5"/>
    <mergeCell ref="K8:L8"/>
    <mergeCell ref="M15:N15"/>
    <mergeCell ref="I18:J18"/>
    <mergeCell ref="M25:N25"/>
    <mergeCell ref="K34:L34"/>
    <mergeCell ref="M36:N36"/>
    <mergeCell ref="K39:L39"/>
  </mergeCells>
  <pageMargins left="0.75" right="0.75" top="1" bottom="1" header="0.5" footer="0.5"/>
  <pageSetup scale="80" orientation="landscape" horizontalDpi="300" verticalDpi="300" copies="0"/>
  <headerFooter alignWithMargins="0">
    <oddFooter>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E7E8E8959E545870BD85F32BEB2BF" ma:contentTypeVersion="6" ma:contentTypeDescription="Create a new document." ma:contentTypeScope="" ma:versionID="e04d0bc9b69cf9e8d6d1edb0aa5e0c98">
  <xsd:schema xmlns:xsd="http://www.w3.org/2001/XMLSchema" xmlns:xs="http://www.w3.org/2001/XMLSchema" xmlns:p="http://schemas.microsoft.com/office/2006/metadata/properties" xmlns:ns3="a5fcb91a-0ee7-4d64-99b1-e5343bbec9fe" targetNamespace="http://schemas.microsoft.com/office/2006/metadata/properties" ma:root="true" ma:fieldsID="6b2148db209c648c5aca3574da07cee8" ns3:_="">
    <xsd:import namespace="a5fcb91a-0ee7-4d64-99b1-e5343bbec9f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cb91a-0ee7-4d64-99b1-e5343bbec9f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fcb91a-0ee7-4d64-99b1-e5343bbec9fe" xsi:nil="true"/>
  </documentManagement>
</p:properties>
</file>

<file path=customXml/itemProps1.xml><?xml version="1.0" encoding="utf-8"?>
<ds:datastoreItem xmlns:ds="http://schemas.openxmlformats.org/officeDocument/2006/customXml" ds:itemID="{AE18ECA8-2134-402C-80CB-BF0DB9114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cb91a-0ee7-4d64-99b1-e5343bbec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49A23E-0996-44C4-A7B5-39722C6C71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E4C1E7-71ED-4CB6-A7CB-CA7DC78B6CF1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5fcb91a-0ee7-4d64-99b1-e5343bbec9f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125</vt:i4>
      </vt:variant>
    </vt:vector>
  </HeadingPairs>
  <TitlesOfParts>
    <vt:vector size="135" baseType="lpstr">
      <vt:lpstr>NPV</vt:lpstr>
      <vt:lpstr>Tornado Diagrams</vt:lpstr>
      <vt:lpstr>Decision Tree</vt:lpstr>
      <vt:lpstr>Decision Tree With Values</vt:lpstr>
      <vt:lpstr>Decision Tree (Risk Nuetral)</vt:lpstr>
      <vt:lpstr>Sensitivity Analysis</vt:lpstr>
      <vt:lpstr>Discretizing</vt:lpstr>
      <vt:lpstr>Extra(1)</vt:lpstr>
      <vt:lpstr>Extra(2)</vt:lpstr>
      <vt:lpstr>Extra(3)</vt:lpstr>
      <vt:lpstr>'Extra(2)'!b</vt:lpstr>
      <vt:lpstr>'Extra(3)'!b</vt:lpstr>
      <vt:lpstr>b</vt:lpstr>
      <vt:lpstr>'Extra(2)'!cccvvv</vt:lpstr>
      <vt:lpstr>'Extra(3)'!cccvvv</vt:lpstr>
      <vt:lpstr>cccvvv</vt:lpstr>
      <vt:lpstr>'Extra(2)'!DC</vt:lpstr>
      <vt:lpstr>'Extra(3)'!DC</vt:lpstr>
      <vt:lpstr>DC</vt:lpstr>
      <vt:lpstr>'Extra(2)'!DC_</vt:lpstr>
      <vt:lpstr>'Extra(3)'!DC_</vt:lpstr>
      <vt:lpstr>DC_</vt:lpstr>
      <vt:lpstr>'Extra(1)'!dem_DAC</vt:lpstr>
      <vt:lpstr>'Extra(2)'!dem_DAC</vt:lpstr>
      <vt:lpstr>'Extra(3)'!dem_DAC</vt:lpstr>
      <vt:lpstr>dem_DAC</vt:lpstr>
      <vt:lpstr>'Extra(2)'!dgdgf</vt:lpstr>
      <vt:lpstr>'Extra(3)'!dgdgf</vt:lpstr>
      <vt:lpstr>dgdgf</vt:lpstr>
      <vt:lpstr>'Extra(1)'!discount_rate</vt:lpstr>
      <vt:lpstr>'Extra(2)'!discount_rate</vt:lpstr>
      <vt:lpstr>'Extra(3)'!discount_rate</vt:lpstr>
      <vt:lpstr>discount_rate</vt:lpstr>
      <vt:lpstr>'Extra(2)'!DR</vt:lpstr>
      <vt:lpstr>'Extra(3)'!DR</vt:lpstr>
      <vt:lpstr>DR</vt:lpstr>
      <vt:lpstr>'Extra(2)'!DRS</vt:lpstr>
      <vt:lpstr>'Extra(3)'!DRS</vt:lpstr>
      <vt:lpstr>DRS</vt:lpstr>
      <vt:lpstr>'Extra(2)'!dsav</vt:lpstr>
      <vt:lpstr>'Extra(3)'!dsav</vt:lpstr>
      <vt:lpstr>dsav</vt:lpstr>
      <vt:lpstr>'Extra(2)'!dsd</vt:lpstr>
      <vt:lpstr>'Extra(3)'!dsd</vt:lpstr>
      <vt:lpstr>dsd</vt:lpstr>
      <vt:lpstr>'Extra(2)'!fgfg</vt:lpstr>
      <vt:lpstr>'Extra(3)'!fgfg</vt:lpstr>
      <vt:lpstr>fgfg</vt:lpstr>
      <vt:lpstr>'Extra(2)'!g</vt:lpstr>
      <vt:lpstr>'Extra(3)'!g</vt:lpstr>
      <vt:lpstr>g</vt:lpstr>
      <vt:lpstr>'Extra(2)'!gddgdg</vt:lpstr>
      <vt:lpstr>'Extra(3)'!gddgdg</vt:lpstr>
      <vt:lpstr>gddgdg</vt:lpstr>
      <vt:lpstr>'Extra(2)'!gfdg</vt:lpstr>
      <vt:lpstr>'Extra(3)'!gfdg</vt:lpstr>
      <vt:lpstr>gfdg</vt:lpstr>
      <vt:lpstr>'Extra(2)'!ggff</vt:lpstr>
      <vt:lpstr>'Extra(3)'!ggff</vt:lpstr>
      <vt:lpstr>ggff</vt:lpstr>
      <vt:lpstr>'Extra(2)'!ggghhh</vt:lpstr>
      <vt:lpstr>'Extra(3)'!ggghhh</vt:lpstr>
      <vt:lpstr>ggghhh</vt:lpstr>
      <vt:lpstr>'Extra(2)'!h</vt:lpstr>
      <vt:lpstr>'Extra(3)'!h</vt:lpstr>
      <vt:lpstr>h</vt:lpstr>
      <vt:lpstr>'Extra(2)'!jj</vt:lpstr>
      <vt:lpstr>'Extra(3)'!jj</vt:lpstr>
      <vt:lpstr>jj</vt:lpstr>
      <vt:lpstr>'Extra(2)'!jm</vt:lpstr>
      <vt:lpstr>'Extra(3)'!jm</vt:lpstr>
      <vt:lpstr>jm</vt:lpstr>
      <vt:lpstr>'Extra(2)'!k</vt:lpstr>
      <vt:lpstr>'Extra(3)'!k</vt:lpstr>
      <vt:lpstr>k</vt:lpstr>
      <vt:lpstr>'Extra(2)'!l</vt:lpstr>
      <vt:lpstr>'Extra(3)'!l</vt:lpstr>
      <vt:lpstr>l</vt:lpstr>
      <vt:lpstr>'Extra(2)'!nb</vt:lpstr>
      <vt:lpstr>'Extra(3)'!nb</vt:lpstr>
      <vt:lpstr>nb</vt:lpstr>
      <vt:lpstr>'Extra(2)'!nnb</vt:lpstr>
      <vt:lpstr>'Extra(3)'!nnb</vt:lpstr>
      <vt:lpstr>nnb</vt:lpstr>
      <vt:lpstr>'Extra(2)'!p</vt:lpstr>
      <vt:lpstr>'Extra(3)'!p</vt:lpstr>
      <vt:lpstr>p</vt:lpstr>
      <vt:lpstr>'Extra(2)'!pp</vt:lpstr>
      <vt:lpstr>'Extra(3)'!pp</vt:lpstr>
      <vt:lpstr>pp</vt:lpstr>
      <vt:lpstr>'Extra(2)'!rrff</vt:lpstr>
      <vt:lpstr>'Extra(3)'!rrff</vt:lpstr>
      <vt:lpstr>rrff</vt:lpstr>
      <vt:lpstr>'Extra(2)'!S</vt:lpstr>
      <vt:lpstr>'Extra(3)'!S</vt:lpstr>
      <vt:lpstr>S</vt:lpstr>
      <vt:lpstr>'Extra(2)'!s_n</vt:lpstr>
      <vt:lpstr>'Extra(3)'!s_n</vt:lpstr>
      <vt:lpstr>s_n</vt:lpstr>
      <vt:lpstr>'Extra(2)'!sdsf</vt:lpstr>
      <vt:lpstr>'Extra(3)'!sdsf</vt:lpstr>
      <vt:lpstr>sdsf</vt:lpstr>
      <vt:lpstr>'Extra(2)'!SN</vt:lpstr>
      <vt:lpstr>'Extra(3)'!SN</vt:lpstr>
      <vt:lpstr>SN</vt:lpstr>
      <vt:lpstr>'Extra(2)'!Ss</vt:lpstr>
      <vt:lpstr>'Extra(3)'!Ss</vt:lpstr>
      <vt:lpstr>Ss</vt:lpstr>
      <vt:lpstr>'Extra(2)'!ssdd</vt:lpstr>
      <vt:lpstr>'Extra(3)'!ssdd</vt:lpstr>
      <vt:lpstr>ssdd</vt:lpstr>
      <vt:lpstr>'Extra(1)'!strategy</vt:lpstr>
      <vt:lpstr>'Extra(2)'!strategy</vt:lpstr>
      <vt:lpstr>'Extra(3)'!strategy</vt:lpstr>
      <vt:lpstr>strategy</vt:lpstr>
      <vt:lpstr>'Extra(1)'!strategy_name</vt:lpstr>
      <vt:lpstr>'Extra(2)'!strategy_name</vt:lpstr>
      <vt:lpstr>'Extra(3)'!strategy_name</vt:lpstr>
      <vt:lpstr>strategy_name</vt:lpstr>
      <vt:lpstr>'Extra(1)'!tax_rate</vt:lpstr>
      <vt:lpstr>'Extra(2)'!tax_rate</vt:lpstr>
      <vt:lpstr>'Extra(3)'!tax_rate</vt:lpstr>
      <vt:lpstr>tax_rate</vt:lpstr>
      <vt:lpstr>'Extra(2)'!TR</vt:lpstr>
      <vt:lpstr>'Extra(3)'!TR</vt:lpstr>
      <vt:lpstr>TR</vt:lpstr>
      <vt:lpstr>'Extra(2)'!TR_</vt:lpstr>
      <vt:lpstr>'Extra(3)'!TR_</vt:lpstr>
      <vt:lpstr>TR_</vt:lpstr>
      <vt:lpstr>'Extra(2)'!vvg</vt:lpstr>
      <vt:lpstr>'Extra(3)'!vvg</vt:lpstr>
      <vt:lpstr>vvg</vt:lpstr>
      <vt:lpstr>'Extra(2)'!y</vt:lpstr>
      <vt:lpstr>'Extra(3)'!y</vt:lpstr>
      <vt:lpstr>y</vt:lpstr>
    </vt:vector>
  </TitlesOfParts>
  <Manager/>
  <Company>DA 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Abbas</dc:creator>
  <cp:keywords/>
  <dc:description/>
  <cp:lastModifiedBy>Harsh Kubadia</cp:lastModifiedBy>
  <cp:revision/>
  <dcterms:created xsi:type="dcterms:W3CDTF">1997-03-02T21:49:27Z</dcterms:created>
  <dcterms:modified xsi:type="dcterms:W3CDTF">2025-07-09T20:24:01Z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0x010100549E7E8E8959E545870BD85F32BEB2BF</vt:lpwstr>
  </property>
</Properties>
</file>