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sh\Financial Analyst Projects\Understanding and Automating Personal Tax Planning in India (AY 2024–25)\"/>
    </mc:Choice>
  </mc:AlternateContent>
  <xr:revisionPtr revIDLastSave="0" documentId="13_ncr:1_{BB16D75D-F3DC-4CB1-936B-D7A568ADC870}" xr6:coauthVersionLast="47" xr6:coauthVersionMax="47" xr10:uidLastSave="{00000000-0000-0000-0000-000000000000}"/>
  <bookViews>
    <workbookView xWindow="-110" yWindow="-110" windowWidth="21820" windowHeight="14620" xr2:uid="{23A53C3B-73BA-40CE-9318-76F8CF1206EA}"/>
  </bookViews>
  <sheets>
    <sheet name="Inputs" sheetId="1" r:id="rId1"/>
    <sheet name="Tax_Rules" sheetId="2" r:id="rId2"/>
    <sheet name="Tax_Calc" sheetId="3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5" i="4"/>
  <c r="C12" i="4"/>
  <c r="B12" i="4"/>
  <c r="C11" i="4"/>
  <c r="B11" i="4"/>
  <c r="C10" i="4"/>
  <c r="B10" i="4"/>
  <c r="C9" i="4"/>
  <c r="B9" i="4"/>
  <c r="C7" i="4"/>
  <c r="B7" i="4"/>
  <c r="C8" i="4"/>
  <c r="B8" i="4"/>
  <c r="C6" i="4"/>
  <c r="B6" i="4"/>
  <c r="C3" i="4"/>
  <c r="B3" i="4"/>
  <c r="G29" i="3"/>
  <c r="G30" i="3"/>
  <c r="G31" i="3"/>
  <c r="G28" i="3"/>
  <c r="F29" i="3"/>
  <c r="F30" i="3"/>
  <c r="F31" i="3"/>
  <c r="F28" i="3"/>
  <c r="B29" i="3"/>
  <c r="B30" i="3"/>
  <c r="B31" i="3"/>
  <c r="B32" i="3"/>
  <c r="B33" i="3"/>
  <c r="B28" i="3"/>
  <c r="A29" i="3"/>
  <c r="A30" i="3"/>
  <c r="A31" i="3"/>
  <c r="A32" i="3"/>
  <c r="A33" i="3"/>
  <c r="A28" i="3"/>
  <c r="F12" i="3"/>
  <c r="H12" i="3" s="1"/>
  <c r="F11" i="3"/>
  <c r="H11" i="3" s="1"/>
  <c r="F10" i="3"/>
  <c r="H10" i="3" s="1"/>
  <c r="B16" i="1"/>
  <c r="B26" i="1"/>
  <c r="F13" i="3" s="1"/>
  <c r="H13" i="3" s="1"/>
  <c r="B22" i="1"/>
  <c r="B19" i="3"/>
  <c r="B18" i="3"/>
  <c r="B17" i="3"/>
  <c r="B16" i="3"/>
  <c r="B15" i="3"/>
  <c r="B14" i="3"/>
  <c r="B13" i="3"/>
  <c r="B12" i="3"/>
  <c r="B11" i="3"/>
  <c r="B40" i="1"/>
  <c r="B4" i="3"/>
  <c r="B3" i="3"/>
  <c r="C16" i="3" s="1"/>
  <c r="B2" i="3"/>
  <c r="B1" i="3"/>
  <c r="B35" i="3" l="1"/>
  <c r="B37" i="3"/>
  <c r="C11" i="3"/>
  <c r="C12" i="3"/>
  <c r="C13" i="3"/>
  <c r="C14" i="3"/>
  <c r="C15" i="3"/>
  <c r="C18" i="3"/>
  <c r="C17" i="3"/>
  <c r="B5" i="3"/>
  <c r="B6" i="3" s="1"/>
  <c r="B27" i="1"/>
  <c r="C19" i="3" l="1"/>
  <c r="C2" i="4"/>
  <c r="C5" i="4" s="1"/>
  <c r="B2" i="4"/>
  <c r="B5" i="4" s="1"/>
  <c r="B22" i="3"/>
  <c r="B21" i="3"/>
  <c r="B23" i="3" l="1"/>
  <c r="H28" i="3" s="1"/>
  <c r="C28" i="3" l="1"/>
  <c r="D28" i="3" s="1"/>
  <c r="I28" i="3"/>
  <c r="C29" i="3" l="1"/>
  <c r="C30" i="3" s="1"/>
  <c r="C31" i="3" s="1"/>
  <c r="H29" i="3"/>
  <c r="I29" i="3" s="1"/>
  <c r="D29" i="3" l="1"/>
  <c r="C32" i="3"/>
  <c r="C33" i="3" s="1"/>
  <c r="H30" i="3"/>
  <c r="I30" i="3" s="1"/>
  <c r="D30" i="3"/>
  <c r="D31" i="3"/>
  <c r="H31" i="3" l="1"/>
  <c r="I31" i="3" s="1"/>
  <c r="D32" i="3"/>
  <c r="D33" i="3"/>
  <c r="B36" i="3" l="1"/>
  <c r="B39" i="3" s="1"/>
  <c r="B38" i="3" l="1"/>
  <c r="B40" i="3" s="1"/>
  <c r="B42" i="3" s="1"/>
</calcChain>
</file>

<file path=xl/sharedStrings.xml><?xml version="1.0" encoding="utf-8"?>
<sst xmlns="http://schemas.openxmlformats.org/spreadsheetml/2006/main" count="187" uniqueCount="144">
  <si>
    <t>Tax Payer Details</t>
  </si>
  <si>
    <t>Taxpayer Name</t>
  </si>
  <si>
    <t>Age Category</t>
  </si>
  <si>
    <t>Assessment Year</t>
  </si>
  <si>
    <t>Income Details</t>
  </si>
  <si>
    <t>Income From Salary</t>
  </si>
  <si>
    <t>Income From Other Sources</t>
  </si>
  <si>
    <t>Total Income</t>
  </si>
  <si>
    <t>Tax Regime</t>
  </si>
  <si>
    <t>Choose Regime</t>
  </si>
  <si>
    <t>Deductions (Old Regime)</t>
  </si>
  <si>
    <t>80C (PPF, ELSS, LIC, etc.)</t>
  </si>
  <si>
    <t>80D</t>
  </si>
  <si>
    <t>80D (Medical Insurance)</t>
  </si>
  <si>
    <t>80E (Education Loan Interest)</t>
  </si>
  <si>
    <t>80TTA/80TTB (Savings Interest)</t>
  </si>
  <si>
    <t>HRA Exemption</t>
  </si>
  <si>
    <t>Total Deductions</t>
  </si>
  <si>
    <t>Interest from Savings Account (80TTA)</t>
  </si>
  <si>
    <t>Fixed Deposit Interest</t>
  </si>
  <si>
    <t>Dividend Income</t>
  </si>
  <si>
    <t>Rental Income from Other Property</t>
  </si>
  <si>
    <t>Freelancing/Consulting Income</t>
  </si>
  <si>
    <t>Gifts (Above Rs.50,000 from non-relatives)</t>
  </si>
  <si>
    <t>Winning from Lottery/Games etc.</t>
  </si>
  <si>
    <t>Total Other Income</t>
  </si>
  <si>
    <t>Capitals Gain Income</t>
  </si>
  <si>
    <t>STCG on Equity (u/s 111A)</t>
  </si>
  <si>
    <t>LTCG on Equity (u/s 112A)</t>
  </si>
  <si>
    <t>STCG on Other Assets (property, gold, etc.)</t>
  </si>
  <si>
    <t>LTCG on Other Assets (with indexation)</t>
  </si>
  <si>
    <t>Total Capital Gains</t>
  </si>
  <si>
    <t>Crypto/VDA Income</t>
  </si>
  <si>
    <t>Crypto Trading Profits (Flat 30%)</t>
  </si>
  <si>
    <t>VDA Gifts (Taxable if &gt;Rs.50,000)</t>
  </si>
  <si>
    <t>Total Crypto Income</t>
  </si>
  <si>
    <t>Income Range (₹)</t>
  </si>
  <si>
    <t>0 – 2,50,000</t>
  </si>
  <si>
    <t>Income Type</t>
  </si>
  <si>
    <t>Deduction Section</t>
  </si>
  <si>
    <t>Description</t>
  </si>
  <si>
    <t>80C</t>
  </si>
  <si>
    <t>Health Insurance</t>
  </si>
  <si>
    <t>80TTA</t>
  </si>
  <si>
    <t>80G</t>
  </si>
  <si>
    <t>Donations</t>
  </si>
  <si>
    <t>Standard Deduction</t>
  </si>
  <si>
    <t>Salary/Pension</t>
  </si>
  <si>
    <t>80CCD(2)</t>
  </si>
  <si>
    <t>Slab No.</t>
  </si>
  <si>
    <t>Old Regime Rate</t>
  </si>
  <si>
    <t>New Regime Rate</t>
  </si>
  <si>
    <t>2,50,001 – 5,00,000</t>
  </si>
  <si>
    <t>12,00,001 – 15,00,000</t>
  </si>
  <si>
    <t>15,00,001+</t>
  </si>
  <si>
    <t>Section</t>
  </si>
  <si>
    <t>Max Limit</t>
  </si>
  <si>
    <t>LIC, ELSS, PPF, etc.</t>
  </si>
  <si>
    <t>₹25,000/₹50k</t>
  </si>
  <si>
    <t>Employer’s NPS Contribution</t>
  </si>
  <si>
    <t>Up to 10%</t>
  </si>
  <si>
    <t>80E</t>
  </si>
  <si>
    <t>Education Loan Interest</t>
  </si>
  <si>
    <t>NA</t>
  </si>
  <si>
    <t>Savings Interest</t>
  </si>
  <si>
    <t>80TTB</t>
  </si>
  <si>
    <t>Sr. Citizen Interest</t>
  </si>
  <si>
    <t>Variable</t>
  </si>
  <si>
    <t>Rent Paid – 10% of salary</t>
  </si>
  <si>
    <t>87A Rebate</t>
  </si>
  <si>
    <t>Rebate for income ≤ ₹7L</t>
  </si>
  <si>
    <t>Allowed in New Tax Regime?</t>
  </si>
  <si>
    <t>Tax Rate</t>
  </si>
  <si>
    <t>Regime</t>
  </si>
  <si>
    <t>Crypto Gains</t>
  </si>
  <si>
    <t>30% + 4% cess</t>
  </si>
  <si>
    <t>Both</t>
  </si>
  <si>
    <t>Lottery Winnings</t>
  </si>
  <si>
    <t>Short-Term Capital Gains (Sec 111A)</t>
  </si>
  <si>
    <t>Long-Term Capital Gains</t>
  </si>
  <si>
    <t>10% above ₹1 lakh</t>
  </si>
  <si>
    <t>Section 3: Special Income Tax Rules Table</t>
  </si>
  <si>
    <t>Section 2: Deductions &amp; Exemptions Table</t>
  </si>
  <si>
    <t>Section 1: Slab Rates Table — For Both Regimes</t>
  </si>
  <si>
    <t>YES</t>
  </si>
  <si>
    <t>NO</t>
  </si>
  <si>
    <t>Name</t>
  </si>
  <si>
    <t>Selected Regime</t>
  </si>
  <si>
    <t>Gross Salary Income</t>
  </si>
  <si>
    <t>Gross Total Income</t>
  </si>
  <si>
    <t>Deduction Type</t>
  </si>
  <si>
    <t>Value</t>
  </si>
  <si>
    <t>Eligible in Regime?</t>
  </si>
  <si>
    <t>80TTA/80TTB</t>
  </si>
  <si>
    <t>80G (Donations)</t>
  </si>
  <si>
    <t>80CCD (2) (Employer's contribution to NPS)</t>
  </si>
  <si>
    <t>Total Eligible Deduction</t>
  </si>
  <si>
    <t>Income Taxed at Special Rates</t>
  </si>
  <si>
    <t>Income Taxed Under Slab</t>
  </si>
  <si>
    <t>Income Category</t>
  </si>
  <si>
    <t>Tax Rate (%)</t>
  </si>
  <si>
    <t>STCG Income</t>
  </si>
  <si>
    <t>LTCG Income</t>
  </si>
  <si>
    <t>Crypto Income</t>
  </si>
  <si>
    <t>Total Income Taxed Under Slab</t>
  </si>
  <si>
    <t>Taxable Income</t>
  </si>
  <si>
    <t>Harsh</t>
  </si>
  <si>
    <t>&lt;60</t>
  </si>
  <si>
    <t>2024-25</t>
  </si>
  <si>
    <t>Slab</t>
  </si>
  <si>
    <t>Rate</t>
  </si>
  <si>
    <t>Tax</t>
  </si>
  <si>
    <t>87A Rebate (Applied after tax calculation)</t>
  </si>
  <si>
    <t>Total Tax From Slab Income</t>
  </si>
  <si>
    <t>Total Tax From Special Income</t>
  </si>
  <si>
    <t>Old</t>
  </si>
  <si>
    <t>Total Tax Before Rebate &amp; Cess</t>
  </si>
  <si>
    <t>87A Rebate (If Eligible)</t>
  </si>
  <si>
    <t>Health &amp; Education cess (4%)</t>
  </si>
  <si>
    <t>Total Tax Payable</t>
  </si>
  <si>
    <t>OLD REGIME RATES</t>
  </si>
  <si>
    <t>5,00,001 – 10,00,000</t>
  </si>
  <si>
    <t>10,00,001+</t>
  </si>
  <si>
    <t>NEW REGIME RATES</t>
  </si>
  <si>
    <t>0 – 3,00,000</t>
  </si>
  <si>
    <t>3,00,001 – 6,00,000</t>
  </si>
  <si>
    <t>6,00,001 – 9,00,000</t>
  </si>
  <si>
    <t>9,00,001 – 12,00,000</t>
  </si>
  <si>
    <t>Tax on Slab Income Calculation</t>
  </si>
  <si>
    <t>Under New Regime</t>
  </si>
  <si>
    <t>Under Old Regime</t>
  </si>
  <si>
    <t>Yes</t>
  </si>
  <si>
    <t>Particulars</t>
  </si>
  <si>
    <t>Old Regime</t>
  </si>
  <si>
    <t>New Regime</t>
  </si>
  <si>
    <t>Tax from Slab Income</t>
  </si>
  <si>
    <t>Tax from Special Income</t>
  </si>
  <si>
    <t>Total Tax Before Rebate/Cess</t>
  </si>
  <si>
    <t>Health &amp; Education Cess (4%)</t>
  </si>
  <si>
    <t>Taxable Income Under Slab</t>
  </si>
  <si>
    <t>Taxable Income at Special Rates</t>
  </si>
  <si>
    <t>Your Chosen Regime</t>
  </si>
  <si>
    <t>Savings (Under New Regime)</t>
  </si>
  <si>
    <t>Better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</si>
</sst>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42" formatCode="_ &quot;₹&quot;\ * #,##0_ ;_ &quot;₹&quot;\ * \-#,##0_ ;_ &quot;₹&quot;\ * &quot;-&quot;_ ;_ @_ "/>
    <numFmt numFmtId="44" formatCode="_ &quot;₹&quot;\ * #,##0.00_ ;_ &quot;₹&quot;\ * \-#,##0.00_ ;_ &quot;₹&quot;\ * &quot;-&quot;??_ ;_ @_ "/>
    <numFmt numFmtId="164" formatCode="_ [$₹-4009]\ * #,##0_ ;_ [$₹-4009]\ * \-#,##0_ ;_ [$₹-4009]\ * &quot;-&quot;_ ;_ @_ "/>
    <numFmt numFmtId="165" formatCode="_ &quot;₹&quot;\ * #,##0_ ;_ &quot;₹&quot;\ * \-#,##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3" borderId="1" applyNumberFormat="0" applyAlignment="0" applyProtection="0"/>
    <xf numFmtId="0" fontId="3" fillId="0" borderId="2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1" applyNumberFormat="1" applyFont="1" applyAlignment="1">
      <alignment horizontal="center"/>
    </xf>
    <xf numFmtId="42" fontId="0" fillId="0" borderId="0" xfId="1" applyNumberFormat="1" applyFont="1" applyAlignment="1">
      <alignment horizont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6" fontId="0" fillId="0" borderId="0" xfId="0" applyNumberFormat="1" applyAlignment="1">
      <alignment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 vertical="center" wrapText="1"/>
    </xf>
    <xf numFmtId="165" fontId="0" fillId="0" borderId="0" xfId="1" applyNumberFormat="1" applyFont="1"/>
    <xf numFmtId="49" fontId="3" fillId="0" borderId="0" xfId="0" applyNumberFormat="1" applyFont="1"/>
    <xf numFmtId="0" fontId="2" fillId="2" borderId="0" xfId="2" applyFont="1" applyAlignment="1">
      <alignment horizontal="center" vertical="center"/>
    </xf>
    <xf numFmtId="0" fontId="1" fillId="5" borderId="0" xfId="6" applyAlignment="1">
      <alignment vertical="center"/>
    </xf>
    <xf numFmtId="165" fontId="1" fillId="5" borderId="0" xfId="6" applyNumberFormat="1" applyAlignment="1">
      <alignment vertical="center"/>
    </xf>
    <xf numFmtId="165" fontId="1" fillId="5" borderId="0" xfId="6" applyNumberFormat="1"/>
    <xf numFmtId="0" fontId="1" fillId="4" borderId="0" xfId="5" applyAlignment="1">
      <alignment horizontal="right" vertical="center"/>
    </xf>
    <xf numFmtId="165" fontId="1" fillId="4" borderId="0" xfId="5" applyNumberFormat="1" applyAlignment="1">
      <alignment vertical="center"/>
    </xf>
    <xf numFmtId="0" fontId="3" fillId="5" borderId="0" xfId="6" applyFont="1" applyAlignment="1">
      <alignment vertical="center"/>
    </xf>
    <xf numFmtId="0" fontId="3" fillId="5" borderId="2" xfId="4" applyFill="1" applyAlignment="1">
      <alignment vertical="center"/>
    </xf>
    <xf numFmtId="165" fontId="3" fillId="5" borderId="2" xfId="4" applyNumberFormat="1" applyFill="1"/>
    <xf numFmtId="0" fontId="6" fillId="3" borderId="1" xfId="3"/>
    <xf numFmtId="0" fontId="2" fillId="2" borderId="0" xfId="2" applyFont="1" applyAlignment="1">
      <alignment horizontal="center"/>
    </xf>
    <xf numFmtId="0" fontId="3" fillId="0" borderId="0" xfId="0" applyFont="1" applyAlignment="1">
      <alignment horizontal="center"/>
    </xf>
  </cellXfs>
  <cellStyles count="7">
    <cellStyle name="20% - Accent1" xfId="5" builtinId="30"/>
    <cellStyle name="40% - Accent1" xfId="6" builtinId="31"/>
    <cellStyle name="Accent1" xfId="2" builtinId="29"/>
    <cellStyle name="Calculation" xfId="3" builtinId="22"/>
    <cellStyle name="Currency" xfId="1" builtinId="4"/>
    <cellStyle name="Normal" xfId="0" builtinId="0"/>
    <cellStyle name="Total" xfId="4" builtinId="25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cap="all" normalizeH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Which Tax Regime Saves More?</a:t>
            </a:r>
            <a:endParaRPr lang="en-US" sz="14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624282660342288"/>
          <c:y val="2.2922636103151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Comparison!$A$12</c:f>
              <c:strCache>
                <c:ptCount val="1"/>
                <c:pt idx="0">
                  <c:v>Total Tax Payable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7.64087870105061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61-4B26-AF77-487D7E64D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Comparison!$B$1:$C$1</c:f>
              <c:strCache>
                <c:ptCount val="2"/>
                <c:pt idx="0">
                  <c:v>Old Regime</c:v>
                </c:pt>
                <c:pt idx="1">
                  <c:v>New Regime</c:v>
                </c:pt>
              </c:strCache>
            </c:strRef>
          </c:cat>
          <c:val>
            <c:numRef>
              <c:f>Comparison!$B$12:$C$12</c:f>
              <c:numCache>
                <c:formatCode>_ "₹"\ * #,##0_ ;_ "₹"\ * \-#,##0_ ;_ "₹"\ * "-"??_ ;_ @_ </c:formatCode>
                <c:ptCount val="2"/>
                <c:pt idx="0">
                  <c:v>169468</c:v>
                </c:pt>
                <c:pt idx="1">
                  <c:v>189228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B26-AF77-487D7E64DC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9089392"/>
        <c:axId val="579098032"/>
      </c:barChart>
      <c:catAx>
        <c:axId val="5790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8032"/>
        <c:crosses val="autoZero"/>
        <c:auto val="1"/>
        <c:lblAlgn val="ctr"/>
        <c:lblOffset val="100"/>
        <c:noMultiLvlLbl val="0"/>
      </c:catAx>
      <c:valAx>
        <c:axId val="579098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baseline="0"/>
                  <a:t>Amount (₹)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crossAx val="5790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1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1" i="1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TAX DISTRIBUTION UNDER OLD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1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C9-4872-983C-74CB3F1BBE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F0-4DE1-80BA-675B7DB59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C9-4872-983C-74CB3F1BBE6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(Comparison!$A$7:$A$8,Comparison!$A$11)</c:f>
              <c:strCache>
                <c:ptCount val="3"/>
                <c:pt idx="0">
                  <c:v>Tax from Slab Income</c:v>
                </c:pt>
                <c:pt idx="1">
                  <c:v>Tax from Special Income</c:v>
                </c:pt>
                <c:pt idx="2">
                  <c:v>Health &amp; Education Cess (4%)</c:v>
                </c:pt>
              </c:strCache>
            </c:strRef>
          </c:cat>
          <c:val>
            <c:numRef>
              <c:f>(Comparison!$B$7:$B$8,Comparison!$B$11)</c:f>
              <c:numCache>
                <c:formatCode>_ "₹"\ * #,##0_ ;_ "₹"\ * \-#,##0_ ;_ "₹"\ * "-"??_ ;_ @_ </c:formatCode>
                <c:ptCount val="3"/>
                <c:pt idx="0">
                  <c:v>158150</c:v>
                </c:pt>
                <c:pt idx="1">
                  <c:v>4800</c:v>
                </c:pt>
                <c:pt idx="2">
                  <c:v>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0-4DE1-80BA-675B7DB593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1" i="1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400" b="1" i="1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TAX DISTRIBUTION UNDER NEW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1" i="1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6B-4C9E-BD73-417DD32510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6B-4C9E-BD73-417DD32510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6B-4C9E-BD73-417DD32510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(Comparison!$A$7,Comparison!$A$8,Comparison!$A$11)</c:f>
              <c:strCache>
                <c:ptCount val="3"/>
                <c:pt idx="0">
                  <c:v>Tax from Slab Income</c:v>
                </c:pt>
                <c:pt idx="1">
                  <c:v>Tax from Special Income</c:v>
                </c:pt>
                <c:pt idx="2">
                  <c:v>Health &amp; Education Cess (4%)</c:v>
                </c:pt>
              </c:strCache>
            </c:strRef>
          </c:cat>
          <c:val>
            <c:numRef>
              <c:f>(Comparison!$C$7,Comparison!$C$8,Comparison!$C$11)</c:f>
              <c:numCache>
                <c:formatCode>_ "₹"\ * #,##0_ ;_ "₹"\ * \-#,##0_ ;_ "₹"\ * "-"??_ ;_ @_ </c:formatCode>
                <c:ptCount val="3"/>
                <c:pt idx="0">
                  <c:v>177150</c:v>
                </c:pt>
                <c:pt idx="1">
                  <c:v>4800</c:v>
                </c:pt>
                <c:pt idx="2">
                  <c:v>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B-4079-864A-DC95788A2C9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3174</xdr:rowOff>
    </xdr:from>
    <xdr:to>
      <xdr:col>14</xdr:col>
      <xdr:colOff>596899</xdr:colOff>
      <xdr:row>17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882FB-E61B-2BA7-6E9B-EA9CE0445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149225</xdr:rowOff>
    </xdr:from>
    <xdr:to>
      <xdr:col>4</xdr:col>
      <xdr:colOff>273050</xdr:colOff>
      <xdr:row>35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DF61D-FF28-465A-558E-F2DE3A0D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21</xdr:row>
      <xdr:rowOff>3175</xdr:rowOff>
    </xdr:from>
    <xdr:to>
      <xdr:col>12</xdr:col>
      <xdr:colOff>295275</xdr:colOff>
      <xdr:row>35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9F49C3-23E5-08EF-4804-045376F6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7F348-6E7F-45FD-AC35-3B24315DB32F}" name="Table1" displayName="Table1" ref="A3:C7" totalsRowShown="0" headerRowDxfId="21">
  <autoFilter ref="A3:C7" xr:uid="{7CE7F348-6E7F-45FD-AC35-3B24315DB32F}"/>
  <tableColumns count="3">
    <tableColumn id="1" xr3:uid="{1103A6F0-3B51-4BC3-B850-9549AA403D01}" name="Slab No." dataDxfId="20"/>
    <tableColumn id="2" xr3:uid="{41D38CB2-DF9A-4BA2-B735-10A1F03A7AD8}" name="Income Range (₹)" dataDxfId="19"/>
    <tableColumn id="3" xr3:uid="{F4A83057-327C-44C0-9960-50CDDB53403B}" name="Old Regime Rat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2E010-04CB-438F-8CC4-A6F115B18BFD}" name="Table2" displayName="Table2" ref="A18:D28" totalsRowShown="0" headerRowDxfId="17" dataDxfId="16">
  <autoFilter ref="A18:D28" xr:uid="{78A2E010-04CB-438F-8CC4-A6F115B18BFD}"/>
  <tableColumns count="4">
    <tableColumn id="1" xr3:uid="{CC37D18D-F199-450C-ACBB-77E2E194F112}" name="Section" dataDxfId="15"/>
    <tableColumn id="2" xr3:uid="{3418EEF6-232A-458F-A0B6-F97F645CECCE}" name="Description" dataDxfId="14"/>
    <tableColumn id="3" xr3:uid="{209DFBB8-CA49-4955-B3ED-1D9CC58BD4B7}" name="Max Limit" dataDxfId="13"/>
    <tableColumn id="4" xr3:uid="{F3A67C71-9642-4CEB-AAA7-34E8E5593459}" name="Allowed in New Tax Regime?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9DC3B4-EC9F-49D9-BBBE-CFD2BB491EA2}" name="Table3" displayName="Table3" ref="A31:C35" totalsRowShown="0" headerRowDxfId="11" dataDxfId="10">
  <autoFilter ref="A31:C35" xr:uid="{A79DC3B4-EC9F-49D9-BBBE-CFD2BB491EA2}"/>
  <tableColumns count="3">
    <tableColumn id="1" xr3:uid="{BAEB23E9-1889-4B72-A93A-ACDA0E68CC04}" name="Income Type" dataDxfId="9"/>
    <tableColumn id="2" xr3:uid="{30C85D5B-82E9-4677-9276-3C2F90284A4D}" name="Tax Rate" dataDxfId="8"/>
    <tableColumn id="3" xr3:uid="{CCF35086-C9BA-47E3-A4B9-05F7BD85C699}" name="Regim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4CE54-719C-49F4-B68F-E99C5D7C3C87}" name="Table4" displayName="Table4" ref="A9:C15" totalsRowShown="0">
  <autoFilter ref="A9:C15" xr:uid="{F0A4CE54-719C-49F4-B68F-E99C5D7C3C87}"/>
  <tableColumns count="3">
    <tableColumn id="1" xr3:uid="{788ACEEF-D102-41E6-A900-D764A82DE224}" name="Slab No." dataDxfId="6"/>
    <tableColumn id="2" xr3:uid="{F2EFD673-A8D4-43FF-BED4-0BB00B67E5E2}" name="Income Range (₹)" dataDxfId="5"/>
    <tableColumn id="3" xr3:uid="{537B45AE-F761-4B78-94DD-587D56D5A748}" name="New Regime R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6FA8-84A4-4664-B509-99EA238F90F0}">
  <dimension ref="A1:B40"/>
  <sheetViews>
    <sheetView tabSelected="1" zoomScaleNormal="100" workbookViewId="0">
      <selection activeCell="B30" sqref="B30"/>
    </sheetView>
  </sheetViews>
  <sheetFormatPr defaultRowHeight="14.5" x14ac:dyDescent="0.35"/>
  <cols>
    <col min="1" max="1" width="45.36328125" customWidth="1"/>
    <col min="2" max="2" width="26.36328125" style="4" customWidth="1"/>
  </cols>
  <sheetData>
    <row r="1" spans="1:2" x14ac:dyDescent="0.35">
      <c r="A1" s="1" t="s">
        <v>0</v>
      </c>
    </row>
    <row r="2" spans="1:2" x14ac:dyDescent="0.35">
      <c r="A2" t="s">
        <v>1</v>
      </c>
      <c r="B2" s="16" t="s">
        <v>106</v>
      </c>
    </row>
    <row r="3" spans="1:2" x14ac:dyDescent="0.35">
      <c r="A3" t="s">
        <v>2</v>
      </c>
      <c r="B3" s="4" t="s">
        <v>107</v>
      </c>
    </row>
    <row r="4" spans="1:2" x14ac:dyDescent="0.35">
      <c r="A4" t="s">
        <v>3</v>
      </c>
      <c r="B4" s="4" t="s">
        <v>108</v>
      </c>
    </row>
    <row r="6" spans="1:2" x14ac:dyDescent="0.35">
      <c r="A6" s="1" t="s">
        <v>4</v>
      </c>
    </row>
    <row r="7" spans="1:2" x14ac:dyDescent="0.35">
      <c r="A7" t="s">
        <v>5</v>
      </c>
      <c r="B7" s="5">
        <v>1600000</v>
      </c>
    </row>
    <row r="8" spans="1:2" x14ac:dyDescent="0.35">
      <c r="A8" s="1" t="s">
        <v>6</v>
      </c>
      <c r="B8" s="4" t="s">
        <v>131</v>
      </c>
    </row>
    <row r="9" spans="1:2" x14ac:dyDescent="0.35">
      <c r="A9" s="2" t="s">
        <v>18</v>
      </c>
      <c r="B9" s="5">
        <v>5000</v>
      </c>
    </row>
    <row r="10" spans="1:2" x14ac:dyDescent="0.35">
      <c r="A10" s="2" t="s">
        <v>19</v>
      </c>
      <c r="B10" s="5">
        <v>15000</v>
      </c>
    </row>
    <row r="11" spans="1:2" x14ac:dyDescent="0.35">
      <c r="A11" s="2" t="s">
        <v>20</v>
      </c>
      <c r="B11" s="5">
        <v>500</v>
      </c>
    </row>
    <row r="12" spans="1:2" x14ac:dyDescent="0.35">
      <c r="A12" s="2" t="s">
        <v>21</v>
      </c>
      <c r="B12" s="7">
        <v>0</v>
      </c>
    </row>
    <row r="13" spans="1:2" x14ac:dyDescent="0.35">
      <c r="A13" s="2" t="s">
        <v>22</v>
      </c>
      <c r="B13" s="5">
        <v>20000</v>
      </c>
    </row>
    <row r="14" spans="1:2" x14ac:dyDescent="0.35">
      <c r="A14" s="2" t="s">
        <v>23</v>
      </c>
      <c r="B14" s="5">
        <v>0</v>
      </c>
    </row>
    <row r="15" spans="1:2" x14ac:dyDescent="0.35">
      <c r="A15" s="2" t="s">
        <v>24</v>
      </c>
      <c r="B15" s="5">
        <v>0</v>
      </c>
    </row>
    <row r="16" spans="1:2" x14ac:dyDescent="0.35">
      <c r="A16" s="3" t="s">
        <v>25</v>
      </c>
      <c r="B16" s="5">
        <f>SUM(B9:B15)</f>
        <v>40500</v>
      </c>
    </row>
    <row r="17" spans="1:2" x14ac:dyDescent="0.35">
      <c r="A17" s="1" t="s">
        <v>26</v>
      </c>
      <c r="B17" s="4" t="s">
        <v>131</v>
      </c>
    </row>
    <row r="18" spans="1:2" x14ac:dyDescent="0.35">
      <c r="A18" s="2" t="s">
        <v>27</v>
      </c>
      <c r="B18" s="5">
        <v>30000</v>
      </c>
    </row>
    <row r="19" spans="1:2" x14ac:dyDescent="0.35">
      <c r="A19" s="2" t="s">
        <v>28</v>
      </c>
      <c r="B19" s="5">
        <v>0</v>
      </c>
    </row>
    <row r="20" spans="1:2" x14ac:dyDescent="0.35">
      <c r="A20" s="2" t="s">
        <v>29</v>
      </c>
      <c r="B20" s="5">
        <v>0</v>
      </c>
    </row>
    <row r="21" spans="1:2" x14ac:dyDescent="0.35">
      <c r="A21" s="2" t="s">
        <v>30</v>
      </c>
      <c r="B21" s="5">
        <v>0</v>
      </c>
    </row>
    <row r="22" spans="1:2" x14ac:dyDescent="0.35">
      <c r="A22" s="3" t="s">
        <v>31</v>
      </c>
      <c r="B22" s="5">
        <f>SUM(B18:B21)</f>
        <v>30000</v>
      </c>
    </row>
    <row r="23" spans="1:2" x14ac:dyDescent="0.35">
      <c r="A23" s="1" t="s">
        <v>32</v>
      </c>
      <c r="B23" s="4" t="s">
        <v>131</v>
      </c>
    </row>
    <row r="24" spans="1:2" x14ac:dyDescent="0.35">
      <c r="A24" s="2" t="s">
        <v>33</v>
      </c>
      <c r="B24" s="5">
        <v>1000</v>
      </c>
    </row>
    <row r="25" spans="1:2" x14ac:dyDescent="0.35">
      <c r="A25" s="2" t="s">
        <v>34</v>
      </c>
      <c r="B25" s="5">
        <v>0</v>
      </c>
    </row>
    <row r="26" spans="1:2" x14ac:dyDescent="0.35">
      <c r="A26" s="3" t="s">
        <v>35</v>
      </c>
      <c r="B26" s="5">
        <f>SUM(B24:B25)</f>
        <v>1000</v>
      </c>
    </row>
    <row r="27" spans="1:2" x14ac:dyDescent="0.35">
      <c r="A27" s="1" t="s">
        <v>7</v>
      </c>
      <c r="B27" s="5">
        <f>B7+B16+B22+B26</f>
        <v>1671500</v>
      </c>
    </row>
    <row r="29" spans="1:2" x14ac:dyDescent="0.35">
      <c r="A29" s="1" t="s">
        <v>8</v>
      </c>
    </row>
    <row r="30" spans="1:2" x14ac:dyDescent="0.35">
      <c r="A30" t="s">
        <v>9</v>
      </c>
      <c r="B30" s="6" t="s">
        <v>115</v>
      </c>
    </row>
    <row r="32" spans="1:2" x14ac:dyDescent="0.35">
      <c r="A32" s="1" t="s">
        <v>10</v>
      </c>
    </row>
    <row r="33" spans="1:2" x14ac:dyDescent="0.35">
      <c r="A33" t="s">
        <v>11</v>
      </c>
      <c r="B33" s="5">
        <v>50000</v>
      </c>
    </row>
    <row r="34" spans="1:2" x14ac:dyDescent="0.35">
      <c r="A34" t="s">
        <v>13</v>
      </c>
      <c r="B34" s="5">
        <v>25000</v>
      </c>
    </row>
    <row r="35" spans="1:2" x14ac:dyDescent="0.35">
      <c r="A35" t="s">
        <v>95</v>
      </c>
      <c r="B35" s="5">
        <v>0</v>
      </c>
    </row>
    <row r="36" spans="1:2" x14ac:dyDescent="0.35">
      <c r="A36" t="s">
        <v>14</v>
      </c>
      <c r="B36" s="5">
        <v>0</v>
      </c>
    </row>
    <row r="37" spans="1:2" x14ac:dyDescent="0.35">
      <c r="A37" t="s">
        <v>15</v>
      </c>
      <c r="B37" s="5">
        <v>5000</v>
      </c>
    </row>
    <row r="38" spans="1:2" x14ac:dyDescent="0.35">
      <c r="A38" t="s">
        <v>16</v>
      </c>
      <c r="B38" s="5">
        <v>150000</v>
      </c>
    </row>
    <row r="39" spans="1:2" x14ac:dyDescent="0.35">
      <c r="A39" t="s">
        <v>94</v>
      </c>
      <c r="B39" s="5">
        <v>0</v>
      </c>
    </row>
    <row r="40" spans="1:2" x14ac:dyDescent="0.35">
      <c r="A40" s="1" t="s">
        <v>17</v>
      </c>
      <c r="B40" s="18">
        <f>SUM(B33:B39)</f>
        <v>230000</v>
      </c>
    </row>
  </sheetData>
  <dataValidations count="3">
    <dataValidation type="list" allowBlank="1" showErrorMessage="1" sqref="B3" xr:uid="{39F12095-53E3-4978-935F-21B3510B2C8C}">
      <formula1>"&lt;60, 60-79, 80+"</formula1>
    </dataValidation>
    <dataValidation type="list" allowBlank="1" showInputMessage="1" showErrorMessage="1" sqref="B30" xr:uid="{5D0067F6-C79B-4D1F-9AB7-59878EB980B5}">
      <formula1>"Old, New"</formula1>
    </dataValidation>
    <dataValidation type="list" allowBlank="1" showInputMessage="1" showErrorMessage="1" sqref="B8 B17 B23" xr:uid="{863C74C2-72AE-454C-8910-087DF1D853D4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C830-3DF4-4AC0-8B50-753DE8241F0E}">
  <dimension ref="A1:I38"/>
  <sheetViews>
    <sheetView workbookViewId="0">
      <selection activeCell="E13" sqref="E13"/>
    </sheetView>
  </sheetViews>
  <sheetFormatPr defaultRowHeight="14.5" x14ac:dyDescent="0.35"/>
  <cols>
    <col min="1" max="1" width="31.08984375" bestFit="1" customWidth="1"/>
    <col min="2" max="2" width="24.90625" bestFit="1" customWidth="1"/>
    <col min="3" max="3" width="28.90625" bestFit="1" customWidth="1"/>
    <col min="4" max="4" width="26.54296875" customWidth="1"/>
    <col min="5" max="5" width="11.08984375" bestFit="1" customWidth="1"/>
    <col min="7" max="7" width="31.90625" bestFit="1" customWidth="1"/>
    <col min="8" max="8" width="20.54296875" bestFit="1" customWidth="1"/>
    <col min="9" max="9" width="20.54296875" customWidth="1"/>
    <col min="10" max="10" width="34.6328125" bestFit="1" customWidth="1"/>
    <col min="11" max="11" width="21.6328125" bestFit="1" customWidth="1"/>
    <col min="12" max="12" width="28.90625" bestFit="1" customWidth="1"/>
  </cols>
  <sheetData>
    <row r="1" spans="1:9" x14ac:dyDescent="0.35">
      <c r="A1" s="33" t="s">
        <v>83</v>
      </c>
      <c r="B1" s="33"/>
      <c r="C1" s="33"/>
      <c r="E1" s="1"/>
    </row>
    <row r="2" spans="1:9" x14ac:dyDescent="0.35">
      <c r="A2" s="33" t="s">
        <v>120</v>
      </c>
      <c r="B2" s="33"/>
      <c r="C2" s="33"/>
      <c r="E2" s="1"/>
    </row>
    <row r="3" spans="1:9" x14ac:dyDescent="0.35">
      <c r="A3" s="12" t="s">
        <v>49</v>
      </c>
      <c r="B3" s="12" t="s">
        <v>36</v>
      </c>
      <c r="C3" s="12" t="s">
        <v>50</v>
      </c>
      <c r="D3" s="11"/>
      <c r="E3" s="13"/>
      <c r="I3" s="11"/>
    </row>
    <row r="4" spans="1:9" x14ac:dyDescent="0.35">
      <c r="A4" s="20">
        <v>1</v>
      </c>
      <c r="B4" s="8" t="s">
        <v>37</v>
      </c>
      <c r="C4" s="9">
        <v>0</v>
      </c>
      <c r="D4" s="11"/>
      <c r="E4" s="11"/>
      <c r="I4" s="10"/>
    </row>
    <row r="5" spans="1:9" x14ac:dyDescent="0.35">
      <c r="A5" s="20">
        <v>2</v>
      </c>
      <c r="B5" s="8" t="s">
        <v>52</v>
      </c>
      <c r="C5" s="9">
        <v>0.05</v>
      </c>
      <c r="D5" s="11"/>
      <c r="E5" s="11"/>
      <c r="I5" s="10"/>
    </row>
    <row r="6" spans="1:9" x14ac:dyDescent="0.35">
      <c r="A6" s="20">
        <v>3</v>
      </c>
      <c r="B6" s="8" t="s">
        <v>121</v>
      </c>
      <c r="C6" s="9">
        <v>0.2</v>
      </c>
      <c r="D6" s="11"/>
      <c r="E6" s="11"/>
      <c r="I6" s="11"/>
    </row>
    <row r="7" spans="1:9" x14ac:dyDescent="0.35">
      <c r="A7" s="20">
        <v>4</v>
      </c>
      <c r="B7" s="8" t="s">
        <v>122</v>
      </c>
      <c r="C7" s="9">
        <v>0.3</v>
      </c>
      <c r="D7" s="11"/>
      <c r="E7" s="11"/>
      <c r="I7" s="10"/>
    </row>
    <row r="8" spans="1:9" x14ac:dyDescent="0.35">
      <c r="A8" s="33" t="s">
        <v>123</v>
      </c>
      <c r="B8" s="33"/>
      <c r="C8" s="33"/>
      <c r="D8" s="11"/>
      <c r="E8" s="11"/>
      <c r="I8" s="10"/>
    </row>
    <row r="9" spans="1:9" x14ac:dyDescent="0.35">
      <c r="A9" s="20" t="s">
        <v>49</v>
      </c>
      <c r="B9" s="8" t="s">
        <v>36</v>
      </c>
      <c r="C9" s="9" t="s">
        <v>51</v>
      </c>
      <c r="D9" s="11"/>
      <c r="E9" s="11"/>
      <c r="I9" s="10"/>
    </row>
    <row r="10" spans="1:9" x14ac:dyDescent="0.35">
      <c r="A10" s="20">
        <v>1</v>
      </c>
      <c r="B10" s="8" t="s">
        <v>124</v>
      </c>
      <c r="C10" s="9">
        <v>0</v>
      </c>
      <c r="D10" s="11"/>
      <c r="E10" s="11"/>
      <c r="I10" s="10"/>
    </row>
    <row r="11" spans="1:9" x14ac:dyDescent="0.35">
      <c r="A11" s="20">
        <v>2</v>
      </c>
      <c r="B11" s="8" t="s">
        <v>125</v>
      </c>
      <c r="C11" s="9">
        <v>0.05</v>
      </c>
      <c r="D11" s="11"/>
      <c r="E11" s="11"/>
      <c r="I11" s="10"/>
    </row>
    <row r="12" spans="1:9" x14ac:dyDescent="0.35">
      <c r="A12" s="20">
        <v>3</v>
      </c>
      <c r="B12" s="8" t="s">
        <v>126</v>
      </c>
      <c r="C12" s="9">
        <v>0.1</v>
      </c>
      <c r="D12" s="11"/>
      <c r="E12" s="11"/>
      <c r="I12" s="10"/>
    </row>
    <row r="13" spans="1:9" x14ac:dyDescent="0.35">
      <c r="A13" s="20">
        <v>4</v>
      </c>
      <c r="B13" s="8" t="s">
        <v>127</v>
      </c>
      <c r="C13" s="9">
        <v>0.15</v>
      </c>
      <c r="D13" s="11"/>
      <c r="E13" s="11"/>
      <c r="I13" s="10"/>
    </row>
    <row r="14" spans="1:9" x14ac:dyDescent="0.35">
      <c r="A14" s="20">
        <v>5</v>
      </c>
      <c r="B14" s="8" t="s">
        <v>53</v>
      </c>
      <c r="C14" s="9">
        <v>0.2</v>
      </c>
      <c r="D14" s="11"/>
      <c r="E14" s="11"/>
      <c r="I14" s="10"/>
    </row>
    <row r="15" spans="1:9" x14ac:dyDescent="0.35">
      <c r="A15" s="20">
        <v>6</v>
      </c>
      <c r="B15" s="8" t="s">
        <v>54</v>
      </c>
      <c r="C15" s="9">
        <v>0.3</v>
      </c>
      <c r="D15" s="11"/>
      <c r="E15" s="11"/>
      <c r="I15" s="10"/>
    </row>
    <row r="16" spans="1:9" x14ac:dyDescent="0.35">
      <c r="A16" s="20"/>
      <c r="B16" s="8"/>
      <c r="C16" s="9"/>
      <c r="D16" s="11"/>
      <c r="E16" s="11"/>
      <c r="I16" s="10"/>
    </row>
    <row r="17" spans="1:4" x14ac:dyDescent="0.35">
      <c r="A17" s="33" t="s">
        <v>82</v>
      </c>
      <c r="B17" s="33"/>
      <c r="C17" s="33"/>
      <c r="D17" s="33"/>
    </row>
    <row r="18" spans="1:4" x14ac:dyDescent="0.35">
      <c r="A18" s="13" t="s">
        <v>55</v>
      </c>
      <c r="B18" s="13" t="s">
        <v>40</v>
      </c>
      <c r="C18" s="13" t="s">
        <v>56</v>
      </c>
      <c r="D18" s="13" t="s">
        <v>71</v>
      </c>
    </row>
    <row r="19" spans="1:4" x14ac:dyDescent="0.35">
      <c r="A19" s="10" t="s">
        <v>41</v>
      </c>
      <c r="B19" s="10" t="s">
        <v>57</v>
      </c>
      <c r="C19" s="15">
        <v>150000</v>
      </c>
      <c r="D19" s="10" t="s">
        <v>85</v>
      </c>
    </row>
    <row r="20" spans="1:4" x14ac:dyDescent="0.35">
      <c r="A20" s="10" t="s">
        <v>12</v>
      </c>
      <c r="B20" s="10" t="s">
        <v>42</v>
      </c>
      <c r="C20" s="10" t="s">
        <v>58</v>
      </c>
      <c r="D20" s="10" t="s">
        <v>85</v>
      </c>
    </row>
    <row r="21" spans="1:4" x14ac:dyDescent="0.35">
      <c r="A21" s="10" t="s">
        <v>48</v>
      </c>
      <c r="B21" s="10" t="s">
        <v>59</v>
      </c>
      <c r="C21" s="10" t="s">
        <v>60</v>
      </c>
      <c r="D21" s="10" t="s">
        <v>84</v>
      </c>
    </row>
    <row r="22" spans="1:4" x14ac:dyDescent="0.35">
      <c r="A22" s="10" t="s">
        <v>46</v>
      </c>
      <c r="B22" s="10" t="s">
        <v>47</v>
      </c>
      <c r="C22" s="15">
        <v>50000</v>
      </c>
      <c r="D22" s="10" t="s">
        <v>84</v>
      </c>
    </row>
    <row r="23" spans="1:4" x14ac:dyDescent="0.35">
      <c r="A23" s="10" t="s">
        <v>61</v>
      </c>
      <c r="B23" s="10" t="s">
        <v>62</v>
      </c>
      <c r="C23" s="10" t="s">
        <v>63</v>
      </c>
      <c r="D23" s="10" t="s">
        <v>85</v>
      </c>
    </row>
    <row r="24" spans="1:4" x14ac:dyDescent="0.35">
      <c r="A24" s="10" t="s">
        <v>43</v>
      </c>
      <c r="B24" s="10" t="s">
        <v>64</v>
      </c>
      <c r="C24" s="15">
        <v>10000</v>
      </c>
      <c r="D24" s="10" t="s">
        <v>85</v>
      </c>
    </row>
    <row r="25" spans="1:4" x14ac:dyDescent="0.35">
      <c r="A25" s="10" t="s">
        <v>65</v>
      </c>
      <c r="B25" s="10" t="s">
        <v>66</v>
      </c>
      <c r="C25" s="15">
        <v>50000</v>
      </c>
      <c r="D25" s="10" t="s">
        <v>85</v>
      </c>
    </row>
    <row r="26" spans="1:4" x14ac:dyDescent="0.35">
      <c r="A26" s="10" t="s">
        <v>44</v>
      </c>
      <c r="B26" s="10" t="s">
        <v>45</v>
      </c>
      <c r="C26" s="10" t="s">
        <v>67</v>
      </c>
      <c r="D26" s="10" t="s">
        <v>85</v>
      </c>
    </row>
    <row r="27" spans="1:4" x14ac:dyDescent="0.35">
      <c r="A27" s="10" t="s">
        <v>16</v>
      </c>
      <c r="B27" s="10" t="s">
        <v>68</v>
      </c>
      <c r="C27" s="10" t="s">
        <v>67</v>
      </c>
      <c r="D27" s="10" t="s">
        <v>85</v>
      </c>
    </row>
    <row r="28" spans="1:4" x14ac:dyDescent="0.35">
      <c r="A28" s="10" t="s">
        <v>69</v>
      </c>
      <c r="B28" s="10" t="s">
        <v>70</v>
      </c>
      <c r="C28" s="15">
        <v>25000</v>
      </c>
      <c r="D28" s="10" t="s">
        <v>84</v>
      </c>
    </row>
    <row r="29" spans="1:4" x14ac:dyDescent="0.35">
      <c r="A29" s="10"/>
      <c r="B29" s="10"/>
    </row>
    <row r="30" spans="1:4" x14ac:dyDescent="0.35">
      <c r="A30" s="33" t="s">
        <v>81</v>
      </c>
      <c r="B30" s="33"/>
      <c r="C30" s="33"/>
    </row>
    <row r="31" spans="1:4" x14ac:dyDescent="0.35">
      <c r="A31" s="12" t="s">
        <v>38</v>
      </c>
      <c r="B31" s="12" t="s">
        <v>72</v>
      </c>
      <c r="C31" s="12" t="s">
        <v>73</v>
      </c>
    </row>
    <row r="32" spans="1:4" x14ac:dyDescent="0.35">
      <c r="A32" s="8" t="s">
        <v>74</v>
      </c>
      <c r="B32" s="8" t="s">
        <v>75</v>
      </c>
      <c r="C32" s="8" t="s">
        <v>76</v>
      </c>
    </row>
    <row r="33" spans="1:4" x14ac:dyDescent="0.35">
      <c r="A33" s="8" t="s">
        <v>77</v>
      </c>
      <c r="B33" s="8" t="s">
        <v>75</v>
      </c>
      <c r="C33" s="8" t="s">
        <v>76</v>
      </c>
    </row>
    <row r="34" spans="1:4" x14ac:dyDescent="0.35">
      <c r="A34" s="8" t="s">
        <v>78</v>
      </c>
      <c r="B34" s="9">
        <v>0.15</v>
      </c>
      <c r="C34" s="8" t="s">
        <v>76</v>
      </c>
    </row>
    <row r="35" spans="1:4" x14ac:dyDescent="0.35">
      <c r="A35" s="8" t="s">
        <v>79</v>
      </c>
      <c r="B35" s="8" t="s">
        <v>80</v>
      </c>
      <c r="C35" s="8" t="s">
        <v>76</v>
      </c>
    </row>
    <row r="36" spans="1:4" x14ac:dyDescent="0.35">
      <c r="A36" s="10"/>
      <c r="B36" s="10"/>
      <c r="C36" s="14"/>
    </row>
    <row r="37" spans="1:4" x14ac:dyDescent="0.35">
      <c r="A37" s="10"/>
      <c r="B37" s="10"/>
      <c r="C37" s="14"/>
    </row>
    <row r="38" spans="1:4" x14ac:dyDescent="0.35">
      <c r="A38" s="10"/>
      <c r="B38" s="10"/>
      <c r="C38" s="10"/>
      <c r="D38" s="10"/>
    </row>
  </sheetData>
  <mergeCells count="5">
    <mergeCell ref="A30:C30"/>
    <mergeCell ref="A17:D17"/>
    <mergeCell ref="A2:C2"/>
    <mergeCell ref="A1:C1"/>
    <mergeCell ref="A8:C8"/>
  </mergeCells>
  <phoneticPr fontId="5" type="noConversion"/>
  <dataValidations count="1">
    <dataValidation type="list" allowBlank="1" showInputMessage="1" showErrorMessage="1" sqref="D19:D28" xr:uid="{23DE54AA-E940-4F91-9DEA-5A9361837AD5}">
      <formula1>"YES, NO"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1E58-BCFD-40CF-A17A-6E02BEA4A798}">
  <dimension ref="A1:I42"/>
  <sheetViews>
    <sheetView topLeftCell="A15" zoomScaleNormal="100" workbookViewId="0">
      <selection activeCell="B42" sqref="B42"/>
    </sheetView>
  </sheetViews>
  <sheetFormatPr defaultRowHeight="14.5" x14ac:dyDescent="0.35"/>
  <cols>
    <col min="1" max="1" width="35.7265625" bestFit="1" customWidth="1"/>
    <col min="2" max="2" width="13.7265625" bestFit="1" customWidth="1"/>
    <col min="3" max="3" width="16.26953125" bestFit="1" customWidth="1"/>
    <col min="4" max="4" width="11.1796875" bestFit="1" customWidth="1"/>
    <col min="5" max="5" width="26.26953125" bestFit="1" customWidth="1"/>
    <col min="6" max="6" width="17.7265625" bestFit="1" customWidth="1"/>
    <col min="7" max="7" width="16.26953125" bestFit="1" customWidth="1"/>
    <col min="8" max="8" width="14" bestFit="1" customWidth="1"/>
    <col min="9" max="9" width="10.08984375" bestFit="1" customWidth="1"/>
  </cols>
  <sheetData>
    <row r="1" spans="1:8" x14ac:dyDescent="0.35">
      <c r="A1" s="1" t="s">
        <v>86</v>
      </c>
      <c r="B1" s="17" t="str">
        <f>Inputs!B2</f>
        <v>Harsh</v>
      </c>
    </row>
    <row r="2" spans="1:8" x14ac:dyDescent="0.35">
      <c r="A2" s="1" t="s">
        <v>2</v>
      </c>
      <c r="B2" t="str">
        <f>Inputs!B3</f>
        <v>&lt;60</v>
      </c>
    </row>
    <row r="3" spans="1:8" x14ac:dyDescent="0.35">
      <c r="A3" s="1" t="s">
        <v>87</v>
      </c>
      <c r="B3" s="17" t="str">
        <f>Inputs!B30</f>
        <v>Old</v>
      </c>
    </row>
    <row r="4" spans="1:8" x14ac:dyDescent="0.35">
      <c r="A4" s="1" t="s">
        <v>88</v>
      </c>
      <c r="B4" s="21">
        <f>Inputs!B7</f>
        <v>1600000</v>
      </c>
    </row>
    <row r="5" spans="1:8" x14ac:dyDescent="0.35">
      <c r="A5" s="1" t="s">
        <v>6</v>
      </c>
      <c r="B5" s="21">
        <f>SUM(Inputs!B16,Inputs!B22,Inputs!B26)</f>
        <v>71500</v>
      </c>
    </row>
    <row r="6" spans="1:8" x14ac:dyDescent="0.35">
      <c r="A6" s="1" t="s">
        <v>89</v>
      </c>
      <c r="B6" s="21">
        <f>SUM(B4:B5)</f>
        <v>1671500</v>
      </c>
    </row>
    <row r="7" spans="1:8" x14ac:dyDescent="0.35">
      <c r="A7" s="1"/>
    </row>
    <row r="8" spans="1:8" x14ac:dyDescent="0.35">
      <c r="A8" s="1" t="s">
        <v>98</v>
      </c>
      <c r="E8" s="1" t="s">
        <v>97</v>
      </c>
    </row>
    <row r="9" spans="1:8" x14ac:dyDescent="0.35">
      <c r="A9" s="1" t="s">
        <v>39</v>
      </c>
      <c r="E9" s="1" t="s">
        <v>99</v>
      </c>
      <c r="F9" s="1" t="s">
        <v>105</v>
      </c>
      <c r="G9" s="1" t="s">
        <v>100</v>
      </c>
      <c r="H9" s="1" t="s">
        <v>111</v>
      </c>
    </row>
    <row r="10" spans="1:8" x14ac:dyDescent="0.35">
      <c r="A10" s="1" t="s">
        <v>90</v>
      </c>
      <c r="B10" s="1" t="s">
        <v>91</v>
      </c>
      <c r="C10" s="1" t="s">
        <v>92</v>
      </c>
      <c r="E10" t="s">
        <v>101</v>
      </c>
      <c r="F10" s="21">
        <f>SUM(Inputs!B18,Inputs!B20)</f>
        <v>30000</v>
      </c>
      <c r="G10" s="19">
        <v>0.15</v>
      </c>
      <c r="H10" s="21">
        <f>F10*G10</f>
        <v>4500</v>
      </c>
    </row>
    <row r="11" spans="1:8" x14ac:dyDescent="0.35">
      <c r="A11" t="s">
        <v>46</v>
      </c>
      <c r="B11" s="21">
        <f>Tax_Rules!C22</f>
        <v>50000</v>
      </c>
      <c r="C11" t="str">
        <f>IF($B$3="New", "Yes", "Yes")</f>
        <v>Yes</v>
      </c>
      <c r="E11" t="s">
        <v>102</v>
      </c>
      <c r="F11" s="21">
        <f>SUM(Inputs!B19,Inputs!B21)</f>
        <v>0</v>
      </c>
      <c r="G11" t="s">
        <v>80</v>
      </c>
      <c r="H11" s="21">
        <f>IF(F11&gt;100000, F11*10%, 0)</f>
        <v>0</v>
      </c>
    </row>
    <row r="12" spans="1:8" x14ac:dyDescent="0.35">
      <c r="A12" t="s">
        <v>41</v>
      </c>
      <c r="B12" s="21">
        <f>Inputs!B33</f>
        <v>50000</v>
      </c>
      <c r="C12" t="str">
        <f>IF($B$3="New", "No","Yes")</f>
        <v>Yes</v>
      </c>
      <c r="E12" t="s">
        <v>77</v>
      </c>
      <c r="F12" s="21">
        <f>Inputs!B15</f>
        <v>0</v>
      </c>
      <c r="G12" t="s">
        <v>75</v>
      </c>
      <c r="H12" s="21">
        <f>F12*30%</f>
        <v>0</v>
      </c>
    </row>
    <row r="13" spans="1:8" x14ac:dyDescent="0.35">
      <c r="A13" t="s">
        <v>12</v>
      </c>
      <c r="B13" s="21">
        <f>Inputs!B34</f>
        <v>25000</v>
      </c>
      <c r="C13" t="str">
        <f>IF($B$3="New", "No","Yes")</f>
        <v>Yes</v>
      </c>
      <c r="E13" t="s">
        <v>103</v>
      </c>
      <c r="F13" s="21">
        <f>Inputs!B26</f>
        <v>1000</v>
      </c>
      <c r="G13" t="s">
        <v>75</v>
      </c>
      <c r="H13" s="21">
        <f>F13*30%</f>
        <v>300</v>
      </c>
    </row>
    <row r="14" spans="1:8" x14ac:dyDescent="0.35">
      <c r="A14" t="s">
        <v>48</v>
      </c>
      <c r="B14" s="21">
        <f>Inputs!B35</f>
        <v>0</v>
      </c>
      <c r="C14" t="str">
        <f>IF($B$3="New", "Yes", "Yes")</f>
        <v>Yes</v>
      </c>
    </row>
    <row r="15" spans="1:8" x14ac:dyDescent="0.35">
      <c r="A15" t="s">
        <v>61</v>
      </c>
      <c r="B15" s="21">
        <f>Inputs!B36</f>
        <v>0</v>
      </c>
      <c r="C15" t="str">
        <f>IF($B$3="New", "No","Yes")</f>
        <v>Yes</v>
      </c>
    </row>
    <row r="16" spans="1:8" x14ac:dyDescent="0.35">
      <c r="A16" t="s">
        <v>93</v>
      </c>
      <c r="B16" s="21">
        <f>Inputs!B37</f>
        <v>5000</v>
      </c>
      <c r="C16" t="str">
        <f t="shared" ref="C16:C18" si="0">IF($B$3="New", "No","Yes")</f>
        <v>Yes</v>
      </c>
    </row>
    <row r="17" spans="1:9" x14ac:dyDescent="0.35">
      <c r="A17" t="s">
        <v>44</v>
      </c>
      <c r="B17" s="21">
        <f>Inputs!B39</f>
        <v>0</v>
      </c>
      <c r="C17" t="str">
        <f t="shared" si="0"/>
        <v>Yes</v>
      </c>
    </row>
    <row r="18" spans="1:9" x14ac:dyDescent="0.35">
      <c r="A18" t="s">
        <v>16</v>
      </c>
      <c r="B18" s="21">
        <f>Inputs!B38</f>
        <v>150000</v>
      </c>
      <c r="C18" t="str">
        <f t="shared" si="0"/>
        <v>Yes</v>
      </c>
    </row>
    <row r="19" spans="1:9" x14ac:dyDescent="0.35">
      <c r="A19" t="s">
        <v>112</v>
      </c>
      <c r="B19" s="21">
        <f>Tax_Rules!C28</f>
        <v>25000</v>
      </c>
      <c r="C19" t="str">
        <f>IF(B3="Old", _xlfn.IFS(B6&lt;=500000, "Yes", B6&gt;500000, "No"), _xlfn.IFS(B6&lt;=700000,"Yes",B6&gt;700000,"No"))</f>
        <v>No</v>
      </c>
    </row>
    <row r="21" spans="1:9" x14ac:dyDescent="0.35">
      <c r="A21" s="1" t="s">
        <v>104</v>
      </c>
      <c r="B21" s="21">
        <f>MAX(B6 - SUM(F10:F13), 0)</f>
        <v>1640500</v>
      </c>
    </row>
    <row r="22" spans="1:9" x14ac:dyDescent="0.35">
      <c r="A22" s="1" t="s">
        <v>96</v>
      </c>
      <c r="B22" s="21">
        <f>SUMIFS(B11:B18, C11:C18, "Yes")</f>
        <v>280000</v>
      </c>
    </row>
    <row r="23" spans="1:9" x14ac:dyDescent="0.35">
      <c r="A23" s="1" t="s">
        <v>105</v>
      </c>
      <c r="B23" s="21">
        <f>MAX(B21-B22, 0)</f>
        <v>1360500</v>
      </c>
    </row>
    <row r="25" spans="1:9" x14ac:dyDescent="0.35">
      <c r="A25" s="1" t="s">
        <v>128</v>
      </c>
    </row>
    <row r="26" spans="1:9" x14ac:dyDescent="0.35">
      <c r="A26" s="34" t="s">
        <v>129</v>
      </c>
      <c r="B26" s="34"/>
      <c r="C26" s="34"/>
      <c r="D26" s="34"/>
      <c r="F26" s="34" t="s">
        <v>130</v>
      </c>
      <c r="G26" s="34"/>
      <c r="H26" s="34"/>
      <c r="I26" s="34"/>
    </row>
    <row r="27" spans="1:9" x14ac:dyDescent="0.35">
      <c r="A27" s="1" t="s">
        <v>109</v>
      </c>
      <c r="B27" s="1" t="s">
        <v>110</v>
      </c>
      <c r="C27" s="1" t="s">
        <v>105</v>
      </c>
      <c r="D27" s="1" t="s">
        <v>111</v>
      </c>
      <c r="F27" s="1" t="s">
        <v>109</v>
      </c>
      <c r="G27" s="1" t="s">
        <v>110</v>
      </c>
      <c r="H27" s="1" t="s">
        <v>105</v>
      </c>
      <c r="I27" s="1" t="s">
        <v>111</v>
      </c>
    </row>
    <row r="28" spans="1:9" x14ac:dyDescent="0.35">
      <c r="A28" t="str">
        <f>Tax_Rules!B10</f>
        <v>0 – 3,00,000</v>
      </c>
      <c r="B28" s="19">
        <f>Tax_Rules!C10</f>
        <v>0</v>
      </c>
      <c r="C28" s="21">
        <f>IF($B$3="New", MAX(0, MIN(300000, $B$23)), 0)</f>
        <v>0</v>
      </c>
      <c r="D28" s="21">
        <f>C28*B28</f>
        <v>0</v>
      </c>
      <c r="F28" t="str">
        <f>Tax_Rules!B4</f>
        <v>0 – 2,50,000</v>
      </c>
      <c r="G28" s="19">
        <f>Tax_Rules!C4</f>
        <v>0</v>
      </c>
      <c r="H28" s="21">
        <f>IF(B3="Old", MAX(0, MIN(250000, B23)), 0)</f>
        <v>250000</v>
      </c>
      <c r="I28" s="21">
        <f>H28*G28</f>
        <v>0</v>
      </c>
    </row>
    <row r="29" spans="1:9" x14ac:dyDescent="0.35">
      <c r="A29" t="str">
        <f>Tax_Rules!B11</f>
        <v>3,00,001 – 6,00,000</v>
      </c>
      <c r="B29" s="19">
        <f>Tax_Rules!C11</f>
        <v>0.05</v>
      </c>
      <c r="C29" s="21">
        <f>IF($B$3="New", MAX(0, MIN(300000, $B$23-C28)), 0)</f>
        <v>0</v>
      </c>
      <c r="D29" s="21">
        <f t="shared" ref="D29:D33" si="1">C29*B29</f>
        <v>0</v>
      </c>
      <c r="F29" t="str">
        <f>Tax_Rules!B5</f>
        <v>2,50,001 – 5,00,000</v>
      </c>
      <c r="G29" s="19">
        <f>Tax_Rules!C5</f>
        <v>0.05</v>
      </c>
      <c r="H29" s="21">
        <f>IF(B3="Old", MAX(0, MIN(500000, B23-H28)), 0)</f>
        <v>500000</v>
      </c>
      <c r="I29" s="21">
        <f t="shared" ref="I29:I31" si="2">H29*G29</f>
        <v>25000</v>
      </c>
    </row>
    <row r="30" spans="1:9" x14ac:dyDescent="0.35">
      <c r="A30" t="str">
        <f>Tax_Rules!B12</f>
        <v>6,00,001 – 9,00,000</v>
      </c>
      <c r="B30" s="19">
        <f>Tax_Rules!C12</f>
        <v>0.1</v>
      </c>
      <c r="C30" s="21">
        <f>IF($B$3="New", MAX(0, MIN(300000, $B$23-C29-C28)), 0)</f>
        <v>0</v>
      </c>
      <c r="D30" s="21">
        <f t="shared" si="1"/>
        <v>0</v>
      </c>
      <c r="F30" t="str">
        <f>Tax_Rules!B6</f>
        <v>5,00,001 – 10,00,000</v>
      </c>
      <c r="G30" s="19">
        <f>Tax_Rules!C6</f>
        <v>0.2</v>
      </c>
      <c r="H30" s="21">
        <f>IF(B3="Old",MAX(0,MIN(500000,B23-SUM(H28:H29))),0)</f>
        <v>500000</v>
      </c>
      <c r="I30" s="21">
        <f t="shared" si="2"/>
        <v>100000</v>
      </c>
    </row>
    <row r="31" spans="1:9" x14ac:dyDescent="0.35">
      <c r="A31" t="str">
        <f>Tax_Rules!B13</f>
        <v>9,00,001 – 12,00,000</v>
      </c>
      <c r="B31" s="19">
        <f>Tax_Rules!C13</f>
        <v>0.15</v>
      </c>
      <c r="C31" s="21">
        <f>IF($B$3="New", MAX(0, MIN(300000, $B$23-C30-C29-C28)), 0)</f>
        <v>0</v>
      </c>
      <c r="D31" s="21">
        <f t="shared" si="1"/>
        <v>0</v>
      </c>
      <c r="F31" t="str">
        <f>Tax_Rules!B7</f>
        <v>10,00,001+</v>
      </c>
      <c r="G31" s="19">
        <f>Tax_Rules!C7</f>
        <v>0.3</v>
      </c>
      <c r="H31" s="21">
        <f>IF(B3="Old", MAX(0, B23-SUM(H28:H30)), 0)</f>
        <v>110500</v>
      </c>
      <c r="I31" s="21">
        <f t="shared" si="2"/>
        <v>33150</v>
      </c>
    </row>
    <row r="32" spans="1:9" x14ac:dyDescent="0.35">
      <c r="A32" t="str">
        <f>Tax_Rules!B14</f>
        <v>12,00,001 – 15,00,000</v>
      </c>
      <c r="B32" s="19">
        <f>Tax_Rules!C14</f>
        <v>0.2</v>
      </c>
      <c r="C32" s="21">
        <f>IF($B$3="New",MAX(0,MIN(300000,$B$23-SUM(C28:C31))),0)</f>
        <v>0</v>
      </c>
      <c r="D32" s="21">
        <f t="shared" si="1"/>
        <v>0</v>
      </c>
    </row>
    <row r="33" spans="1:4" x14ac:dyDescent="0.35">
      <c r="A33" t="str">
        <f>Tax_Rules!B15</f>
        <v>15,00,001+</v>
      </c>
      <c r="B33" s="19">
        <f>Tax_Rules!C15</f>
        <v>0.3</v>
      </c>
      <c r="C33" s="21">
        <f>IF($B$3="New",MAX(0,MIN(300000,$B$23-SUM(C28:C32))),0)</f>
        <v>0</v>
      </c>
      <c r="D33" s="21">
        <f t="shared" si="1"/>
        <v>0</v>
      </c>
    </row>
    <row r="34" spans="1:4" x14ac:dyDescent="0.35">
      <c r="B34" s="19"/>
      <c r="C34" s="21"/>
      <c r="D34" s="21"/>
    </row>
    <row r="35" spans="1:4" x14ac:dyDescent="0.35">
      <c r="A35" s="1" t="s">
        <v>141</v>
      </c>
      <c r="B35" s="22" t="str">
        <f>B3</f>
        <v>Old</v>
      </c>
    </row>
    <row r="36" spans="1:4" x14ac:dyDescent="0.35">
      <c r="A36" s="1" t="s">
        <v>113</v>
      </c>
      <c r="B36">
        <f>IF(B35="New", SUM(D28:D33), SUM(I28:I31))</f>
        <v>158150</v>
      </c>
    </row>
    <row r="37" spans="1:4" x14ac:dyDescent="0.35">
      <c r="A37" s="1" t="s">
        <v>114</v>
      </c>
      <c r="B37">
        <f>SUM(H10:H13)</f>
        <v>4800</v>
      </c>
    </row>
    <row r="38" spans="1:4" x14ac:dyDescent="0.35">
      <c r="A38" s="1" t="s">
        <v>116</v>
      </c>
      <c r="B38">
        <f>SUM(B36:B37)</f>
        <v>162950</v>
      </c>
    </row>
    <row r="39" spans="1:4" x14ac:dyDescent="0.35">
      <c r="A39" s="1" t="s">
        <v>117</v>
      </c>
      <c r="B39">
        <f>IF(C19="No", 0, MIN(B19, B36))</f>
        <v>0</v>
      </c>
    </row>
    <row r="40" spans="1:4" x14ac:dyDescent="0.35">
      <c r="A40" s="1" t="s">
        <v>118</v>
      </c>
      <c r="B40">
        <f>(B38-B39) * 4%</f>
        <v>6518</v>
      </c>
    </row>
    <row r="42" spans="1:4" x14ac:dyDescent="0.35">
      <c r="A42" s="1" t="s">
        <v>119</v>
      </c>
      <c r="B42" s="1">
        <f>B38-B39+B40</f>
        <v>169468</v>
      </c>
    </row>
  </sheetData>
  <mergeCells count="2">
    <mergeCell ref="A26:D26"/>
    <mergeCell ref="F26:I26"/>
  </mergeCells>
  <pageMargins left="0.7" right="0.7" top="0.75" bottom="0.75" header="0.3" footer="0.3"/>
  <ignoredErrors>
    <ignoredError sqref="C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7C1D-15D2-4C76-8904-86CD33A62362}">
  <dimension ref="A1:C15"/>
  <sheetViews>
    <sheetView workbookViewId="0">
      <selection activeCell="P23" sqref="P23"/>
    </sheetView>
  </sheetViews>
  <sheetFormatPr defaultRowHeight="14.5" x14ac:dyDescent="0.35"/>
  <cols>
    <col min="1" max="1" width="27.54296875" bestFit="1" customWidth="1"/>
    <col min="2" max="2" width="17.90625" bestFit="1" customWidth="1"/>
    <col min="3" max="3" width="12.6328125" bestFit="1" customWidth="1"/>
  </cols>
  <sheetData>
    <row r="1" spans="1:3" x14ac:dyDescent="0.35">
      <c r="A1" s="23" t="s">
        <v>132</v>
      </c>
      <c r="B1" s="23" t="s">
        <v>133</v>
      </c>
      <c r="C1" s="23" t="s">
        <v>134</v>
      </c>
    </row>
    <row r="2" spans="1:3" x14ac:dyDescent="0.35">
      <c r="A2" s="24" t="s">
        <v>89</v>
      </c>
      <c r="B2" s="25">
        <f>Tax_Calc!B6</f>
        <v>1671500</v>
      </c>
      <c r="C2" s="25">
        <f>Tax_Calc!B6</f>
        <v>1671500</v>
      </c>
    </row>
    <row r="3" spans="1:3" x14ac:dyDescent="0.35">
      <c r="A3" s="24" t="s">
        <v>17</v>
      </c>
      <c r="B3" s="25">
        <f>SUM(Tax_Calc!B11:B18)</f>
        <v>280000</v>
      </c>
      <c r="C3" s="25">
        <f>SUM(Tax_Calc!B11,Tax_Calc!B14)</f>
        <v>50000</v>
      </c>
    </row>
    <row r="4" spans="1:3" x14ac:dyDescent="0.35">
      <c r="A4" s="29" t="s">
        <v>105</v>
      </c>
      <c r="B4" s="25"/>
      <c r="C4" s="25"/>
    </row>
    <row r="5" spans="1:3" x14ac:dyDescent="0.35">
      <c r="A5" s="27" t="s">
        <v>139</v>
      </c>
      <c r="B5" s="28">
        <f>B2-B3-SUM(Tax_Calc!F10:F13)</f>
        <v>1360500</v>
      </c>
      <c r="C5" s="28">
        <f>C2-C3-SUM(Tax_Calc!F10:F13)</f>
        <v>1590500</v>
      </c>
    </row>
    <row r="6" spans="1:3" x14ac:dyDescent="0.35">
      <c r="A6" s="27" t="s">
        <v>140</v>
      </c>
      <c r="B6" s="28">
        <f>SUM(Tax_Calc!F10:F13)</f>
        <v>31000</v>
      </c>
      <c r="C6" s="28">
        <f>SUM(Tax_Calc!F10:F13)</f>
        <v>31000</v>
      </c>
    </row>
    <row r="7" spans="1:3" x14ac:dyDescent="0.35">
      <c r="A7" s="24" t="s">
        <v>135</v>
      </c>
      <c r="B7" s="25">
        <f>SUM(MAX(0, MIN(250000, B5))*Tax_Calc!G28, MAX(0, MIN(500000, Comparison!B5-250000))*Tax_Calc!G29, MAX(0, MIN(500000, B5-750000))*Tax_Calc!G30, MAX(0, B5-1250000)*Tax_Calc!G31)</f>
        <v>158150</v>
      </c>
      <c r="C7" s="25">
        <f>SUM(MAX(0, MIN(300000, C5))*Tax_Calc!B28, MAX(0, MIN(300000, Comparison!C5-300000))*Tax_Calc!B29, MAX(0, MIN(300000, Comparison!C5-600000))*Tax_Calc!B30, MAX(0, MIN(300000, Comparison!C5-900000))*Tax_Calc!B31, MAX(0, MIN(300000, Comparison!C5-1200000))*Tax_Calc!B32, MAX(0, Comparison!C5-1500000)*Tax_Calc!B33)</f>
        <v>177150</v>
      </c>
    </row>
    <row r="8" spans="1:3" x14ac:dyDescent="0.35">
      <c r="A8" s="24" t="s">
        <v>136</v>
      </c>
      <c r="B8" s="25">
        <f>Tax_Calc!B37</f>
        <v>4800</v>
      </c>
      <c r="C8" s="25">
        <f>Tax_Calc!B37</f>
        <v>4800</v>
      </c>
    </row>
    <row r="9" spans="1:3" x14ac:dyDescent="0.35">
      <c r="A9" s="24" t="s">
        <v>137</v>
      </c>
      <c r="B9" s="25">
        <f>SUM(B7:B8)</f>
        <v>162950</v>
      </c>
      <c r="C9" s="25">
        <f>SUM(C7:C8)</f>
        <v>181950</v>
      </c>
    </row>
    <row r="10" spans="1:3" x14ac:dyDescent="0.35">
      <c r="A10" s="24" t="s">
        <v>69</v>
      </c>
      <c r="B10" s="25">
        <f>IF(B5&lt;=500000, MIN(B9, 25000), 0)</f>
        <v>0</v>
      </c>
      <c r="C10" s="25">
        <f>IF(C5&lt;=700000, MIN(C9, 25000), 0)</f>
        <v>0</v>
      </c>
    </row>
    <row r="11" spans="1:3" x14ac:dyDescent="0.35">
      <c r="A11" s="24" t="s">
        <v>138</v>
      </c>
      <c r="B11" s="26">
        <f>(B9-B10)*4%</f>
        <v>6518</v>
      </c>
      <c r="C11" s="26">
        <f>(C9-C10)*4%</f>
        <v>7278</v>
      </c>
    </row>
    <row r="12" spans="1:3" ht="15" thickBot="1" x14ac:dyDescent="0.4">
      <c r="A12" s="30" t="s">
        <v>119</v>
      </c>
      <c r="B12" s="31">
        <f>B9-B10+B11</f>
        <v>169468</v>
      </c>
      <c r="C12" s="31">
        <f>C9-C10+C11</f>
        <v>189228</v>
      </c>
    </row>
    <row r="13" spans="1:3" ht="15" thickTop="1" x14ac:dyDescent="0.35"/>
    <row r="14" spans="1:3" x14ac:dyDescent="0.35">
      <c r="A14" s="32" t="s">
        <v>142</v>
      </c>
      <c r="B14" s="21">
        <f>B12-C12</f>
        <v>-19760</v>
      </c>
    </row>
    <row r="15" spans="1:3" x14ac:dyDescent="0.35">
      <c r="A15" s="32" t="s">
        <v>143</v>
      </c>
      <c r="B15" s="1" t="str">
        <f>IF(B12&lt;C12, "Old Regime is Better", "New Regime is Better")</f>
        <v>Old Regime is Better</v>
      </c>
    </row>
  </sheetData>
  <conditionalFormatting sqref="B1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15">
    <cfRule type="containsText" dxfId="1" priority="1" operator="containsText" text="New Regime is Better">
      <formula>NOT(ISERROR(SEARCH("New Regime is Better",B15)))</formula>
    </cfRule>
    <cfRule type="containsText" dxfId="0" priority="2" operator="containsText" text="Old Regime is Better">
      <formula>NOT(ISERROR(SEARCH("Old Regime is Better",B15)))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Tax_Rules</vt:lpstr>
      <vt:lpstr>Tax_Calc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HARSH GARG</dc:creator>
  <cp:lastModifiedBy>Mr. HARSH GARG</cp:lastModifiedBy>
  <dcterms:created xsi:type="dcterms:W3CDTF">2025-07-21T08:05:14Z</dcterms:created>
  <dcterms:modified xsi:type="dcterms:W3CDTF">2025-07-29T14:25:13Z</dcterms:modified>
</cp:coreProperties>
</file>