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1.xml" ContentType="application/vnd.openxmlformats-officedocument.spreadsheetml.comments+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harsh/Downloads/"/>
    </mc:Choice>
  </mc:AlternateContent>
  <xr:revisionPtr revIDLastSave="0" documentId="8_{3F987BDD-4616-CD47-A345-D2F5CB4B9B8B}" xr6:coauthVersionLast="47" xr6:coauthVersionMax="47" xr10:uidLastSave="{00000000-0000-0000-0000-000000000000}"/>
  <bookViews>
    <workbookView xWindow="0" yWindow="720" windowWidth="29400" windowHeight="18400" xr2:uid="{94B617B3-2E64-41B9-A32C-9226B46FD5CC}"/>
  </bookViews>
  <sheets>
    <sheet name="Assumption_Sheet" sheetId="3" r:id="rId1"/>
    <sheet name="P&amp;L_Input" sheetId="4" r:id="rId2"/>
    <sheet name="BS_Input" sheetId="5" r:id="rId3"/>
    <sheet name="Common_Sizing" sheetId="6" r:id="rId4"/>
    <sheet name="Revenue_Build_Up" sheetId="7" r:id="rId5"/>
    <sheet name="Cost_Build_Up" sheetId="14" r:id="rId6"/>
    <sheet name="Fixed_Asset_Schedule" sheetId="13" r:id="rId7"/>
    <sheet name="Working_Capital" sheetId="16" r:id="rId8"/>
    <sheet name="BS_Items" sheetId="17" r:id="rId9"/>
    <sheet name="Income_Statement" sheetId="18" r:id="rId10"/>
    <sheet name="Balance_Sheet" sheetId="19" r:id="rId11"/>
    <sheet name="Cash_Flow_Statement" sheetId="20" r:id="rId12"/>
    <sheet name="Ratios_Analysis" sheetId="21" r:id="rId13"/>
    <sheet name="Ratios_Interpretation" sheetId="22" r:id="rId14"/>
    <sheet name="Equity_Returns" sheetId="23" r:id="rId15"/>
    <sheet name="Beta_Calculation" sheetId="24" r:id="rId16"/>
    <sheet name="DCF_Analysis" sheetId="12" r:id="rId17"/>
  </sheets>
  <definedNames>
    <definedName name="_xlnm._FilterDatabase" localSheetId="6" hidden="1">Fixed_Asset_Schedule!$B$1:$B$221</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8" i="12" l="1"/>
  <c r="G26" i="12"/>
  <c r="C25" i="12"/>
  <c r="F16" i="24" l="1"/>
  <c r="F17" i="24"/>
  <c r="F18" i="24"/>
  <c r="F19" i="24"/>
  <c r="F20" i="24"/>
  <c r="F21" i="24"/>
  <c r="F22" i="24"/>
  <c r="F23" i="24"/>
  <c r="F24" i="24"/>
  <c r="F25" i="24"/>
  <c r="F26" i="24"/>
  <c r="F27" i="24"/>
  <c r="F28" i="24"/>
  <c r="F29" i="24"/>
  <c r="F30" i="24"/>
  <c r="F31" i="24"/>
  <c r="F32" i="24"/>
  <c r="F33" i="24"/>
  <c r="F34" i="24"/>
  <c r="F35" i="24"/>
  <c r="F36" i="24"/>
  <c r="F37" i="24"/>
  <c r="F38" i="24"/>
  <c r="F39" i="24"/>
  <c r="F40" i="24"/>
  <c r="F41" i="24"/>
  <c r="F42" i="24"/>
  <c r="F43" i="24"/>
  <c r="F44" i="24"/>
  <c r="F45" i="24"/>
  <c r="F46" i="24"/>
  <c r="F47" i="24"/>
  <c r="F48" i="24"/>
  <c r="F49" i="24"/>
  <c r="F50" i="24"/>
  <c r="F51" i="24"/>
  <c r="F52" i="24"/>
  <c r="F53" i="24"/>
  <c r="F54" i="24"/>
  <c r="F55" i="24"/>
  <c r="F56" i="24"/>
  <c r="F57" i="24"/>
  <c r="F58" i="24"/>
  <c r="F59" i="24"/>
  <c r="F60" i="24"/>
  <c r="F61" i="24"/>
  <c r="F62" i="24"/>
  <c r="F63" i="24"/>
  <c r="F64" i="24"/>
  <c r="F65" i="24"/>
  <c r="F66" i="24"/>
  <c r="F67" i="24"/>
  <c r="F68" i="24"/>
  <c r="F69" i="24"/>
  <c r="F70" i="24"/>
  <c r="F71" i="24"/>
  <c r="F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57" i="24"/>
  <c r="D58" i="24"/>
  <c r="D59" i="24"/>
  <c r="D60" i="24"/>
  <c r="D61" i="24"/>
  <c r="D62" i="24"/>
  <c r="D63" i="24"/>
  <c r="D64" i="24"/>
  <c r="D65" i="24"/>
  <c r="D66" i="24"/>
  <c r="D67" i="24"/>
  <c r="D68" i="24"/>
  <c r="D69" i="24"/>
  <c r="D70" i="24"/>
  <c r="D71" i="24"/>
  <c r="D15" i="24"/>
  <c r="F13" i="23"/>
  <c r="F14" i="23" s="1"/>
  <c r="C26" i="12" s="1"/>
  <c r="C27" i="12" s="1"/>
  <c r="I18" i="24" l="1"/>
  <c r="I16" i="24"/>
  <c r="C28" i="12" s="1"/>
  <c r="C29" i="12" s="1"/>
  <c r="I19" i="24"/>
  <c r="E53" i="18"/>
  <c r="F53" i="18"/>
  <c r="G53" i="18"/>
  <c r="C53" i="18"/>
  <c r="D53" i="18"/>
  <c r="I20" i="24" l="1"/>
  <c r="D53" i="19"/>
  <c r="G53" i="19"/>
  <c r="C47" i="19"/>
  <c r="D47" i="19"/>
  <c r="E47" i="19"/>
  <c r="F47" i="19"/>
  <c r="G47" i="19"/>
  <c r="C46" i="19"/>
  <c r="D46" i="19"/>
  <c r="D69" i="20" s="1"/>
  <c r="E46" i="19"/>
  <c r="E69" i="20" s="1"/>
  <c r="F46" i="19"/>
  <c r="G46" i="19"/>
  <c r="E34" i="19"/>
  <c r="C20" i="19"/>
  <c r="C16" i="19"/>
  <c r="F22" i="19"/>
  <c r="C38" i="18"/>
  <c r="D38" i="18"/>
  <c r="E38" i="18"/>
  <c r="F38" i="18"/>
  <c r="G38" i="18"/>
  <c r="C30" i="18"/>
  <c r="G85" i="17"/>
  <c r="F85" i="17"/>
  <c r="E85" i="17"/>
  <c r="E68" i="19" s="1"/>
  <c r="D85" i="17"/>
  <c r="D68" i="19" s="1"/>
  <c r="C85" i="17"/>
  <c r="C68" i="19" s="1"/>
  <c r="G82" i="17"/>
  <c r="F82" i="17"/>
  <c r="E82" i="17"/>
  <c r="D82" i="17"/>
  <c r="C82" i="17"/>
  <c r="G79" i="17"/>
  <c r="G66" i="19" s="1"/>
  <c r="F79" i="17"/>
  <c r="F66" i="19" s="1"/>
  <c r="E79" i="17"/>
  <c r="E66" i="19" s="1"/>
  <c r="D79" i="17"/>
  <c r="C79" i="17"/>
  <c r="G76" i="17"/>
  <c r="F76" i="17"/>
  <c r="E76" i="17"/>
  <c r="E65" i="19" s="1"/>
  <c r="D76" i="17"/>
  <c r="D65" i="19" s="1"/>
  <c r="C76" i="17"/>
  <c r="C65" i="19" s="1"/>
  <c r="G73" i="17"/>
  <c r="G63" i="19" s="1"/>
  <c r="F73" i="17"/>
  <c r="E73" i="17"/>
  <c r="D73" i="17"/>
  <c r="C73" i="17"/>
  <c r="C63" i="19" s="1"/>
  <c r="G70" i="17"/>
  <c r="G62" i="19" s="1"/>
  <c r="F70" i="17"/>
  <c r="E70" i="17"/>
  <c r="D70" i="17"/>
  <c r="C70" i="17"/>
  <c r="C62" i="19" s="1"/>
  <c r="G65" i="17"/>
  <c r="G57" i="19" s="1"/>
  <c r="F65" i="17"/>
  <c r="F57" i="19" s="1"/>
  <c r="E65" i="17"/>
  <c r="E57" i="19" s="1"/>
  <c r="D65" i="17"/>
  <c r="D57" i="19" s="1"/>
  <c r="C65" i="17"/>
  <c r="G62" i="17"/>
  <c r="F62" i="17"/>
  <c r="F56" i="19" s="1"/>
  <c r="E62" i="17"/>
  <c r="D62" i="17"/>
  <c r="D56" i="19" s="1"/>
  <c r="C62" i="17"/>
  <c r="G59" i="17"/>
  <c r="F59" i="17"/>
  <c r="F55" i="19" s="1"/>
  <c r="E59" i="17"/>
  <c r="E55" i="19" s="1"/>
  <c r="D59" i="17"/>
  <c r="D55" i="19" s="1"/>
  <c r="C59" i="17"/>
  <c r="C55" i="19" s="1"/>
  <c r="G56" i="17"/>
  <c r="F56" i="17"/>
  <c r="E56" i="17"/>
  <c r="D56" i="17"/>
  <c r="D54" i="19" s="1"/>
  <c r="C56" i="17"/>
  <c r="C54" i="19" s="1"/>
  <c r="G53" i="17"/>
  <c r="F53" i="17"/>
  <c r="E53" i="17"/>
  <c r="D53" i="17"/>
  <c r="C53" i="17"/>
  <c r="C53" i="19" s="1"/>
  <c r="G46" i="17"/>
  <c r="G38" i="19" s="1"/>
  <c r="F46" i="17"/>
  <c r="F38" i="19" s="1"/>
  <c r="E46" i="17"/>
  <c r="D46" i="17"/>
  <c r="D38" i="19" s="1"/>
  <c r="C46" i="17"/>
  <c r="G43" i="17"/>
  <c r="F43" i="17"/>
  <c r="E43" i="17"/>
  <c r="D43" i="17"/>
  <c r="C43" i="17"/>
  <c r="G40" i="17"/>
  <c r="G36" i="19" s="1"/>
  <c r="F40" i="17"/>
  <c r="F36" i="19" s="1"/>
  <c r="E40" i="17"/>
  <c r="E36" i="19" s="1"/>
  <c r="D40" i="17"/>
  <c r="D36" i="19" s="1"/>
  <c r="C40" i="17"/>
  <c r="G37" i="17"/>
  <c r="G35" i="19" s="1"/>
  <c r="F37" i="17"/>
  <c r="F35" i="19" s="1"/>
  <c r="E37" i="17"/>
  <c r="D37" i="17"/>
  <c r="C37" i="17"/>
  <c r="C35" i="19" s="1"/>
  <c r="G34" i="17"/>
  <c r="F34" i="17"/>
  <c r="E34" i="17"/>
  <c r="D34" i="17"/>
  <c r="D34" i="19" s="1"/>
  <c r="C34" i="17"/>
  <c r="C34" i="19" s="1"/>
  <c r="G29" i="17"/>
  <c r="G26" i="19" s="1"/>
  <c r="F29" i="17"/>
  <c r="E29" i="17"/>
  <c r="E26" i="19" s="1"/>
  <c r="D29" i="17"/>
  <c r="C29" i="17"/>
  <c r="G26" i="17"/>
  <c r="F26" i="17"/>
  <c r="E26" i="17"/>
  <c r="D26" i="17"/>
  <c r="C26" i="17"/>
  <c r="C25" i="19" s="1"/>
  <c r="G23" i="17"/>
  <c r="G24" i="19" s="1"/>
  <c r="F23" i="17"/>
  <c r="F24" i="19" s="1"/>
  <c r="E23" i="17"/>
  <c r="E24" i="19" s="1"/>
  <c r="D23" i="17"/>
  <c r="C23" i="17"/>
  <c r="G20" i="17"/>
  <c r="F20" i="17"/>
  <c r="F23" i="19" s="1"/>
  <c r="E20" i="17"/>
  <c r="E23" i="19" s="1"/>
  <c r="D20" i="17"/>
  <c r="D23" i="19" s="1"/>
  <c r="C20" i="17"/>
  <c r="G17" i="17"/>
  <c r="G22" i="19" s="1"/>
  <c r="F17" i="17"/>
  <c r="E17" i="17"/>
  <c r="E22" i="19" s="1"/>
  <c r="D17" i="17"/>
  <c r="D22" i="19" s="1"/>
  <c r="C17" i="17"/>
  <c r="C22" i="19" s="1"/>
  <c r="G48" i="19" l="1"/>
  <c r="D52" i="20"/>
  <c r="D66" i="20"/>
  <c r="G36" i="20"/>
  <c r="F54" i="20"/>
  <c r="E52" i="20"/>
  <c r="G37" i="20"/>
  <c r="G52" i="20"/>
  <c r="F52" i="20"/>
  <c r="D64" i="20"/>
  <c r="F37" i="19"/>
  <c r="C26" i="19"/>
  <c r="G37" i="19"/>
  <c r="E66" i="20"/>
  <c r="G56" i="19"/>
  <c r="D24" i="19"/>
  <c r="E54" i="20" s="1"/>
  <c r="C36" i="19"/>
  <c r="C57" i="19"/>
  <c r="D68" i="20" s="1"/>
  <c r="D37" i="20"/>
  <c r="C24" i="19"/>
  <c r="E63" i="19"/>
  <c r="D63" i="19"/>
  <c r="D44" i="21" s="1"/>
  <c r="D26" i="19"/>
  <c r="E56" i="20" s="1"/>
  <c r="E25" i="20"/>
  <c r="G67" i="19"/>
  <c r="G54" i="19"/>
  <c r="F67" i="19"/>
  <c r="E68" i="20"/>
  <c r="F68" i="20"/>
  <c r="D35" i="20"/>
  <c r="E53" i="20"/>
  <c r="G64" i="20"/>
  <c r="F53" i="20"/>
  <c r="D65" i="20"/>
  <c r="E37" i="20"/>
  <c r="G54" i="20"/>
  <c r="F66" i="20"/>
  <c r="D25" i="19"/>
  <c r="D55" i="20" s="1"/>
  <c r="F34" i="19"/>
  <c r="F35" i="20" s="1"/>
  <c r="C37" i="19"/>
  <c r="E53" i="19"/>
  <c r="E64" i="20" s="1"/>
  <c r="G55" i="19"/>
  <c r="G66" i="20" s="1"/>
  <c r="D62" i="19"/>
  <c r="D22" i="20" s="1"/>
  <c r="F65" i="19"/>
  <c r="F25" i="20" s="1"/>
  <c r="C23" i="19"/>
  <c r="D53" i="20" s="1"/>
  <c r="E25" i="19"/>
  <c r="E55" i="20" s="1"/>
  <c r="G34" i="19"/>
  <c r="H34" i="17"/>
  <c r="D37" i="19"/>
  <c r="F53" i="19"/>
  <c r="C56" i="19"/>
  <c r="E62" i="19"/>
  <c r="G65" i="19"/>
  <c r="F69" i="20"/>
  <c r="F48" i="19"/>
  <c r="E37" i="19"/>
  <c r="G25" i="19"/>
  <c r="E35" i="19"/>
  <c r="F36" i="20" s="1"/>
  <c r="G23" i="19"/>
  <c r="G53" i="20" s="1"/>
  <c r="D35" i="19"/>
  <c r="D36" i="20" s="1"/>
  <c r="F54" i="19"/>
  <c r="D48" i="19"/>
  <c r="E54" i="19"/>
  <c r="E65" i="20" s="1"/>
  <c r="C48" i="19"/>
  <c r="C44" i="21" s="1"/>
  <c r="F37" i="20"/>
  <c r="F26" i="19"/>
  <c r="G56" i="20" s="1"/>
  <c r="C38" i="19"/>
  <c r="D39" i="20" s="1"/>
  <c r="E67" i="19"/>
  <c r="G67" i="20"/>
  <c r="F25" i="19"/>
  <c r="F55" i="20" s="1"/>
  <c r="E56" i="19"/>
  <c r="E67" i="20" s="1"/>
  <c r="E38" i="19"/>
  <c r="E39" i="20" s="1"/>
  <c r="G68" i="20"/>
  <c r="E35" i="20"/>
  <c r="E48" i="19"/>
  <c r="D67" i="19"/>
  <c r="F26" i="20"/>
  <c r="H46" i="19"/>
  <c r="G69" i="20"/>
  <c r="G39" i="20"/>
  <c r="D58" i="19"/>
  <c r="E28" i="20"/>
  <c r="G26" i="20"/>
  <c r="D28" i="20"/>
  <c r="F62" i="19"/>
  <c r="G22" i="20" s="1"/>
  <c r="F63" i="19"/>
  <c r="D66" i="19"/>
  <c r="F68" i="19"/>
  <c r="F28" i="20" s="1"/>
  <c r="C66" i="19"/>
  <c r="C67" i="19"/>
  <c r="D25" i="20"/>
  <c r="G68" i="19"/>
  <c r="C17" i="16"/>
  <c r="D17" i="16"/>
  <c r="E17" i="16"/>
  <c r="F17" i="16"/>
  <c r="G17" i="16"/>
  <c r="H17" i="16" s="1"/>
  <c r="I17" i="16" s="1"/>
  <c r="J17" i="16" s="1"/>
  <c r="K17" i="16" s="1"/>
  <c r="L17" i="16" s="1"/>
  <c r="M17" i="16" s="1"/>
  <c r="N17" i="16" s="1"/>
  <c r="O17" i="16" s="1"/>
  <c r="P17" i="16" s="1"/>
  <c r="Q17" i="16" s="1"/>
  <c r="C16" i="16"/>
  <c r="C30" i="19" s="1"/>
  <c r="D16" i="16"/>
  <c r="D30" i="19" s="1"/>
  <c r="E16" i="16"/>
  <c r="E30" i="19" s="1"/>
  <c r="F16" i="16"/>
  <c r="F30" i="19" s="1"/>
  <c r="G16" i="16"/>
  <c r="H16" i="16" s="1"/>
  <c r="I16" i="16" s="1"/>
  <c r="J16" i="16" s="1"/>
  <c r="K16" i="16" s="1"/>
  <c r="L16" i="16" s="1"/>
  <c r="M16" i="16" s="1"/>
  <c r="N16" i="16" s="1"/>
  <c r="O16" i="16" s="1"/>
  <c r="P16" i="16" s="1"/>
  <c r="Q16" i="16" s="1"/>
  <c r="C15" i="16"/>
  <c r="D15" i="16"/>
  <c r="E15" i="16"/>
  <c r="F15" i="16"/>
  <c r="G15" i="16"/>
  <c r="H15" i="16" s="1"/>
  <c r="I15" i="16" s="1"/>
  <c r="J15" i="16" s="1"/>
  <c r="K15" i="16" s="1"/>
  <c r="L15" i="16" s="1"/>
  <c r="M15" i="16" s="1"/>
  <c r="N15" i="16" s="1"/>
  <c r="O15" i="16" s="1"/>
  <c r="P15" i="16" s="1"/>
  <c r="Q15" i="16" s="1"/>
  <c r="F67" i="20" l="1"/>
  <c r="D27" i="20"/>
  <c r="D26" i="20"/>
  <c r="F58" i="19"/>
  <c r="E23" i="20"/>
  <c r="E22" i="20"/>
  <c r="D23" i="20"/>
  <c r="G58" i="19"/>
  <c r="G44" i="21"/>
  <c r="C39" i="12"/>
  <c r="G38" i="12" s="1"/>
  <c r="F64" i="20"/>
  <c r="G27" i="20"/>
  <c r="E44" i="21"/>
  <c r="F23" i="20"/>
  <c r="D56" i="20"/>
  <c r="D54" i="20"/>
  <c r="F56" i="20"/>
  <c r="C58" i="19"/>
  <c r="G23" i="20"/>
  <c r="E38" i="20"/>
  <c r="G38" i="20"/>
  <c r="E58" i="19"/>
  <c r="E27" i="20"/>
  <c r="D38" i="20"/>
  <c r="D67" i="20"/>
  <c r="H34" i="19"/>
  <c r="H35" i="20" s="1"/>
  <c r="I34" i="17"/>
  <c r="E36" i="20"/>
  <c r="G25" i="20"/>
  <c r="G35" i="20"/>
  <c r="F38" i="20"/>
  <c r="F65" i="20"/>
  <c r="F39" i="20"/>
  <c r="F27" i="20"/>
  <c r="G65" i="20"/>
  <c r="G55" i="20"/>
  <c r="I46" i="19"/>
  <c r="H69" i="20"/>
  <c r="G28" i="20"/>
  <c r="F44" i="21"/>
  <c r="F22" i="20"/>
  <c r="E26" i="20"/>
  <c r="F64" i="19"/>
  <c r="D64" i="19"/>
  <c r="C64" i="19"/>
  <c r="C69" i="19" s="1"/>
  <c r="F32" i="19"/>
  <c r="E64" i="19"/>
  <c r="E32" i="19"/>
  <c r="E19" i="16"/>
  <c r="G30" i="19"/>
  <c r="G33" i="20" s="1"/>
  <c r="F33" i="20"/>
  <c r="E33" i="20"/>
  <c r="D33" i="20"/>
  <c r="G64" i="19"/>
  <c r="F69" i="19"/>
  <c r="F71" i="19" s="1"/>
  <c r="G32" i="19"/>
  <c r="D32" i="19"/>
  <c r="G19" i="16"/>
  <c r="C32" i="19"/>
  <c r="F19" i="16"/>
  <c r="C19" i="16"/>
  <c r="D19" i="16"/>
  <c r="C40" i="12" l="1"/>
  <c r="C71" i="19"/>
  <c r="D24" i="20"/>
  <c r="I34" i="19"/>
  <c r="I35" i="20" s="1"/>
  <c r="J34" i="17"/>
  <c r="F24" i="20"/>
  <c r="J46" i="19"/>
  <c r="I69" i="20"/>
  <c r="D69" i="19"/>
  <c r="D71" i="19" s="1"/>
  <c r="F34" i="20"/>
  <c r="E24" i="20"/>
  <c r="G34" i="20"/>
  <c r="E69" i="19"/>
  <c r="E71" i="19" s="1"/>
  <c r="D34" i="20"/>
  <c r="G24" i="20"/>
  <c r="G69" i="19"/>
  <c r="G71" i="19" s="1"/>
  <c r="E34" i="20"/>
  <c r="D19" i="12" l="1"/>
  <c r="K34" i="17"/>
  <c r="J34" i="19"/>
  <c r="J35" i="20" s="1"/>
  <c r="E19" i="12"/>
  <c r="K46" i="19"/>
  <c r="J69" i="20"/>
  <c r="F19" i="12"/>
  <c r="G19" i="12"/>
  <c r="K34" i="19" l="1"/>
  <c r="K35" i="20" s="1"/>
  <c r="L34" i="17"/>
  <c r="L46" i="19"/>
  <c r="K69" i="20"/>
  <c r="M34" i="17" l="1"/>
  <c r="L34" i="19"/>
  <c r="L35" i="20" s="1"/>
  <c r="M46" i="19"/>
  <c r="L69" i="20"/>
  <c r="N34" i="17" l="1"/>
  <c r="M34" i="19"/>
  <c r="M35" i="20" s="1"/>
  <c r="N46" i="19"/>
  <c r="M69" i="20"/>
  <c r="O34" i="17" l="1"/>
  <c r="N34" i="19"/>
  <c r="N35" i="20" s="1"/>
  <c r="O46" i="19"/>
  <c r="N69" i="20"/>
  <c r="P34" i="17" l="1"/>
  <c r="O34" i="19"/>
  <c r="O35" i="20" s="1"/>
  <c r="P46" i="19"/>
  <c r="O69" i="20"/>
  <c r="G196" i="13"/>
  <c r="G153" i="13"/>
  <c r="H153" i="13" s="1"/>
  <c r="I153" i="13" s="1"/>
  <c r="J153" i="13" s="1"/>
  <c r="K153" i="13" s="1"/>
  <c r="L153" i="13" s="1"/>
  <c r="M153" i="13" s="1"/>
  <c r="N153" i="13" s="1"/>
  <c r="O153" i="13" s="1"/>
  <c r="P153" i="13" s="1"/>
  <c r="Q153" i="13" s="1"/>
  <c r="H154" i="13"/>
  <c r="I154" i="13" s="1"/>
  <c r="J154" i="13" s="1"/>
  <c r="K154" i="13" s="1"/>
  <c r="L154" i="13" s="1"/>
  <c r="M154" i="13" s="1"/>
  <c r="N154" i="13" s="1"/>
  <c r="O154" i="13" s="1"/>
  <c r="P154" i="13" s="1"/>
  <c r="Q154" i="13" s="1"/>
  <c r="G179" i="13"/>
  <c r="H179" i="13" s="1"/>
  <c r="I179" i="13" s="1"/>
  <c r="J179" i="13" s="1"/>
  <c r="K179" i="13" s="1"/>
  <c r="L179" i="13" s="1"/>
  <c r="M179" i="13" s="1"/>
  <c r="N179" i="13" s="1"/>
  <c r="O179" i="13" s="1"/>
  <c r="P179" i="13" s="1"/>
  <c r="Q179" i="13" s="1"/>
  <c r="G184" i="13"/>
  <c r="H184" i="13" s="1"/>
  <c r="I184" i="13" s="1"/>
  <c r="J184" i="13" s="1"/>
  <c r="K184" i="13" s="1"/>
  <c r="L184" i="13" s="1"/>
  <c r="M184" i="13" s="1"/>
  <c r="N184" i="13" s="1"/>
  <c r="O184" i="13" s="1"/>
  <c r="P184" i="13" s="1"/>
  <c r="Q184" i="13" s="1"/>
  <c r="G208" i="13"/>
  <c r="H208" i="13" s="1"/>
  <c r="I208" i="13" s="1"/>
  <c r="J208" i="13" s="1"/>
  <c r="K208" i="13" s="1"/>
  <c r="L208" i="13" s="1"/>
  <c r="M208" i="13" s="1"/>
  <c r="N208" i="13" s="1"/>
  <c r="O208" i="13" s="1"/>
  <c r="P208" i="13" s="1"/>
  <c r="Q208" i="13" s="1"/>
  <c r="G203" i="13"/>
  <c r="H203" i="13" s="1"/>
  <c r="I203" i="13" s="1"/>
  <c r="J203" i="13" s="1"/>
  <c r="K203" i="13" s="1"/>
  <c r="L203" i="13" s="1"/>
  <c r="M203" i="13" s="1"/>
  <c r="N203" i="13" s="1"/>
  <c r="O203" i="13" s="1"/>
  <c r="P203" i="13" s="1"/>
  <c r="Q203" i="13" s="1"/>
  <c r="H196" i="13"/>
  <c r="I196" i="13" s="1"/>
  <c r="J196" i="13" s="1"/>
  <c r="K196" i="13" s="1"/>
  <c r="L196" i="13" s="1"/>
  <c r="M196" i="13" s="1"/>
  <c r="N196" i="13" s="1"/>
  <c r="O196" i="13" s="1"/>
  <c r="P196" i="13" s="1"/>
  <c r="Q196" i="13" s="1"/>
  <c r="G191" i="13"/>
  <c r="H191" i="13" s="1"/>
  <c r="I191" i="13" s="1"/>
  <c r="J191" i="13" s="1"/>
  <c r="K191" i="13" s="1"/>
  <c r="L191" i="13" s="1"/>
  <c r="M191" i="13" s="1"/>
  <c r="N191" i="13" s="1"/>
  <c r="O191" i="13" s="1"/>
  <c r="P191" i="13" s="1"/>
  <c r="Q191" i="13" s="1"/>
  <c r="H161" i="13"/>
  <c r="I161" i="13" s="1"/>
  <c r="J161" i="13" s="1"/>
  <c r="K161" i="13" s="1"/>
  <c r="L161" i="13" s="1"/>
  <c r="M161" i="13" s="1"/>
  <c r="N161" i="13" s="1"/>
  <c r="O161" i="13" s="1"/>
  <c r="P161" i="13" s="1"/>
  <c r="Q161" i="13" s="1"/>
  <c r="G165" i="13"/>
  <c r="H165" i="13" s="1"/>
  <c r="I165" i="13" s="1"/>
  <c r="J165" i="13" s="1"/>
  <c r="K165" i="13" s="1"/>
  <c r="L165" i="13" s="1"/>
  <c r="M165" i="13" s="1"/>
  <c r="N165" i="13" s="1"/>
  <c r="O165" i="13" s="1"/>
  <c r="P165" i="13" s="1"/>
  <c r="Q165" i="13" s="1"/>
  <c r="G122" i="13"/>
  <c r="H122" i="13" s="1"/>
  <c r="I122" i="13" s="1"/>
  <c r="J122" i="13" s="1"/>
  <c r="K122" i="13" s="1"/>
  <c r="L122" i="13" s="1"/>
  <c r="M122" i="13" s="1"/>
  <c r="N122" i="13" s="1"/>
  <c r="O122" i="13" s="1"/>
  <c r="P122" i="13" s="1"/>
  <c r="Q122" i="13" s="1"/>
  <c r="G129" i="13"/>
  <c r="H129" i="13" s="1"/>
  <c r="I129" i="13" s="1"/>
  <c r="J129" i="13" s="1"/>
  <c r="K129" i="13" s="1"/>
  <c r="L129" i="13" s="1"/>
  <c r="M129" i="13" s="1"/>
  <c r="N129" i="13" s="1"/>
  <c r="O129" i="13" s="1"/>
  <c r="P129" i="13" s="1"/>
  <c r="Q129" i="13" s="1"/>
  <c r="G117" i="13"/>
  <c r="H117" i="13" s="1"/>
  <c r="I117" i="13" s="1"/>
  <c r="J117" i="13" s="1"/>
  <c r="K117" i="13" s="1"/>
  <c r="L117" i="13" s="1"/>
  <c r="M117" i="13" s="1"/>
  <c r="N117" i="13" s="1"/>
  <c r="O117" i="13" s="1"/>
  <c r="P117" i="13" s="1"/>
  <c r="Q117" i="13" s="1"/>
  <c r="G134" i="13"/>
  <c r="H134" i="13"/>
  <c r="I134" i="13" s="1"/>
  <c r="J134" i="13" s="1"/>
  <c r="K134" i="13" s="1"/>
  <c r="L134" i="13" s="1"/>
  <c r="M134" i="13" s="1"/>
  <c r="N134" i="13" s="1"/>
  <c r="O134" i="13" s="1"/>
  <c r="P134" i="13" s="1"/>
  <c r="Q134" i="13" s="1"/>
  <c r="G102" i="13"/>
  <c r="H102" i="13" s="1"/>
  <c r="I102" i="13" s="1"/>
  <c r="J102" i="13" s="1"/>
  <c r="K102" i="13" s="1"/>
  <c r="L102" i="13" s="1"/>
  <c r="M102" i="13" s="1"/>
  <c r="N102" i="13" s="1"/>
  <c r="O102" i="13" s="1"/>
  <c r="P102" i="13" s="1"/>
  <c r="Q102" i="13" s="1"/>
  <c r="G90" i="13"/>
  <c r="H90" i="13" s="1"/>
  <c r="I90" i="13" s="1"/>
  <c r="J90" i="13" s="1"/>
  <c r="K90" i="13" s="1"/>
  <c r="L90" i="13" s="1"/>
  <c r="M90" i="13" s="1"/>
  <c r="N90" i="13" s="1"/>
  <c r="O90" i="13" s="1"/>
  <c r="P90" i="13" s="1"/>
  <c r="Q90" i="13" s="1"/>
  <c r="G66" i="13"/>
  <c r="H66" i="13" s="1"/>
  <c r="I66" i="13" s="1"/>
  <c r="J66" i="13" s="1"/>
  <c r="K66" i="13" s="1"/>
  <c r="L66" i="13" s="1"/>
  <c r="M66" i="13" s="1"/>
  <c r="N66" i="13" s="1"/>
  <c r="O66" i="13" s="1"/>
  <c r="P66" i="13" s="1"/>
  <c r="Q66" i="13" s="1"/>
  <c r="G54" i="13"/>
  <c r="H54" i="13" s="1"/>
  <c r="I54" i="13" s="1"/>
  <c r="J54" i="13" s="1"/>
  <c r="K54" i="13" s="1"/>
  <c r="L54" i="13" s="1"/>
  <c r="M54" i="13" s="1"/>
  <c r="N54" i="13" s="1"/>
  <c r="O54" i="13" s="1"/>
  <c r="P54" i="13" s="1"/>
  <c r="Q54" i="13" s="1"/>
  <c r="G42" i="13"/>
  <c r="H42" i="13" s="1"/>
  <c r="I42" i="13" s="1"/>
  <c r="J42" i="13" s="1"/>
  <c r="K42" i="13" s="1"/>
  <c r="L42" i="13" s="1"/>
  <c r="M42" i="13" s="1"/>
  <c r="N42" i="13" s="1"/>
  <c r="O42" i="13" s="1"/>
  <c r="P42" i="13" s="1"/>
  <c r="Q42" i="13" s="1"/>
  <c r="G18" i="13"/>
  <c r="H18" i="13" s="1"/>
  <c r="I18" i="13" s="1"/>
  <c r="J18" i="13" s="1"/>
  <c r="K18" i="13" s="1"/>
  <c r="L18" i="13" s="1"/>
  <c r="M18" i="13" s="1"/>
  <c r="N18" i="13" s="1"/>
  <c r="O18" i="13" s="1"/>
  <c r="P18" i="13" s="1"/>
  <c r="Q18" i="13" s="1"/>
  <c r="G85" i="13"/>
  <c r="H85" i="13" s="1"/>
  <c r="I85" i="13" s="1"/>
  <c r="J85" i="13" s="1"/>
  <c r="K85" i="13" s="1"/>
  <c r="L85" i="13" s="1"/>
  <c r="M85" i="13" s="1"/>
  <c r="N85" i="13" s="1"/>
  <c r="O85" i="13" s="1"/>
  <c r="P85" i="13" s="1"/>
  <c r="Q85" i="13" s="1"/>
  <c r="G61" i="13"/>
  <c r="H61" i="13" s="1"/>
  <c r="I61" i="13" s="1"/>
  <c r="J61" i="13" s="1"/>
  <c r="K61" i="13" s="1"/>
  <c r="L61" i="13" s="1"/>
  <c r="M61" i="13" s="1"/>
  <c r="N61" i="13" s="1"/>
  <c r="O61" i="13" s="1"/>
  <c r="P61" i="13" s="1"/>
  <c r="Q61" i="13" s="1"/>
  <c r="G49" i="13"/>
  <c r="H49" i="13" s="1"/>
  <c r="I49" i="13" s="1"/>
  <c r="J49" i="13" s="1"/>
  <c r="K49" i="13" s="1"/>
  <c r="L49" i="13" s="1"/>
  <c r="M49" i="13" s="1"/>
  <c r="N49" i="13" s="1"/>
  <c r="O49" i="13" s="1"/>
  <c r="P49" i="13" s="1"/>
  <c r="Q49" i="13" s="1"/>
  <c r="G37" i="13"/>
  <c r="H37" i="13" s="1"/>
  <c r="I37" i="13" s="1"/>
  <c r="J37" i="13" s="1"/>
  <c r="K37" i="13" s="1"/>
  <c r="L37" i="13" s="1"/>
  <c r="M37" i="13" s="1"/>
  <c r="N37" i="13" s="1"/>
  <c r="O37" i="13" s="1"/>
  <c r="P37" i="13" s="1"/>
  <c r="Q37" i="13" s="1"/>
  <c r="H204" i="13"/>
  <c r="I204" i="13" s="1"/>
  <c r="J204" i="13" s="1"/>
  <c r="K204" i="13" s="1"/>
  <c r="L204" i="13" s="1"/>
  <c r="M204" i="13" s="1"/>
  <c r="N204" i="13" s="1"/>
  <c r="O204" i="13" s="1"/>
  <c r="P204" i="13" s="1"/>
  <c r="Q204" i="13" s="1"/>
  <c r="H185" i="13"/>
  <c r="I185" i="13" s="1"/>
  <c r="J185" i="13" s="1"/>
  <c r="K185" i="13" s="1"/>
  <c r="L185" i="13" s="1"/>
  <c r="M185" i="13" s="1"/>
  <c r="N185" i="13" s="1"/>
  <c r="O185" i="13" s="1"/>
  <c r="P185" i="13" s="1"/>
  <c r="Q185" i="13" s="1"/>
  <c r="H180" i="13"/>
  <c r="I180" i="13" s="1"/>
  <c r="J180" i="13" s="1"/>
  <c r="K180" i="13" s="1"/>
  <c r="L180" i="13" s="1"/>
  <c r="M180" i="13" s="1"/>
  <c r="N180" i="13" s="1"/>
  <c r="O180" i="13" s="1"/>
  <c r="P180" i="13" s="1"/>
  <c r="Q180" i="13" s="1"/>
  <c r="H130" i="13"/>
  <c r="I130" i="13" s="1"/>
  <c r="J130" i="13" s="1"/>
  <c r="K130" i="13" s="1"/>
  <c r="L130" i="13" s="1"/>
  <c r="M130" i="13" s="1"/>
  <c r="N130" i="13" s="1"/>
  <c r="O130" i="13" s="1"/>
  <c r="P130" i="13" s="1"/>
  <c r="Q130" i="13" s="1"/>
  <c r="H103" i="13"/>
  <c r="I103" i="13" s="1"/>
  <c r="J103" i="13" s="1"/>
  <c r="K103" i="13" s="1"/>
  <c r="L103" i="13" s="1"/>
  <c r="M103" i="13" s="1"/>
  <c r="N103" i="13" s="1"/>
  <c r="O103" i="13" s="1"/>
  <c r="P103" i="13" s="1"/>
  <c r="Q103" i="13" s="1"/>
  <c r="H50" i="13"/>
  <c r="I50" i="13" s="1"/>
  <c r="J50" i="13" s="1"/>
  <c r="K50" i="13" s="1"/>
  <c r="L50" i="13" s="1"/>
  <c r="M50" i="13" s="1"/>
  <c r="N50" i="13" s="1"/>
  <c r="O50" i="13" s="1"/>
  <c r="P50" i="13" s="1"/>
  <c r="Q50" i="13" s="1"/>
  <c r="H43" i="13"/>
  <c r="I43" i="13" s="1"/>
  <c r="J43" i="13" s="1"/>
  <c r="K43" i="13" s="1"/>
  <c r="L43" i="13" s="1"/>
  <c r="M43" i="13" s="1"/>
  <c r="N43" i="13" s="1"/>
  <c r="O43" i="13" s="1"/>
  <c r="P43" i="13" s="1"/>
  <c r="Q43" i="13" s="1"/>
  <c r="H38" i="13"/>
  <c r="I38" i="13" s="1"/>
  <c r="J38" i="13" s="1"/>
  <c r="K38" i="13" s="1"/>
  <c r="L38" i="13" s="1"/>
  <c r="M38" i="13" s="1"/>
  <c r="N38" i="13" s="1"/>
  <c r="O38" i="13" s="1"/>
  <c r="P38" i="13" s="1"/>
  <c r="Q38" i="13" s="1"/>
  <c r="Q34" i="17" l="1"/>
  <c r="Q34" i="19" s="1"/>
  <c r="P34" i="19"/>
  <c r="P35" i="20" s="1"/>
  <c r="Q46" i="19"/>
  <c r="Q69" i="20" s="1"/>
  <c r="P69" i="20"/>
  <c r="C47" i="14"/>
  <c r="C48" i="14" s="1"/>
  <c r="D47" i="14"/>
  <c r="D48" i="14" s="1"/>
  <c r="E47" i="14"/>
  <c r="E48" i="14" s="1"/>
  <c r="F47" i="14"/>
  <c r="F48" i="14" s="1"/>
  <c r="G47" i="14"/>
  <c r="G48" i="14" s="1"/>
  <c r="Q35" i="20" l="1"/>
  <c r="H48" i="14"/>
  <c r="G44" i="14"/>
  <c r="F44" i="14"/>
  <c r="E44" i="14"/>
  <c r="D44" i="14"/>
  <c r="C44" i="14"/>
  <c r="G41" i="14"/>
  <c r="F41" i="14"/>
  <c r="E41" i="14"/>
  <c r="D41" i="14"/>
  <c r="C41" i="14"/>
  <c r="G38" i="14"/>
  <c r="F38" i="14"/>
  <c r="E38" i="14"/>
  <c r="D38" i="14"/>
  <c r="C38" i="14"/>
  <c r="G35" i="14"/>
  <c r="G23" i="18" s="1"/>
  <c r="F35" i="14"/>
  <c r="E35" i="14"/>
  <c r="D35" i="14"/>
  <c r="D23" i="18" s="1"/>
  <c r="C35" i="14"/>
  <c r="C23" i="18" s="1"/>
  <c r="G32" i="14"/>
  <c r="F32" i="14"/>
  <c r="E32" i="14"/>
  <c r="D32" i="14"/>
  <c r="C32" i="14"/>
  <c r="G29" i="14"/>
  <c r="F29" i="14"/>
  <c r="E29" i="14"/>
  <c r="D29" i="14"/>
  <c r="C29" i="14"/>
  <c r="G26" i="14"/>
  <c r="F26" i="14"/>
  <c r="E26" i="14"/>
  <c r="D26" i="14"/>
  <c r="C26" i="14"/>
  <c r="G22" i="14"/>
  <c r="F22" i="14"/>
  <c r="E22" i="14"/>
  <c r="D22" i="14"/>
  <c r="C22" i="14"/>
  <c r="G19" i="14"/>
  <c r="F19" i="14"/>
  <c r="F18" i="18" s="1"/>
  <c r="E19" i="14"/>
  <c r="E18" i="18" s="1"/>
  <c r="D19" i="14"/>
  <c r="D18" i="18" s="1"/>
  <c r="C19" i="14"/>
  <c r="G16" i="14"/>
  <c r="G17" i="18" s="1"/>
  <c r="F16" i="14"/>
  <c r="E16" i="14"/>
  <c r="D16" i="14"/>
  <c r="D17" i="18" s="1"/>
  <c r="C16" i="14"/>
  <c r="C17" i="18" s="1"/>
  <c r="C32" i="7"/>
  <c r="D32" i="7"/>
  <c r="E32" i="7"/>
  <c r="F32" i="7"/>
  <c r="G32" i="7"/>
  <c r="G36" i="18" s="1"/>
  <c r="G22" i="7"/>
  <c r="G58" i="7" s="1"/>
  <c r="C13" i="3"/>
  <c r="H61" i="7"/>
  <c r="H60" i="7" s="1"/>
  <c r="H54" i="7"/>
  <c r="H47" i="7"/>
  <c r="D58" i="7"/>
  <c r="E58" i="7"/>
  <c r="F58" i="7"/>
  <c r="D51" i="7"/>
  <c r="E51" i="7"/>
  <c r="F51" i="7"/>
  <c r="G51" i="7"/>
  <c r="D44" i="7"/>
  <c r="E44" i="7"/>
  <c r="F44" i="7"/>
  <c r="G44" i="7"/>
  <c r="D37" i="7"/>
  <c r="E37" i="7"/>
  <c r="F37" i="7"/>
  <c r="G27" i="7"/>
  <c r="H40" i="7" s="1"/>
  <c r="C30" i="7"/>
  <c r="D30" i="7"/>
  <c r="E30" i="7"/>
  <c r="F30" i="7"/>
  <c r="C16" i="7"/>
  <c r="C14" i="7" s="1"/>
  <c r="D16" i="7"/>
  <c r="D14" i="7" s="1"/>
  <c r="E16" i="7"/>
  <c r="E14" i="7" s="1"/>
  <c r="F16" i="7"/>
  <c r="F14" i="7" s="1"/>
  <c r="C220" i="13"/>
  <c r="C225" i="13"/>
  <c r="D225" i="13"/>
  <c r="E225" i="13"/>
  <c r="E17" i="19" s="1"/>
  <c r="F225" i="13"/>
  <c r="F17" i="19" s="1"/>
  <c r="G225" i="13"/>
  <c r="G17" i="19" s="1"/>
  <c r="C172" i="13"/>
  <c r="D172" i="13"/>
  <c r="E172" i="13"/>
  <c r="F172" i="13"/>
  <c r="G172" i="13"/>
  <c r="C141" i="13"/>
  <c r="D141" i="13"/>
  <c r="E141" i="13"/>
  <c r="F141" i="13"/>
  <c r="G141" i="13"/>
  <c r="C109" i="13"/>
  <c r="D109" i="13"/>
  <c r="E109" i="13"/>
  <c r="F109" i="13"/>
  <c r="G109" i="13"/>
  <c r="G226" i="13" l="1"/>
  <c r="G51" i="20" s="1"/>
  <c r="F226" i="13"/>
  <c r="F51" i="20" s="1"/>
  <c r="E226" i="13"/>
  <c r="E51" i="20" s="1"/>
  <c r="H39" i="7"/>
  <c r="I40" i="7"/>
  <c r="J40" i="7" s="1"/>
  <c r="K40" i="7" s="1"/>
  <c r="L40" i="7" s="1"/>
  <c r="M40" i="7" s="1"/>
  <c r="N40" i="7" s="1"/>
  <c r="O40" i="7" s="1"/>
  <c r="P40" i="7" s="1"/>
  <c r="Q40" i="7" s="1"/>
  <c r="F13" i="7"/>
  <c r="F18" i="17"/>
  <c r="F24" i="17"/>
  <c r="F47" i="17"/>
  <c r="F14" i="18"/>
  <c r="F77" i="17"/>
  <c r="F21" i="17"/>
  <c r="F66" i="17"/>
  <c r="F54" i="17"/>
  <c r="F63" i="17"/>
  <c r="F74" i="17"/>
  <c r="F83" i="17"/>
  <c r="F41" i="17"/>
  <c r="F35" i="17"/>
  <c r="F44" i="17"/>
  <c r="F57" i="17"/>
  <c r="F27" i="17"/>
  <c r="F60" i="17"/>
  <c r="F38" i="17"/>
  <c r="F71" i="17"/>
  <c r="F30" i="17"/>
  <c r="F86" i="17"/>
  <c r="F80" i="17"/>
  <c r="I47" i="7"/>
  <c r="J47" i="7" s="1"/>
  <c r="K47" i="7" s="1"/>
  <c r="L47" i="7" s="1"/>
  <c r="M47" i="7" s="1"/>
  <c r="N47" i="7" s="1"/>
  <c r="O47" i="7" s="1"/>
  <c r="P47" i="7" s="1"/>
  <c r="Q47" i="7" s="1"/>
  <c r="E13" i="7"/>
  <c r="E18" i="17"/>
  <c r="E35" i="17"/>
  <c r="E86" i="17"/>
  <c r="E77" i="17"/>
  <c r="E14" i="18"/>
  <c r="E24" i="17"/>
  <c r="E83" i="17"/>
  <c r="E41" i="17"/>
  <c r="E60" i="17"/>
  <c r="E30" i="17"/>
  <c r="E71" i="17"/>
  <c r="E63" i="17"/>
  <c r="E74" i="17"/>
  <c r="E44" i="17"/>
  <c r="E54" i="17"/>
  <c r="E27" i="17"/>
  <c r="E47" i="17"/>
  <c r="E38" i="17"/>
  <c r="E80" i="17"/>
  <c r="E57" i="17"/>
  <c r="E21" i="17"/>
  <c r="E66" i="17"/>
  <c r="I54" i="7"/>
  <c r="J54" i="7" s="1"/>
  <c r="K54" i="7" s="1"/>
  <c r="L54" i="7" s="1"/>
  <c r="M54" i="7" s="1"/>
  <c r="N54" i="7" s="1"/>
  <c r="O54" i="7" s="1"/>
  <c r="P54" i="7" s="1"/>
  <c r="Q54" i="7" s="1"/>
  <c r="F14" i="14"/>
  <c r="F36" i="14" s="1"/>
  <c r="D13" i="7"/>
  <c r="D18" i="17"/>
  <c r="D35" i="17"/>
  <c r="D86" i="17"/>
  <c r="D54" i="17"/>
  <c r="D14" i="18"/>
  <c r="D77" i="17"/>
  <c r="D74" i="17"/>
  <c r="D27" i="17"/>
  <c r="D60" i="17"/>
  <c r="D38" i="17"/>
  <c r="D21" i="17"/>
  <c r="D57" i="17"/>
  <c r="D63" i="17"/>
  <c r="D47" i="17"/>
  <c r="D80" i="17"/>
  <c r="D30" i="17"/>
  <c r="D66" i="17"/>
  <c r="D24" i="17"/>
  <c r="D83" i="17"/>
  <c r="D41" i="17"/>
  <c r="D44" i="17"/>
  <c r="D71" i="17"/>
  <c r="E14" i="14"/>
  <c r="E45" i="14" s="1"/>
  <c r="C13" i="7"/>
  <c r="C35" i="17"/>
  <c r="C27" i="17"/>
  <c r="C14" i="18"/>
  <c r="C86" i="17"/>
  <c r="C54" i="17"/>
  <c r="C18" i="17"/>
  <c r="C71" i="17"/>
  <c r="C60" i="17"/>
  <c r="C24" i="17"/>
  <c r="C57" i="17"/>
  <c r="C83" i="17"/>
  <c r="C63" i="17"/>
  <c r="C21" i="17"/>
  <c r="C38" i="17"/>
  <c r="C66" i="17"/>
  <c r="C44" i="17"/>
  <c r="C77" i="17"/>
  <c r="C30" i="17"/>
  <c r="C74" i="17"/>
  <c r="C47" i="17"/>
  <c r="C80" i="17"/>
  <c r="C41" i="17"/>
  <c r="D14" i="14"/>
  <c r="D23" i="14" s="1"/>
  <c r="C14" i="14"/>
  <c r="C23" i="14" s="1"/>
  <c r="D226" i="13"/>
  <c r="C17" i="19"/>
  <c r="H225" i="13"/>
  <c r="H226" i="13" s="1"/>
  <c r="H51" i="20" s="1"/>
  <c r="D17" i="19"/>
  <c r="G47" i="20"/>
  <c r="G30" i="20"/>
  <c r="F33" i="7"/>
  <c r="F36" i="18"/>
  <c r="E33" i="7"/>
  <c r="E36" i="18"/>
  <c r="D33" i="7"/>
  <c r="D36" i="18"/>
  <c r="C33" i="7"/>
  <c r="C36" i="18"/>
  <c r="C19" i="18"/>
  <c r="E30" i="14"/>
  <c r="E21" i="18"/>
  <c r="G30" i="14"/>
  <c r="G21" i="18"/>
  <c r="C33" i="14"/>
  <c r="C22" i="18"/>
  <c r="E17" i="18"/>
  <c r="F17" i="18"/>
  <c r="E33" i="14"/>
  <c r="E22" i="18"/>
  <c r="D27" i="14"/>
  <c r="D20" i="18"/>
  <c r="F33" i="14"/>
  <c r="F22" i="18"/>
  <c r="G33" i="14"/>
  <c r="G22" i="18"/>
  <c r="F27" i="14"/>
  <c r="F20" i="18"/>
  <c r="G27" i="14"/>
  <c r="G20" i="18"/>
  <c r="D19" i="18"/>
  <c r="F30" i="14"/>
  <c r="F21" i="18"/>
  <c r="E19" i="18"/>
  <c r="F19" i="18"/>
  <c r="G19" i="18"/>
  <c r="D33" i="14"/>
  <c r="D22" i="18"/>
  <c r="C27" i="14"/>
  <c r="C20" i="18"/>
  <c r="C18" i="18"/>
  <c r="E27" i="14"/>
  <c r="E20" i="18"/>
  <c r="I48" i="14"/>
  <c r="J48" i="14" s="1"/>
  <c r="K48" i="14" s="1"/>
  <c r="L48" i="14" s="1"/>
  <c r="M48" i="14" s="1"/>
  <c r="N48" i="14" s="1"/>
  <c r="O48" i="14" s="1"/>
  <c r="P48" i="14" s="1"/>
  <c r="Q48" i="14" s="1"/>
  <c r="C34" i="12"/>
  <c r="C30" i="14"/>
  <c r="C21" i="18"/>
  <c r="B36" i="14"/>
  <c r="H35" i="14" s="1"/>
  <c r="E23" i="18"/>
  <c r="G18" i="18"/>
  <c r="D30" i="14"/>
  <c r="D21" i="18"/>
  <c r="F23" i="18"/>
  <c r="E36" i="14"/>
  <c r="H41" i="7"/>
  <c r="G37" i="7"/>
  <c r="I61" i="7"/>
  <c r="J61" i="7" s="1"/>
  <c r="J60" i="7" s="1"/>
  <c r="H62" i="7"/>
  <c r="H55" i="7"/>
  <c r="H48" i="7"/>
  <c r="H53" i="7"/>
  <c r="H46" i="7"/>
  <c r="G30" i="7"/>
  <c r="H30" i="7" s="1"/>
  <c r="I30" i="7" s="1"/>
  <c r="J30" i="7" s="1"/>
  <c r="K30" i="7" s="1"/>
  <c r="L30" i="7" s="1"/>
  <c r="M30" i="7" s="1"/>
  <c r="N30" i="7" s="1"/>
  <c r="O30" i="7" s="1"/>
  <c r="P30" i="7" s="1"/>
  <c r="Q30" i="7" s="1"/>
  <c r="D18" i="7"/>
  <c r="F18" i="7"/>
  <c r="E18" i="7"/>
  <c r="C18" i="7"/>
  <c r="I41" i="7" l="1"/>
  <c r="I55" i="7"/>
  <c r="I53" i="7"/>
  <c r="J55" i="7"/>
  <c r="E17" i="14"/>
  <c r="F23" i="14"/>
  <c r="E23" i="14"/>
  <c r="C45" i="14"/>
  <c r="E39" i="14"/>
  <c r="E20" i="14"/>
  <c r="F45" i="14"/>
  <c r="D39" i="14"/>
  <c r="C36" i="14"/>
  <c r="D20" i="14"/>
  <c r="F17" i="14"/>
  <c r="F20" i="14"/>
  <c r="F42" i="14"/>
  <c r="F39" i="14"/>
  <c r="D36" i="14"/>
  <c r="E42" i="14"/>
  <c r="I48" i="7"/>
  <c r="C39" i="14"/>
  <c r="D45" i="14"/>
  <c r="C17" i="14"/>
  <c r="D42" i="14"/>
  <c r="I46" i="7"/>
  <c r="D17" i="14"/>
  <c r="C20" i="14"/>
  <c r="C42" i="14"/>
  <c r="J48" i="7"/>
  <c r="D51" i="20"/>
  <c r="I226" i="13"/>
  <c r="I51" i="20" s="1"/>
  <c r="D47" i="20"/>
  <c r="D30" i="20"/>
  <c r="E47" i="20"/>
  <c r="E30" i="20"/>
  <c r="F47" i="20"/>
  <c r="F30" i="20"/>
  <c r="H30" i="14"/>
  <c r="I30" i="14" s="1"/>
  <c r="J30" i="14" s="1"/>
  <c r="K30" i="14" s="1"/>
  <c r="L30" i="14" s="1"/>
  <c r="D26" i="18"/>
  <c r="D25" i="18"/>
  <c r="F25" i="18"/>
  <c r="G25" i="18"/>
  <c r="C24" i="18"/>
  <c r="E26" i="18"/>
  <c r="F34" i="18"/>
  <c r="G26" i="18"/>
  <c r="E34" i="18"/>
  <c r="F24" i="18"/>
  <c r="C34" i="18"/>
  <c r="C25" i="18"/>
  <c r="E25" i="18"/>
  <c r="C26" i="18"/>
  <c r="G34" i="18"/>
  <c r="D24" i="18"/>
  <c r="F26" i="18"/>
  <c r="E24" i="18"/>
  <c r="D34" i="18"/>
  <c r="G24" i="18"/>
  <c r="H27" i="14"/>
  <c r="I27" i="14" s="1"/>
  <c r="J27" i="14" s="1"/>
  <c r="K27" i="14" s="1"/>
  <c r="L27" i="14" s="1"/>
  <c r="M27" i="14" s="1"/>
  <c r="N27" i="14" s="1"/>
  <c r="O27" i="14" s="1"/>
  <c r="P27" i="14" s="1"/>
  <c r="Q27" i="14" s="1"/>
  <c r="H33" i="14"/>
  <c r="I33" i="14" s="1"/>
  <c r="J33" i="14" s="1"/>
  <c r="K33" i="14" s="1"/>
  <c r="L33" i="14" s="1"/>
  <c r="M33" i="14" s="1"/>
  <c r="N33" i="14" s="1"/>
  <c r="O33" i="14" s="1"/>
  <c r="P33" i="14" s="1"/>
  <c r="Q33" i="14" s="1"/>
  <c r="I35" i="14"/>
  <c r="H23" i="18"/>
  <c r="K61" i="7"/>
  <c r="K62" i="7" s="1"/>
  <c r="H17" i="19"/>
  <c r="I60" i="7"/>
  <c r="I62" i="7"/>
  <c r="J62" i="7"/>
  <c r="G29" i="7"/>
  <c r="G16" i="7" s="1"/>
  <c r="K60" i="7"/>
  <c r="L61" i="7"/>
  <c r="K55" i="7"/>
  <c r="J53" i="7"/>
  <c r="J46" i="7"/>
  <c r="I39" i="7"/>
  <c r="G18" i="7"/>
  <c r="E207" i="13"/>
  <c r="C205" i="13"/>
  <c r="C211" i="13" s="1"/>
  <c r="D205" i="13"/>
  <c r="D211" i="13" s="1"/>
  <c r="E195" i="13"/>
  <c r="F195" i="13" s="1"/>
  <c r="G195" i="13" s="1"/>
  <c r="H195" i="13" s="1"/>
  <c r="I195" i="13" s="1"/>
  <c r="J195" i="13" s="1"/>
  <c r="K195" i="13" s="1"/>
  <c r="L195" i="13" s="1"/>
  <c r="M195" i="13" s="1"/>
  <c r="N195" i="13" s="1"/>
  <c r="O195" i="13" s="1"/>
  <c r="P195" i="13" s="1"/>
  <c r="Q195" i="13" s="1"/>
  <c r="C193" i="13"/>
  <c r="C198" i="13" s="1"/>
  <c r="D193" i="13"/>
  <c r="E183" i="13"/>
  <c r="F183" i="13" s="1"/>
  <c r="G183" i="13" s="1"/>
  <c r="H183" i="13" s="1"/>
  <c r="I183" i="13" s="1"/>
  <c r="J183" i="13" s="1"/>
  <c r="K183" i="13" s="1"/>
  <c r="L183" i="13" s="1"/>
  <c r="M183" i="13" s="1"/>
  <c r="N183" i="13" s="1"/>
  <c r="O183" i="13" s="1"/>
  <c r="P183" i="13" s="1"/>
  <c r="Q183" i="13" s="1"/>
  <c r="D181" i="13"/>
  <c r="D164" i="13"/>
  <c r="E164" i="13" s="1"/>
  <c r="F164" i="13" s="1"/>
  <c r="G164" i="13" s="1"/>
  <c r="H164" i="13" s="1"/>
  <c r="I164" i="13" s="1"/>
  <c r="J164" i="13" s="1"/>
  <c r="K164" i="13" s="1"/>
  <c r="L164" i="13" s="1"/>
  <c r="M164" i="13" s="1"/>
  <c r="N164" i="13" s="1"/>
  <c r="O164" i="13" s="1"/>
  <c r="P164" i="13" s="1"/>
  <c r="Q164" i="13" s="1"/>
  <c r="C162" i="13"/>
  <c r="D152" i="13"/>
  <c r="E152" i="13" s="1"/>
  <c r="F152" i="13" s="1"/>
  <c r="G152" i="13" s="1"/>
  <c r="H152" i="13" s="1"/>
  <c r="I152" i="13" s="1"/>
  <c r="J152" i="13" s="1"/>
  <c r="K152" i="13" s="1"/>
  <c r="L152" i="13" s="1"/>
  <c r="M152" i="13" s="1"/>
  <c r="N152" i="13" s="1"/>
  <c r="O152" i="13" s="1"/>
  <c r="P152" i="13" s="1"/>
  <c r="Q152" i="13" s="1"/>
  <c r="C150" i="13"/>
  <c r="C155" i="13" s="1"/>
  <c r="D147" i="13"/>
  <c r="D150" i="13" s="1"/>
  <c r="D133" i="13"/>
  <c r="E133" i="13" s="1"/>
  <c r="F133" i="13" s="1"/>
  <c r="G133" i="13" s="1"/>
  <c r="H133" i="13" s="1"/>
  <c r="I133" i="13" s="1"/>
  <c r="J133" i="13" s="1"/>
  <c r="K133" i="13" s="1"/>
  <c r="L133" i="13" s="1"/>
  <c r="M133" i="13" s="1"/>
  <c r="N133" i="13" s="1"/>
  <c r="O133" i="13" s="1"/>
  <c r="P133" i="13" s="1"/>
  <c r="Q133" i="13" s="1"/>
  <c r="C131" i="13"/>
  <c r="C136" i="13" s="1"/>
  <c r="D128" i="13"/>
  <c r="D131" i="13" s="1"/>
  <c r="D121" i="13"/>
  <c r="E121" i="13" s="1"/>
  <c r="F121" i="13" s="1"/>
  <c r="G121" i="13" s="1"/>
  <c r="H121" i="13" s="1"/>
  <c r="I121" i="13" s="1"/>
  <c r="J121" i="13" s="1"/>
  <c r="K121" i="13" s="1"/>
  <c r="L121" i="13" s="1"/>
  <c r="M121" i="13" s="1"/>
  <c r="N121" i="13" s="1"/>
  <c r="O121" i="13" s="1"/>
  <c r="P121" i="13" s="1"/>
  <c r="Q121" i="13" s="1"/>
  <c r="C119" i="13"/>
  <c r="C124" i="13" s="1"/>
  <c r="F79" i="13"/>
  <c r="F78" i="13"/>
  <c r="F74" i="13"/>
  <c r="F73" i="13"/>
  <c r="G73" i="13" s="1"/>
  <c r="H73" i="13" s="1"/>
  <c r="I73" i="13" s="1"/>
  <c r="J73" i="13" s="1"/>
  <c r="K73" i="13" s="1"/>
  <c r="L73" i="13" s="1"/>
  <c r="M73" i="13" s="1"/>
  <c r="N73" i="13" s="1"/>
  <c r="O73" i="13" s="1"/>
  <c r="P73" i="13" s="1"/>
  <c r="Q73" i="13" s="1"/>
  <c r="F30" i="13"/>
  <c r="G30" i="13" s="1"/>
  <c r="H30" i="13" s="1"/>
  <c r="I30" i="13" s="1"/>
  <c r="J30" i="13" s="1"/>
  <c r="K30" i="13" s="1"/>
  <c r="L30" i="13" s="1"/>
  <c r="M30" i="13" s="1"/>
  <c r="N30" i="13" s="1"/>
  <c r="O30" i="13" s="1"/>
  <c r="P30" i="13" s="1"/>
  <c r="Q30" i="13" s="1"/>
  <c r="E31" i="13"/>
  <c r="E30" i="13"/>
  <c r="F25" i="13"/>
  <c r="G25" i="13" s="1"/>
  <c r="H25" i="13" s="1"/>
  <c r="I25" i="13" s="1"/>
  <c r="J25" i="13" s="1"/>
  <c r="K25" i="13" s="1"/>
  <c r="L25" i="13" s="1"/>
  <c r="M25" i="13" s="1"/>
  <c r="N25" i="13" s="1"/>
  <c r="O25" i="13" s="1"/>
  <c r="P25" i="13" s="1"/>
  <c r="Q25" i="13" s="1"/>
  <c r="D96" i="13"/>
  <c r="D99" i="13" s="1"/>
  <c r="E96" i="13" s="1"/>
  <c r="E99" i="13" s="1"/>
  <c r="F96" i="13" s="1"/>
  <c r="D84" i="13"/>
  <c r="D87" i="13" s="1"/>
  <c r="E84" i="13" s="1"/>
  <c r="E87" i="13" s="1"/>
  <c r="F84" i="13" s="1"/>
  <c r="F87" i="13" s="1"/>
  <c r="G84" i="13" s="1"/>
  <c r="G87" i="13" s="1"/>
  <c r="H84" i="13" s="1"/>
  <c r="H87" i="13" s="1"/>
  <c r="I84" i="13" s="1"/>
  <c r="I87" i="13" s="1"/>
  <c r="J84" i="13" s="1"/>
  <c r="J87" i="13" s="1"/>
  <c r="K84" i="13" s="1"/>
  <c r="K87" i="13" s="1"/>
  <c r="L84" i="13" s="1"/>
  <c r="L87" i="13" s="1"/>
  <c r="M84" i="13" s="1"/>
  <c r="M87" i="13" s="1"/>
  <c r="N84" i="13" s="1"/>
  <c r="N87" i="13" s="1"/>
  <c r="O84" i="13" s="1"/>
  <c r="O87" i="13" s="1"/>
  <c r="P84" i="13" s="1"/>
  <c r="P87" i="13" s="1"/>
  <c r="Q84" i="13" s="1"/>
  <c r="Q87" i="13" s="1"/>
  <c r="D72" i="13"/>
  <c r="D60" i="13"/>
  <c r="D63" i="13" s="1"/>
  <c r="E60" i="13" s="1"/>
  <c r="E63" i="13" s="1"/>
  <c r="F60" i="13" s="1"/>
  <c r="F63" i="13" s="1"/>
  <c r="G60" i="13" s="1"/>
  <c r="G63" i="13" s="1"/>
  <c r="H60" i="13" s="1"/>
  <c r="H63" i="13" s="1"/>
  <c r="I60" i="13" s="1"/>
  <c r="I63" i="13" s="1"/>
  <c r="J60" i="13" s="1"/>
  <c r="J63" i="13" s="1"/>
  <c r="K60" i="13" s="1"/>
  <c r="K63" i="13" s="1"/>
  <c r="L60" i="13" s="1"/>
  <c r="L63" i="13" s="1"/>
  <c r="M60" i="13" s="1"/>
  <c r="M63" i="13" s="1"/>
  <c r="N60" i="13" s="1"/>
  <c r="N63" i="13" s="1"/>
  <c r="O60" i="13" s="1"/>
  <c r="O63" i="13" s="1"/>
  <c r="P60" i="13" s="1"/>
  <c r="P63" i="13" s="1"/>
  <c r="Q60" i="13" s="1"/>
  <c r="Q63" i="13" s="1"/>
  <c r="D48" i="13"/>
  <c r="D51" i="13" s="1"/>
  <c r="E48" i="13" s="1"/>
  <c r="E51" i="13" s="1"/>
  <c r="F48" i="13" s="1"/>
  <c r="F51" i="13" s="1"/>
  <c r="G48" i="13" s="1"/>
  <c r="G51" i="13" s="1"/>
  <c r="H48" i="13" s="1"/>
  <c r="H51" i="13" s="1"/>
  <c r="I48" i="13" s="1"/>
  <c r="I51" i="13" s="1"/>
  <c r="J48" i="13" s="1"/>
  <c r="J51" i="13" s="1"/>
  <c r="K48" i="13" s="1"/>
  <c r="K51" i="13" s="1"/>
  <c r="L48" i="13" s="1"/>
  <c r="L51" i="13" s="1"/>
  <c r="M48" i="13" s="1"/>
  <c r="M51" i="13" s="1"/>
  <c r="N48" i="13" s="1"/>
  <c r="N51" i="13" s="1"/>
  <c r="O48" i="13" s="1"/>
  <c r="O51" i="13" s="1"/>
  <c r="P48" i="13" s="1"/>
  <c r="P51" i="13" s="1"/>
  <c r="Q48" i="13" s="1"/>
  <c r="Q51" i="13" s="1"/>
  <c r="D36" i="13"/>
  <c r="D39" i="13" s="1"/>
  <c r="D24" i="13"/>
  <c r="E79" i="13"/>
  <c r="E78" i="13"/>
  <c r="D79" i="13"/>
  <c r="D78" i="13"/>
  <c r="D221" i="13" s="1"/>
  <c r="D30" i="18" s="1"/>
  <c r="D77" i="13"/>
  <c r="E77" i="13" s="1"/>
  <c r="E74" i="13"/>
  <c r="E73" i="13"/>
  <c r="D74" i="13"/>
  <c r="D73" i="13"/>
  <c r="E101" i="13"/>
  <c r="F101" i="13" s="1"/>
  <c r="G101" i="13" s="1"/>
  <c r="H101" i="13" s="1"/>
  <c r="I101" i="13" s="1"/>
  <c r="J101" i="13" s="1"/>
  <c r="K101" i="13" s="1"/>
  <c r="L101" i="13" s="1"/>
  <c r="M101" i="13" s="1"/>
  <c r="N101" i="13" s="1"/>
  <c r="O101" i="13" s="1"/>
  <c r="P101" i="13" s="1"/>
  <c r="Q101" i="13" s="1"/>
  <c r="E89" i="13"/>
  <c r="F89" i="13" s="1"/>
  <c r="G89" i="13" s="1"/>
  <c r="H89" i="13" s="1"/>
  <c r="I89" i="13" s="1"/>
  <c r="J89" i="13" s="1"/>
  <c r="K89" i="13" s="1"/>
  <c r="L89" i="13" s="1"/>
  <c r="M89" i="13" s="1"/>
  <c r="N89" i="13" s="1"/>
  <c r="O89" i="13" s="1"/>
  <c r="P89" i="13" s="1"/>
  <c r="Q89" i="13" s="1"/>
  <c r="E65" i="13"/>
  <c r="F65" i="13" s="1"/>
  <c r="G65" i="13" s="1"/>
  <c r="H65" i="13" s="1"/>
  <c r="I65" i="13" s="1"/>
  <c r="J65" i="13" s="1"/>
  <c r="K65" i="13" s="1"/>
  <c r="L65" i="13" s="1"/>
  <c r="M65" i="13" s="1"/>
  <c r="N65" i="13" s="1"/>
  <c r="O65" i="13" s="1"/>
  <c r="P65" i="13" s="1"/>
  <c r="Q65" i="13" s="1"/>
  <c r="E53" i="13"/>
  <c r="F53" i="13" s="1"/>
  <c r="G53" i="13" s="1"/>
  <c r="H53" i="13" s="1"/>
  <c r="I53" i="13" s="1"/>
  <c r="J53" i="13" s="1"/>
  <c r="K53" i="13" s="1"/>
  <c r="L53" i="13" s="1"/>
  <c r="M53" i="13" s="1"/>
  <c r="N53" i="13" s="1"/>
  <c r="O53" i="13" s="1"/>
  <c r="P53" i="13" s="1"/>
  <c r="Q53" i="13" s="1"/>
  <c r="E41" i="13"/>
  <c r="F41" i="13" s="1"/>
  <c r="D30" i="13"/>
  <c r="D29" i="13"/>
  <c r="E29" i="13" s="1"/>
  <c r="F29" i="13" s="1"/>
  <c r="E26" i="13"/>
  <c r="E25" i="13"/>
  <c r="D25" i="13"/>
  <c r="C20" i="13"/>
  <c r="D17" i="13" s="1"/>
  <c r="D20" i="13" s="1"/>
  <c r="E17" i="13" s="1"/>
  <c r="E20" i="13" s="1"/>
  <c r="F17" i="13" s="1"/>
  <c r="F20" i="13" s="1"/>
  <c r="G17" i="13" s="1"/>
  <c r="G20" i="13" s="1"/>
  <c r="H17" i="13" s="1"/>
  <c r="H20" i="13" s="1"/>
  <c r="I17" i="13" s="1"/>
  <c r="I20" i="13" s="1"/>
  <c r="J17" i="13" s="1"/>
  <c r="J20" i="13" s="1"/>
  <c r="K17" i="13" s="1"/>
  <c r="K20" i="13" s="1"/>
  <c r="L17" i="13" s="1"/>
  <c r="L20" i="13" s="1"/>
  <c r="M17" i="13" s="1"/>
  <c r="M20" i="13" s="1"/>
  <c r="N17" i="13" s="1"/>
  <c r="N20" i="13" s="1"/>
  <c r="O17" i="13" s="1"/>
  <c r="O20" i="13" s="1"/>
  <c r="P17" i="13" s="1"/>
  <c r="P20" i="13" s="1"/>
  <c r="Q17" i="13" s="1"/>
  <c r="Q20" i="13" s="1"/>
  <c r="F76" i="6"/>
  <c r="F105" i="6"/>
  <c r="C14" i="6"/>
  <c r="D14" i="6"/>
  <c r="E14" i="6"/>
  <c r="F14" i="6"/>
  <c r="G14" i="6"/>
  <c r="C17" i="6"/>
  <c r="D17" i="6"/>
  <c r="E17" i="6"/>
  <c r="F17" i="6"/>
  <c r="G17" i="6"/>
  <c r="C18" i="6"/>
  <c r="D18" i="6"/>
  <c r="E18" i="6"/>
  <c r="F18" i="6"/>
  <c r="G18" i="6"/>
  <c r="C19" i="6"/>
  <c r="D19" i="6"/>
  <c r="E19" i="6"/>
  <c r="F19" i="6"/>
  <c r="G19" i="6"/>
  <c r="C20" i="6"/>
  <c r="D20" i="6"/>
  <c r="E20" i="6"/>
  <c r="F20" i="6"/>
  <c r="G20" i="6"/>
  <c r="C21" i="6"/>
  <c r="D21" i="6"/>
  <c r="E21" i="6"/>
  <c r="F21" i="6"/>
  <c r="G21" i="6"/>
  <c r="C22" i="6"/>
  <c r="D22" i="6"/>
  <c r="E22" i="6"/>
  <c r="F22" i="6"/>
  <c r="G22" i="6"/>
  <c r="C23" i="6"/>
  <c r="D23" i="6"/>
  <c r="E23" i="6"/>
  <c r="F23" i="6"/>
  <c r="G23" i="6"/>
  <c r="C24" i="6"/>
  <c r="D24" i="6"/>
  <c r="E24" i="6"/>
  <c r="F24" i="6"/>
  <c r="G24" i="6"/>
  <c r="C25" i="6"/>
  <c r="D25" i="6"/>
  <c r="E25" i="6"/>
  <c r="F25" i="6"/>
  <c r="G25" i="6"/>
  <c r="C26" i="6"/>
  <c r="D26" i="6"/>
  <c r="E26" i="6"/>
  <c r="F26" i="6"/>
  <c r="G26" i="6"/>
  <c r="C30" i="6"/>
  <c r="D30" i="6"/>
  <c r="E30" i="6"/>
  <c r="F30" i="6"/>
  <c r="G30" i="6"/>
  <c r="C34" i="6"/>
  <c r="D34" i="6"/>
  <c r="E34" i="6"/>
  <c r="F34" i="6"/>
  <c r="G34" i="6"/>
  <c r="C36" i="6"/>
  <c r="D36" i="6"/>
  <c r="E36" i="6"/>
  <c r="F36" i="6"/>
  <c r="G36" i="6"/>
  <c r="C38" i="6"/>
  <c r="D38" i="6"/>
  <c r="E38" i="6"/>
  <c r="F38" i="6"/>
  <c r="G38" i="6"/>
  <c r="C44" i="6"/>
  <c r="D44" i="6"/>
  <c r="E44" i="6"/>
  <c r="F44" i="6"/>
  <c r="G44" i="6"/>
  <c r="C45" i="6"/>
  <c r="D45" i="6"/>
  <c r="E45" i="6"/>
  <c r="F45" i="6"/>
  <c r="G45" i="6"/>
  <c r="C47" i="6"/>
  <c r="D47" i="6"/>
  <c r="E47" i="6"/>
  <c r="F47" i="6"/>
  <c r="G47" i="6"/>
  <c r="C48" i="6"/>
  <c r="D48" i="6"/>
  <c r="E48" i="6"/>
  <c r="F48" i="6"/>
  <c r="G48" i="6"/>
  <c r="F71" i="5"/>
  <c r="G71" i="5"/>
  <c r="C71" i="5"/>
  <c r="D71" i="5"/>
  <c r="E71" i="5"/>
  <c r="C58" i="5"/>
  <c r="D58" i="5"/>
  <c r="E58" i="5"/>
  <c r="F58" i="5"/>
  <c r="G58" i="5"/>
  <c r="C48" i="5"/>
  <c r="D48" i="5"/>
  <c r="E48" i="5"/>
  <c r="F48" i="5"/>
  <c r="G48" i="5"/>
  <c r="C39" i="5"/>
  <c r="D39" i="5"/>
  <c r="E39" i="5"/>
  <c r="F39" i="5"/>
  <c r="G39" i="5"/>
  <c r="D27" i="5"/>
  <c r="E27" i="5"/>
  <c r="F27" i="5"/>
  <c r="F41" i="5" s="1"/>
  <c r="G27" i="5"/>
  <c r="C27" i="5"/>
  <c r="G50" i="4"/>
  <c r="D28" i="4"/>
  <c r="D32" i="4" s="1"/>
  <c r="D40" i="4" s="1"/>
  <c r="E28" i="4"/>
  <c r="E32" i="4" s="1"/>
  <c r="E40" i="4" s="1"/>
  <c r="E50" i="14" s="1"/>
  <c r="E15" i="12" s="1"/>
  <c r="F28" i="4"/>
  <c r="F32" i="4" s="1"/>
  <c r="F40" i="4" s="1"/>
  <c r="F50" i="14" s="1"/>
  <c r="F15" i="12" s="1"/>
  <c r="G28" i="4"/>
  <c r="G32" i="4" s="1"/>
  <c r="G40" i="4" s="1"/>
  <c r="G50" i="14" s="1"/>
  <c r="C28" i="4"/>
  <c r="C32" i="4" s="1"/>
  <c r="C40" i="4" s="1"/>
  <c r="G78" i="13" l="1"/>
  <c r="F221" i="13"/>
  <c r="F30" i="18" s="1"/>
  <c r="F99" i="13"/>
  <c r="G96" i="13" s="1"/>
  <c r="G97" i="13"/>
  <c r="H97" i="13" s="1"/>
  <c r="I97" i="13" s="1"/>
  <c r="J97" i="13" s="1"/>
  <c r="K97" i="13" s="1"/>
  <c r="L97" i="13" s="1"/>
  <c r="M97" i="13" s="1"/>
  <c r="N97" i="13" s="1"/>
  <c r="O97" i="13" s="1"/>
  <c r="P97" i="13" s="1"/>
  <c r="Q97" i="13" s="1"/>
  <c r="D17" i="12"/>
  <c r="D19" i="20"/>
  <c r="I225" i="13"/>
  <c r="I17" i="19" s="1"/>
  <c r="E221" i="13"/>
  <c r="E30" i="18" s="1"/>
  <c r="G28" i="6"/>
  <c r="G32" i="6" s="1"/>
  <c r="G40" i="6" s="1"/>
  <c r="G50" i="6" s="1"/>
  <c r="F28" i="6"/>
  <c r="F32" i="6" s="1"/>
  <c r="F40" i="6" s="1"/>
  <c r="F50" i="6" s="1"/>
  <c r="E28" i="6"/>
  <c r="E32" i="6" s="1"/>
  <c r="E40" i="6" s="1"/>
  <c r="E50" i="6" s="1"/>
  <c r="D28" i="6"/>
  <c r="D32" i="6" s="1"/>
  <c r="D40" i="6" s="1"/>
  <c r="D50" i="6" s="1"/>
  <c r="C28" i="6"/>
  <c r="C32" i="6" s="1"/>
  <c r="C40" i="6" s="1"/>
  <c r="C50" i="6" s="1"/>
  <c r="F65" i="6"/>
  <c r="F93" i="6"/>
  <c r="F110" i="6"/>
  <c r="F63" i="6"/>
  <c r="F108" i="6"/>
  <c r="F72" i="6"/>
  <c r="F60" i="6"/>
  <c r="F106" i="6"/>
  <c r="F94" i="6"/>
  <c r="F103" i="6"/>
  <c r="F87" i="6"/>
  <c r="F73" i="6"/>
  <c r="F62" i="6"/>
  <c r="F107" i="6"/>
  <c r="F57" i="6"/>
  <c r="F74" i="6"/>
  <c r="F102" i="6"/>
  <c r="F86" i="6"/>
  <c r="F96" i="6"/>
  <c r="F77" i="6"/>
  <c r="F66" i="6"/>
  <c r="F58" i="6"/>
  <c r="F75" i="6"/>
  <c r="F64" i="6"/>
  <c r="F109" i="6"/>
  <c r="F56" i="6"/>
  <c r="F97" i="6"/>
  <c r="F78" i="6"/>
  <c r="F70" i="6"/>
  <c r="F95" i="6"/>
  <c r="F59" i="6"/>
  <c r="E28" i="18"/>
  <c r="E16" i="21" s="1"/>
  <c r="J226" i="13"/>
  <c r="G73" i="5"/>
  <c r="G75" i="5" s="1"/>
  <c r="D28" i="18"/>
  <c r="D32" i="18" s="1"/>
  <c r="C28" i="18"/>
  <c r="C16" i="21" s="1"/>
  <c r="G41" i="5"/>
  <c r="D50" i="14"/>
  <c r="D15" i="12" s="1"/>
  <c r="D50" i="4"/>
  <c r="F50" i="4"/>
  <c r="E50" i="4"/>
  <c r="C50" i="4"/>
  <c r="C50" i="14"/>
  <c r="H50" i="14"/>
  <c r="G15" i="12"/>
  <c r="F28" i="18"/>
  <c r="F16" i="21" s="1"/>
  <c r="G20" i="20"/>
  <c r="G72" i="20"/>
  <c r="D20" i="20"/>
  <c r="D72" i="20"/>
  <c r="F20" i="20"/>
  <c r="F72" i="20"/>
  <c r="E20" i="20"/>
  <c r="E72" i="20"/>
  <c r="J35" i="14"/>
  <c r="I23" i="18"/>
  <c r="M30" i="14"/>
  <c r="J41" i="7"/>
  <c r="K48" i="7"/>
  <c r="G17" i="7"/>
  <c r="L60" i="7"/>
  <c r="M61" i="7"/>
  <c r="L62" i="7"/>
  <c r="L55" i="7"/>
  <c r="K53" i="7"/>
  <c r="L48" i="7"/>
  <c r="K46" i="7"/>
  <c r="K41" i="7"/>
  <c r="J39" i="7"/>
  <c r="H18" i="7"/>
  <c r="C214" i="13"/>
  <c r="D44" i="13"/>
  <c r="E36" i="13"/>
  <c r="E39" i="13" s="1"/>
  <c r="F36" i="13" s="1"/>
  <c r="F39" i="13" s="1"/>
  <c r="G36" i="13" s="1"/>
  <c r="G39" i="13" s="1"/>
  <c r="H36" i="13" s="1"/>
  <c r="H39" i="13" s="1"/>
  <c r="I36" i="13" s="1"/>
  <c r="I39" i="13" s="1"/>
  <c r="J36" i="13" s="1"/>
  <c r="J39" i="13" s="1"/>
  <c r="K36" i="13" s="1"/>
  <c r="K39" i="13" s="1"/>
  <c r="L36" i="13" s="1"/>
  <c r="L39" i="13" s="1"/>
  <c r="M36" i="13" s="1"/>
  <c r="M39" i="13" s="1"/>
  <c r="N36" i="13" s="1"/>
  <c r="N39" i="13" s="1"/>
  <c r="O36" i="13" s="1"/>
  <c r="O39" i="13" s="1"/>
  <c r="P36" i="13" s="1"/>
  <c r="P39" i="13" s="1"/>
  <c r="Q36" i="13" s="1"/>
  <c r="Q39" i="13" s="1"/>
  <c r="C139" i="13"/>
  <c r="C18" i="19" s="1"/>
  <c r="F207" i="13"/>
  <c r="G207" i="13" s="1"/>
  <c r="H207" i="13" s="1"/>
  <c r="I207" i="13" s="1"/>
  <c r="J207" i="13" s="1"/>
  <c r="K207" i="13" s="1"/>
  <c r="L207" i="13" s="1"/>
  <c r="M207" i="13" s="1"/>
  <c r="N207" i="13" s="1"/>
  <c r="O207" i="13" s="1"/>
  <c r="P207" i="13" s="1"/>
  <c r="Q207" i="13" s="1"/>
  <c r="D116" i="13"/>
  <c r="D119" i="13" s="1"/>
  <c r="E116" i="13" s="1"/>
  <c r="E119" i="13" s="1"/>
  <c r="F116" i="13" s="1"/>
  <c r="F119" i="13" s="1"/>
  <c r="G116" i="13" s="1"/>
  <c r="G119" i="13" s="1"/>
  <c r="H116" i="13" s="1"/>
  <c r="H119" i="13" s="1"/>
  <c r="I116" i="13" s="1"/>
  <c r="I119" i="13" s="1"/>
  <c r="J116" i="13" s="1"/>
  <c r="J119" i="13" s="1"/>
  <c r="K116" i="13" s="1"/>
  <c r="K119" i="13" s="1"/>
  <c r="L116" i="13" s="1"/>
  <c r="L119" i="13" s="1"/>
  <c r="M116" i="13" s="1"/>
  <c r="M119" i="13" s="1"/>
  <c r="N116" i="13" s="1"/>
  <c r="N119" i="13" s="1"/>
  <c r="O116" i="13" s="1"/>
  <c r="O119" i="13" s="1"/>
  <c r="P116" i="13" s="1"/>
  <c r="P119" i="13" s="1"/>
  <c r="Q116" i="13" s="1"/>
  <c r="Q119" i="13" s="1"/>
  <c r="Q124" i="13" s="1"/>
  <c r="D155" i="13"/>
  <c r="D27" i="13"/>
  <c r="D32" i="13" s="1"/>
  <c r="E202" i="13"/>
  <c r="E205" i="13" s="1"/>
  <c r="E211" i="13" s="1"/>
  <c r="E178" i="13"/>
  <c r="E181" i="13" s="1"/>
  <c r="D186" i="13"/>
  <c r="D198" i="13"/>
  <c r="D214" i="13" s="1"/>
  <c r="D20" i="19" s="1"/>
  <c r="E190" i="13"/>
  <c r="E193" i="13" s="1"/>
  <c r="E147" i="13"/>
  <c r="D159" i="13"/>
  <c r="D162" i="13" s="1"/>
  <c r="C167" i="13"/>
  <c r="C170" i="13" s="1"/>
  <c r="C19" i="19" s="1"/>
  <c r="D136" i="13"/>
  <c r="E128" i="13"/>
  <c r="E131" i="13" s="1"/>
  <c r="Q92" i="13"/>
  <c r="D75" i="13"/>
  <c r="E72" i="13" s="1"/>
  <c r="E75" i="13" s="1"/>
  <c r="F72" i="13" s="1"/>
  <c r="F75" i="13" s="1"/>
  <c r="G72" i="13" s="1"/>
  <c r="G75" i="13" s="1"/>
  <c r="H72" i="13" s="1"/>
  <c r="H75" i="13" s="1"/>
  <c r="I72" i="13" s="1"/>
  <c r="I75" i="13" s="1"/>
  <c r="J72" i="13" s="1"/>
  <c r="J75" i="13" s="1"/>
  <c r="K72" i="13" s="1"/>
  <c r="K75" i="13" s="1"/>
  <c r="L72" i="13" s="1"/>
  <c r="L75" i="13" s="1"/>
  <c r="M72" i="13" s="1"/>
  <c r="M75" i="13" s="1"/>
  <c r="N72" i="13" s="1"/>
  <c r="N75" i="13" s="1"/>
  <c r="O72" i="13" s="1"/>
  <c r="O75" i="13" s="1"/>
  <c r="P72" i="13" s="1"/>
  <c r="P75" i="13" s="1"/>
  <c r="Q72" i="13" s="1"/>
  <c r="Q75" i="13" s="1"/>
  <c r="Q68" i="13"/>
  <c r="O68" i="13"/>
  <c r="P68" i="13"/>
  <c r="Q56" i="13"/>
  <c r="G29" i="13"/>
  <c r="H29" i="13" s="1"/>
  <c r="I29" i="13" s="1"/>
  <c r="J29" i="13" s="1"/>
  <c r="K29" i="13" s="1"/>
  <c r="L29" i="13" s="1"/>
  <c r="M29" i="13" s="1"/>
  <c r="N29" i="13" s="1"/>
  <c r="O29" i="13" s="1"/>
  <c r="P29" i="13" s="1"/>
  <c r="Q29" i="13" s="1"/>
  <c r="D68" i="13"/>
  <c r="E68" i="13"/>
  <c r="N68" i="13"/>
  <c r="J92" i="13"/>
  <c r="K92" i="13"/>
  <c r="L92" i="13"/>
  <c r="M92" i="13"/>
  <c r="O92" i="13"/>
  <c r="N92" i="13"/>
  <c r="F77" i="13"/>
  <c r="G77" i="13" s="1"/>
  <c r="H77" i="13" s="1"/>
  <c r="P56" i="13"/>
  <c r="D56" i="13"/>
  <c r="E56" i="13"/>
  <c r="F56" i="13"/>
  <c r="G41" i="13"/>
  <c r="H41" i="13" s="1"/>
  <c r="I41" i="13" s="1"/>
  <c r="J41" i="13" s="1"/>
  <c r="K41" i="13" s="1"/>
  <c r="L41" i="13" s="1"/>
  <c r="M41" i="13" s="1"/>
  <c r="N41" i="13" s="1"/>
  <c r="O41" i="13" s="1"/>
  <c r="P41" i="13" s="1"/>
  <c r="Q41" i="13" s="1"/>
  <c r="G56" i="13"/>
  <c r="H56" i="13"/>
  <c r="F68" i="13"/>
  <c r="I56" i="13"/>
  <c r="G68" i="13"/>
  <c r="J56" i="13"/>
  <c r="H68" i="13"/>
  <c r="D92" i="13"/>
  <c r="P92" i="13"/>
  <c r="K56" i="13"/>
  <c r="I68" i="13"/>
  <c r="E92" i="13"/>
  <c r="L56" i="13"/>
  <c r="J68" i="13"/>
  <c r="F92" i="13"/>
  <c r="D104" i="13"/>
  <c r="M56" i="13"/>
  <c r="K68" i="13"/>
  <c r="G92" i="13"/>
  <c r="E104" i="13"/>
  <c r="N56" i="13"/>
  <c r="L68" i="13"/>
  <c r="H92" i="13"/>
  <c r="F104" i="13"/>
  <c r="O56" i="13"/>
  <c r="M68" i="13"/>
  <c r="I92" i="13"/>
  <c r="E73" i="5"/>
  <c r="C73" i="5"/>
  <c r="D73" i="5"/>
  <c r="F73" i="5"/>
  <c r="E41" i="5"/>
  <c r="C41" i="5"/>
  <c r="D41" i="5"/>
  <c r="D124" i="13" l="1"/>
  <c r="E17" i="12"/>
  <c r="E19" i="20"/>
  <c r="C27" i="19"/>
  <c r="C33" i="19" s="1"/>
  <c r="C53" i="21"/>
  <c r="F44" i="13"/>
  <c r="E150" i="13"/>
  <c r="E155" i="13" s="1"/>
  <c r="G148" i="13"/>
  <c r="H148" i="13" s="1"/>
  <c r="I148" i="13" s="1"/>
  <c r="J148" i="13" s="1"/>
  <c r="K148" i="13" s="1"/>
  <c r="L148" i="13" s="1"/>
  <c r="M148" i="13" s="1"/>
  <c r="N148" i="13" s="1"/>
  <c r="O148" i="13" s="1"/>
  <c r="P148" i="13" s="1"/>
  <c r="Q148" i="13" s="1"/>
  <c r="G99" i="13"/>
  <c r="F124" i="13"/>
  <c r="F17" i="12"/>
  <c r="F19" i="20"/>
  <c r="H78" i="13"/>
  <c r="G221" i="13"/>
  <c r="G30" i="18" s="1"/>
  <c r="E32" i="18"/>
  <c r="E14" i="12" s="1"/>
  <c r="E16" i="12" s="1"/>
  <c r="C72" i="6"/>
  <c r="C96" i="6"/>
  <c r="C94" i="6"/>
  <c r="C58" i="6"/>
  <c r="C103" i="6"/>
  <c r="C87" i="6"/>
  <c r="C56" i="6"/>
  <c r="C73" i="6"/>
  <c r="C62" i="6"/>
  <c r="C78" i="6"/>
  <c r="C70" i="6"/>
  <c r="C59" i="6"/>
  <c r="C105" i="6"/>
  <c r="C65" i="6"/>
  <c r="C93" i="6"/>
  <c r="C57" i="6"/>
  <c r="C74" i="6"/>
  <c r="C102" i="6"/>
  <c r="C60" i="6"/>
  <c r="C77" i="6"/>
  <c r="C106" i="6"/>
  <c r="C66" i="6"/>
  <c r="C75" i="6"/>
  <c r="C64" i="6"/>
  <c r="C109" i="6"/>
  <c r="C97" i="6"/>
  <c r="C107" i="6"/>
  <c r="C95" i="6"/>
  <c r="C76" i="6"/>
  <c r="C110" i="6"/>
  <c r="C108" i="6"/>
  <c r="C63" i="6"/>
  <c r="C86" i="6"/>
  <c r="C88" i="6" s="1"/>
  <c r="E57" i="6"/>
  <c r="E74" i="6"/>
  <c r="E102" i="6"/>
  <c r="E111" i="6" s="1"/>
  <c r="E72" i="6"/>
  <c r="E77" i="6"/>
  <c r="E66" i="6"/>
  <c r="E103" i="6"/>
  <c r="E64" i="6"/>
  <c r="E109" i="6"/>
  <c r="E56" i="6"/>
  <c r="E97" i="6"/>
  <c r="E78" i="6"/>
  <c r="E76" i="6"/>
  <c r="E63" i="6"/>
  <c r="E86" i="6"/>
  <c r="E88" i="6" s="1"/>
  <c r="E108" i="6"/>
  <c r="E96" i="6"/>
  <c r="E60" i="6"/>
  <c r="E106" i="6"/>
  <c r="E94" i="6"/>
  <c r="E58" i="6"/>
  <c r="E75" i="6"/>
  <c r="E87" i="6"/>
  <c r="E73" i="6"/>
  <c r="E62" i="6"/>
  <c r="E107" i="6"/>
  <c r="E70" i="6"/>
  <c r="E79" i="6" s="1"/>
  <c r="E95" i="6"/>
  <c r="E59" i="6"/>
  <c r="E105" i="6"/>
  <c r="E110" i="6"/>
  <c r="E65" i="6"/>
  <c r="E93" i="6"/>
  <c r="F88" i="6"/>
  <c r="F111" i="6"/>
  <c r="F113" i="6" s="1"/>
  <c r="C32" i="18"/>
  <c r="C18" i="21" s="1"/>
  <c r="F67" i="6"/>
  <c r="D16" i="21"/>
  <c r="F98" i="6"/>
  <c r="K226" i="13"/>
  <c r="J51" i="20"/>
  <c r="D63" i="6"/>
  <c r="D86" i="6"/>
  <c r="D88" i="6" s="1"/>
  <c r="D108" i="6"/>
  <c r="D60" i="6"/>
  <c r="D77" i="6"/>
  <c r="D94" i="6"/>
  <c r="D75" i="6"/>
  <c r="D64" i="6"/>
  <c r="D109" i="6"/>
  <c r="D56" i="6"/>
  <c r="D73" i="6"/>
  <c r="D62" i="6"/>
  <c r="D107" i="6"/>
  <c r="D95" i="6"/>
  <c r="D76" i="6"/>
  <c r="D65" i="6"/>
  <c r="D93" i="6"/>
  <c r="D98" i="6" s="1"/>
  <c r="D72" i="6"/>
  <c r="D96" i="6"/>
  <c r="D106" i="6"/>
  <c r="D66" i="6"/>
  <c r="D58" i="6"/>
  <c r="D103" i="6"/>
  <c r="D87" i="6"/>
  <c r="D97" i="6"/>
  <c r="D78" i="6"/>
  <c r="D70" i="6"/>
  <c r="D59" i="6"/>
  <c r="D105" i="6"/>
  <c r="D57" i="6"/>
  <c r="D74" i="6"/>
  <c r="D110" i="6"/>
  <c r="D102" i="6"/>
  <c r="J225" i="13"/>
  <c r="J17" i="19" s="1"/>
  <c r="G59" i="6"/>
  <c r="G76" i="6"/>
  <c r="G105" i="6"/>
  <c r="G57" i="6"/>
  <c r="G102" i="6"/>
  <c r="G63" i="6"/>
  <c r="G108" i="6"/>
  <c r="G96" i="6"/>
  <c r="G60" i="6"/>
  <c r="G77" i="6"/>
  <c r="G94" i="6"/>
  <c r="G75" i="6"/>
  <c r="G64" i="6"/>
  <c r="G109" i="6"/>
  <c r="G56" i="6"/>
  <c r="G73" i="6"/>
  <c r="G97" i="6"/>
  <c r="G62" i="6"/>
  <c r="G65" i="6"/>
  <c r="G93" i="6"/>
  <c r="G110" i="6"/>
  <c r="G74" i="6"/>
  <c r="G86" i="6"/>
  <c r="G72" i="6"/>
  <c r="G106" i="6"/>
  <c r="G66" i="6"/>
  <c r="G58" i="6"/>
  <c r="G103" i="6"/>
  <c r="G87" i="6"/>
  <c r="G78" i="6"/>
  <c r="G107" i="6"/>
  <c r="G95" i="6"/>
  <c r="G70" i="6"/>
  <c r="F79" i="6"/>
  <c r="I50" i="14"/>
  <c r="C35" i="12"/>
  <c r="C36" i="12" s="1"/>
  <c r="C44" i="12" s="1"/>
  <c r="H15" i="12"/>
  <c r="F32" i="18"/>
  <c r="F40" i="18" s="1"/>
  <c r="E48" i="21"/>
  <c r="E18" i="21"/>
  <c r="D18" i="21"/>
  <c r="D14" i="12"/>
  <c r="D16" i="12" s="1"/>
  <c r="D48" i="21"/>
  <c r="D40" i="18"/>
  <c r="K35" i="14"/>
  <c r="J23" i="18"/>
  <c r="P124" i="13"/>
  <c r="Q44" i="13"/>
  <c r="N30" i="14"/>
  <c r="G14" i="7"/>
  <c r="M60" i="7"/>
  <c r="N61" i="7"/>
  <c r="M62" i="7"/>
  <c r="M55" i="7"/>
  <c r="L53" i="7"/>
  <c r="L46" i="7"/>
  <c r="L41" i="7"/>
  <c r="K39" i="7"/>
  <c r="I18" i="7"/>
  <c r="N124" i="13"/>
  <c r="G124" i="13"/>
  <c r="E24" i="13"/>
  <c r="E27" i="13" s="1"/>
  <c r="E32" i="13" s="1"/>
  <c r="E124" i="13"/>
  <c r="O124" i="13"/>
  <c r="M124" i="13"/>
  <c r="D139" i="13"/>
  <c r="D18" i="19" s="1"/>
  <c r="J44" i="13"/>
  <c r="L124" i="13"/>
  <c r="K124" i="13"/>
  <c r="I44" i="13"/>
  <c r="J124" i="13"/>
  <c r="M44" i="13"/>
  <c r="H44" i="13"/>
  <c r="I124" i="13"/>
  <c r="E44" i="13"/>
  <c r="O44" i="13"/>
  <c r="G44" i="13"/>
  <c r="H124" i="13"/>
  <c r="F202" i="13"/>
  <c r="F205" i="13" s="1"/>
  <c r="F211" i="13" s="1"/>
  <c r="E198" i="13"/>
  <c r="E214" i="13" s="1"/>
  <c r="E20" i="19" s="1"/>
  <c r="F190" i="13"/>
  <c r="F193" i="13" s="1"/>
  <c r="F178" i="13"/>
  <c r="F181" i="13" s="1"/>
  <c r="E186" i="13"/>
  <c r="D167" i="13"/>
  <c r="D170" i="13" s="1"/>
  <c r="D19" i="19" s="1"/>
  <c r="E159" i="13"/>
  <c r="E136" i="13"/>
  <c r="E139" i="13" s="1"/>
  <c r="E18" i="19" s="1"/>
  <c r="F128" i="13"/>
  <c r="F131" i="13" s="1"/>
  <c r="L44" i="13"/>
  <c r="D80" i="13"/>
  <c r="D107" i="13" s="1"/>
  <c r="D16" i="19" s="1"/>
  <c r="K44" i="13"/>
  <c r="P44" i="13"/>
  <c r="N44" i="13"/>
  <c r="G80" i="13"/>
  <c r="E80" i="13"/>
  <c r="H80" i="13"/>
  <c r="F80" i="13"/>
  <c r="C75" i="5"/>
  <c r="F75" i="5"/>
  <c r="D75" i="5"/>
  <c r="E75" i="5"/>
  <c r="K225" i="13" l="1"/>
  <c r="D27" i="19"/>
  <c r="D33" i="19" s="1"/>
  <c r="D39" i="19" s="1"/>
  <c r="D53" i="21"/>
  <c r="H96" i="13"/>
  <c r="H99" i="13" s="1"/>
  <c r="G104" i="13"/>
  <c r="F147" i="13"/>
  <c r="F150" i="13" s="1"/>
  <c r="E162" i="13"/>
  <c r="F159" i="13" s="1"/>
  <c r="F162" i="13" s="1"/>
  <c r="G160" i="13"/>
  <c r="H160" i="13" s="1"/>
  <c r="I160" i="13" s="1"/>
  <c r="J160" i="13" s="1"/>
  <c r="K160" i="13" s="1"/>
  <c r="L160" i="13" s="1"/>
  <c r="M160" i="13" s="1"/>
  <c r="N160" i="13" s="1"/>
  <c r="O160" i="13" s="1"/>
  <c r="P160" i="13" s="1"/>
  <c r="Q160" i="13" s="1"/>
  <c r="D78" i="20"/>
  <c r="C39" i="19"/>
  <c r="E40" i="18"/>
  <c r="E17" i="20" s="1"/>
  <c r="G17" i="12"/>
  <c r="G19" i="20"/>
  <c r="I78" i="13"/>
  <c r="H221" i="13"/>
  <c r="H30" i="18" s="1"/>
  <c r="I77" i="13"/>
  <c r="G14" i="18"/>
  <c r="G28" i="18" s="1"/>
  <c r="G24" i="17"/>
  <c r="H24" i="17" s="1"/>
  <c r="I24" i="17" s="1"/>
  <c r="J24" i="17" s="1"/>
  <c r="K24" i="17" s="1"/>
  <c r="L24" i="17" s="1"/>
  <c r="M24" i="17" s="1"/>
  <c r="N24" i="17" s="1"/>
  <c r="O24" i="17" s="1"/>
  <c r="P24" i="17" s="1"/>
  <c r="Q24" i="17" s="1"/>
  <c r="G47" i="17"/>
  <c r="H47" i="17" s="1"/>
  <c r="I47" i="17" s="1"/>
  <c r="J47" i="17" s="1"/>
  <c r="K47" i="17" s="1"/>
  <c r="L47" i="17" s="1"/>
  <c r="M47" i="17" s="1"/>
  <c r="N47" i="17" s="1"/>
  <c r="O47" i="17" s="1"/>
  <c r="P47" i="17" s="1"/>
  <c r="Q47" i="17" s="1"/>
  <c r="G41" i="17"/>
  <c r="H41" i="17" s="1"/>
  <c r="I41" i="17" s="1"/>
  <c r="J41" i="17" s="1"/>
  <c r="K41" i="17" s="1"/>
  <c r="L41" i="17" s="1"/>
  <c r="M41" i="17" s="1"/>
  <c r="N41" i="17" s="1"/>
  <c r="O41" i="17" s="1"/>
  <c r="P41" i="17" s="1"/>
  <c r="Q41" i="17" s="1"/>
  <c r="G57" i="17"/>
  <c r="H57" i="17" s="1"/>
  <c r="I57" i="17" s="1"/>
  <c r="J57" i="17" s="1"/>
  <c r="K57" i="17" s="1"/>
  <c r="L57" i="17" s="1"/>
  <c r="M57" i="17" s="1"/>
  <c r="N57" i="17" s="1"/>
  <c r="O57" i="17" s="1"/>
  <c r="P57" i="17" s="1"/>
  <c r="Q57" i="17" s="1"/>
  <c r="G27" i="17"/>
  <c r="H27" i="17" s="1"/>
  <c r="I27" i="17" s="1"/>
  <c r="J27" i="17" s="1"/>
  <c r="K27" i="17" s="1"/>
  <c r="L27" i="17" s="1"/>
  <c r="M27" i="17" s="1"/>
  <c r="N27" i="17" s="1"/>
  <c r="O27" i="17" s="1"/>
  <c r="P27" i="17" s="1"/>
  <c r="Q27" i="17" s="1"/>
  <c r="G86" i="17"/>
  <c r="H86" i="17" s="1"/>
  <c r="I86" i="17" s="1"/>
  <c r="J86" i="17" s="1"/>
  <c r="K86" i="17" s="1"/>
  <c r="L86" i="17" s="1"/>
  <c r="M86" i="17" s="1"/>
  <c r="N86" i="17" s="1"/>
  <c r="O86" i="17" s="1"/>
  <c r="P86" i="17" s="1"/>
  <c r="Q86" i="17" s="1"/>
  <c r="G18" i="17"/>
  <c r="H18" i="17" s="1"/>
  <c r="I18" i="17" s="1"/>
  <c r="J18" i="17" s="1"/>
  <c r="K18" i="17" s="1"/>
  <c r="L18" i="17" s="1"/>
  <c r="M18" i="17" s="1"/>
  <c r="N18" i="17" s="1"/>
  <c r="O18" i="17" s="1"/>
  <c r="P18" i="17" s="1"/>
  <c r="Q18" i="17" s="1"/>
  <c r="G71" i="17"/>
  <c r="H71" i="17" s="1"/>
  <c r="I71" i="17" s="1"/>
  <c r="J71" i="17" s="1"/>
  <c r="K71" i="17" s="1"/>
  <c r="L71" i="17" s="1"/>
  <c r="M71" i="17" s="1"/>
  <c r="N71" i="17" s="1"/>
  <c r="O71" i="17" s="1"/>
  <c r="P71" i="17" s="1"/>
  <c r="Q71" i="17" s="1"/>
  <c r="G38" i="17"/>
  <c r="H38" i="17" s="1"/>
  <c r="I38" i="17" s="1"/>
  <c r="J38" i="17" s="1"/>
  <c r="K38" i="17" s="1"/>
  <c r="L38" i="17" s="1"/>
  <c r="M38" i="17" s="1"/>
  <c r="N38" i="17" s="1"/>
  <c r="O38" i="17" s="1"/>
  <c r="P38" i="17" s="1"/>
  <c r="Q38" i="17" s="1"/>
  <c r="G66" i="17"/>
  <c r="H66" i="17" s="1"/>
  <c r="I66" i="17" s="1"/>
  <c r="J66" i="17" s="1"/>
  <c r="K66" i="17" s="1"/>
  <c r="L66" i="17" s="1"/>
  <c r="M66" i="17" s="1"/>
  <c r="N66" i="17" s="1"/>
  <c r="O66" i="17" s="1"/>
  <c r="P66" i="17" s="1"/>
  <c r="Q66" i="17" s="1"/>
  <c r="G80" i="17"/>
  <c r="H80" i="17" s="1"/>
  <c r="I80" i="17" s="1"/>
  <c r="J80" i="17" s="1"/>
  <c r="K80" i="17" s="1"/>
  <c r="L80" i="17" s="1"/>
  <c r="M80" i="17" s="1"/>
  <c r="N80" i="17" s="1"/>
  <c r="O80" i="17" s="1"/>
  <c r="P80" i="17" s="1"/>
  <c r="Q80" i="17" s="1"/>
  <c r="G21" i="17"/>
  <c r="H21" i="17" s="1"/>
  <c r="I21" i="17" s="1"/>
  <c r="J21" i="17" s="1"/>
  <c r="K21" i="17" s="1"/>
  <c r="L21" i="17" s="1"/>
  <c r="M21" i="17" s="1"/>
  <c r="N21" i="17" s="1"/>
  <c r="O21" i="17" s="1"/>
  <c r="P21" i="17" s="1"/>
  <c r="Q21" i="17" s="1"/>
  <c r="G83" i="17"/>
  <c r="H83" i="17" s="1"/>
  <c r="I83" i="17" s="1"/>
  <c r="J83" i="17" s="1"/>
  <c r="K83" i="17" s="1"/>
  <c r="L83" i="17" s="1"/>
  <c r="M83" i="17" s="1"/>
  <c r="N83" i="17" s="1"/>
  <c r="O83" i="17" s="1"/>
  <c r="P83" i="17" s="1"/>
  <c r="Q83" i="17" s="1"/>
  <c r="G77" i="17"/>
  <c r="H77" i="17" s="1"/>
  <c r="I77" i="17" s="1"/>
  <c r="J77" i="17" s="1"/>
  <c r="K77" i="17" s="1"/>
  <c r="L77" i="17" s="1"/>
  <c r="M77" i="17" s="1"/>
  <c r="N77" i="17" s="1"/>
  <c r="O77" i="17" s="1"/>
  <c r="P77" i="17" s="1"/>
  <c r="Q77" i="17" s="1"/>
  <c r="G54" i="17"/>
  <c r="H54" i="17" s="1"/>
  <c r="I54" i="17" s="1"/>
  <c r="J54" i="17" s="1"/>
  <c r="K54" i="17" s="1"/>
  <c r="L54" i="17" s="1"/>
  <c r="M54" i="17" s="1"/>
  <c r="N54" i="17" s="1"/>
  <c r="O54" i="17" s="1"/>
  <c r="P54" i="17" s="1"/>
  <c r="Q54" i="17" s="1"/>
  <c r="G74" i="17"/>
  <c r="H74" i="17" s="1"/>
  <c r="I74" i="17" s="1"/>
  <c r="J74" i="17" s="1"/>
  <c r="K74" i="17" s="1"/>
  <c r="L74" i="17" s="1"/>
  <c r="M74" i="17" s="1"/>
  <c r="N74" i="17" s="1"/>
  <c r="O74" i="17" s="1"/>
  <c r="P74" i="17" s="1"/>
  <c r="Q74" i="17" s="1"/>
  <c r="G35" i="17"/>
  <c r="G44" i="17"/>
  <c r="H44" i="17" s="1"/>
  <c r="I44" i="17" s="1"/>
  <c r="J44" i="17" s="1"/>
  <c r="K44" i="17" s="1"/>
  <c r="L44" i="17" s="1"/>
  <c r="M44" i="17" s="1"/>
  <c r="N44" i="17" s="1"/>
  <c r="O44" i="17" s="1"/>
  <c r="P44" i="17" s="1"/>
  <c r="Q44" i="17" s="1"/>
  <c r="G30" i="17"/>
  <c r="H30" i="17" s="1"/>
  <c r="I30" i="17" s="1"/>
  <c r="J30" i="17" s="1"/>
  <c r="K30" i="17" s="1"/>
  <c r="L30" i="17" s="1"/>
  <c r="M30" i="17" s="1"/>
  <c r="N30" i="17" s="1"/>
  <c r="O30" i="17" s="1"/>
  <c r="P30" i="17" s="1"/>
  <c r="Q30" i="17" s="1"/>
  <c r="G63" i="17"/>
  <c r="H63" i="17" s="1"/>
  <c r="I63" i="17" s="1"/>
  <c r="J63" i="17" s="1"/>
  <c r="K63" i="17" s="1"/>
  <c r="L63" i="17" s="1"/>
  <c r="M63" i="17" s="1"/>
  <c r="N63" i="17" s="1"/>
  <c r="O63" i="17" s="1"/>
  <c r="P63" i="17" s="1"/>
  <c r="Q63" i="17" s="1"/>
  <c r="G60" i="17"/>
  <c r="H60" i="17" s="1"/>
  <c r="I60" i="17" s="1"/>
  <c r="J60" i="17" s="1"/>
  <c r="K60" i="17" s="1"/>
  <c r="L60" i="17" s="1"/>
  <c r="M60" i="17" s="1"/>
  <c r="N60" i="17" s="1"/>
  <c r="O60" i="17" s="1"/>
  <c r="P60" i="17" s="1"/>
  <c r="Q60" i="17" s="1"/>
  <c r="G14" i="14"/>
  <c r="F18" i="21"/>
  <c r="F14" i="12"/>
  <c r="F16" i="12" s="1"/>
  <c r="E67" i="6"/>
  <c r="L226" i="13"/>
  <c r="L225" i="13" s="1"/>
  <c r="K51" i="20"/>
  <c r="C48" i="21"/>
  <c r="D67" i="6"/>
  <c r="F48" i="21"/>
  <c r="D79" i="6"/>
  <c r="D81" i="6" s="1"/>
  <c r="E81" i="6"/>
  <c r="G111" i="6"/>
  <c r="G67" i="6"/>
  <c r="C67" i="6"/>
  <c r="E98" i="6"/>
  <c r="E113" i="6" s="1"/>
  <c r="C111" i="6"/>
  <c r="C40" i="18"/>
  <c r="C20" i="21" s="1"/>
  <c r="G79" i="6"/>
  <c r="G81" i="6" s="1"/>
  <c r="G88" i="6"/>
  <c r="D111" i="6"/>
  <c r="D113" i="6" s="1"/>
  <c r="F81" i="6"/>
  <c r="C98" i="6"/>
  <c r="G98" i="6"/>
  <c r="C79" i="6"/>
  <c r="J50" i="14"/>
  <c r="I15" i="12"/>
  <c r="D20" i="21"/>
  <c r="D17" i="20"/>
  <c r="D42" i="18"/>
  <c r="F20" i="21"/>
  <c r="F17" i="20"/>
  <c r="F42" i="18"/>
  <c r="F44" i="18" s="1"/>
  <c r="L35" i="14"/>
  <c r="K23" i="18"/>
  <c r="K17" i="19"/>
  <c r="O30" i="14"/>
  <c r="G13" i="7"/>
  <c r="G33" i="7"/>
  <c r="H33" i="7" s="1"/>
  <c r="M48" i="7"/>
  <c r="N62" i="7"/>
  <c r="N60" i="7"/>
  <c r="O61" i="7"/>
  <c r="N55" i="7"/>
  <c r="M53" i="7"/>
  <c r="N48" i="7"/>
  <c r="M46" i="7"/>
  <c r="L39" i="7"/>
  <c r="J18" i="7"/>
  <c r="F24" i="13"/>
  <c r="F27" i="13" s="1"/>
  <c r="D220" i="13"/>
  <c r="E107" i="13"/>
  <c r="E16" i="19" s="1"/>
  <c r="G202" i="13"/>
  <c r="G205" i="13" s="1"/>
  <c r="G211" i="13" s="1"/>
  <c r="G178" i="13"/>
  <c r="G181" i="13" s="1"/>
  <c r="F186" i="13"/>
  <c r="F198" i="13"/>
  <c r="F214" i="13" s="1"/>
  <c r="F20" i="19" s="1"/>
  <c r="G190" i="13"/>
  <c r="F155" i="13"/>
  <c r="G147" i="13"/>
  <c r="G150" i="13" s="1"/>
  <c r="E167" i="13"/>
  <c r="E170" i="13" s="1"/>
  <c r="E19" i="19" s="1"/>
  <c r="G128" i="13"/>
  <c r="G131" i="13" s="1"/>
  <c r="F136" i="13"/>
  <c r="F139" i="13" s="1"/>
  <c r="F18" i="19" s="1"/>
  <c r="G24" i="13"/>
  <c r="G27" i="13" s="1"/>
  <c r="F32" i="13"/>
  <c r="F107" i="13" s="1"/>
  <c r="F16" i="19" s="1"/>
  <c r="C37" i="21" l="1"/>
  <c r="C41" i="19"/>
  <c r="C35" i="21"/>
  <c r="E42" i="18"/>
  <c r="E44" i="18" s="1"/>
  <c r="E20" i="21"/>
  <c r="J77" i="13"/>
  <c r="I80" i="13"/>
  <c r="E27" i="19"/>
  <c r="E33" i="19" s="1"/>
  <c r="E39" i="19" s="1"/>
  <c r="E53" i="21"/>
  <c r="H17" i="12"/>
  <c r="H19" i="20"/>
  <c r="D223" i="13"/>
  <c r="E223" i="13"/>
  <c r="J78" i="13"/>
  <c r="I221" i="13"/>
  <c r="I30" i="18" s="1"/>
  <c r="I96" i="13"/>
  <c r="I99" i="13" s="1"/>
  <c r="H104" i="13"/>
  <c r="D41" i="19"/>
  <c r="D35" i="21"/>
  <c r="D37" i="21"/>
  <c r="G42" i="14"/>
  <c r="H42" i="14" s="1"/>
  <c r="I42" i="14" s="1"/>
  <c r="J42" i="14" s="1"/>
  <c r="K42" i="14" s="1"/>
  <c r="L42" i="14" s="1"/>
  <c r="M42" i="14" s="1"/>
  <c r="N42" i="14" s="1"/>
  <c r="O42" i="14" s="1"/>
  <c r="P42" i="14" s="1"/>
  <c r="Q42" i="14" s="1"/>
  <c r="G36" i="14"/>
  <c r="G39" i="14"/>
  <c r="H39" i="14" s="1"/>
  <c r="I39" i="14" s="1"/>
  <c r="J39" i="14" s="1"/>
  <c r="K39" i="14" s="1"/>
  <c r="L39" i="14" s="1"/>
  <c r="M39" i="14" s="1"/>
  <c r="N39" i="14" s="1"/>
  <c r="O39" i="14" s="1"/>
  <c r="P39" i="14" s="1"/>
  <c r="Q39" i="14" s="1"/>
  <c r="G17" i="14"/>
  <c r="H17" i="14" s="1"/>
  <c r="I17" i="14" s="1"/>
  <c r="J17" i="14" s="1"/>
  <c r="K17" i="14" s="1"/>
  <c r="L17" i="14" s="1"/>
  <c r="M17" i="14" s="1"/>
  <c r="N17" i="14" s="1"/>
  <c r="O17" i="14" s="1"/>
  <c r="P17" i="14" s="1"/>
  <c r="Q17" i="14" s="1"/>
  <c r="G23" i="14"/>
  <c r="H23" i="14" s="1"/>
  <c r="I23" i="14" s="1"/>
  <c r="J23" i="14" s="1"/>
  <c r="K23" i="14" s="1"/>
  <c r="L23" i="14" s="1"/>
  <c r="M23" i="14" s="1"/>
  <c r="N23" i="14" s="1"/>
  <c r="O23" i="14" s="1"/>
  <c r="P23" i="14" s="1"/>
  <c r="Q23" i="14" s="1"/>
  <c r="G45" i="14"/>
  <c r="H45" i="14" s="1"/>
  <c r="I45" i="14" s="1"/>
  <c r="J45" i="14" s="1"/>
  <c r="K45" i="14" s="1"/>
  <c r="L45" i="14" s="1"/>
  <c r="M45" i="14" s="1"/>
  <c r="N45" i="14" s="1"/>
  <c r="O45" i="14" s="1"/>
  <c r="P45" i="14" s="1"/>
  <c r="Q45" i="14" s="1"/>
  <c r="G20" i="14"/>
  <c r="H20" i="14" s="1"/>
  <c r="I20" i="14" s="1"/>
  <c r="J20" i="14" s="1"/>
  <c r="K20" i="14" s="1"/>
  <c r="L20" i="14" s="1"/>
  <c r="M20" i="14" s="1"/>
  <c r="N20" i="14" s="1"/>
  <c r="O20" i="14" s="1"/>
  <c r="P20" i="14" s="1"/>
  <c r="Q20" i="14" s="1"/>
  <c r="C42" i="18"/>
  <c r="G16" i="21"/>
  <c r="G32" i="18"/>
  <c r="C113" i="6"/>
  <c r="C81" i="6"/>
  <c r="M226" i="13"/>
  <c r="M225" i="13" s="1"/>
  <c r="L51" i="20"/>
  <c r="G113" i="6"/>
  <c r="K50" i="14"/>
  <c r="J15" i="12"/>
  <c r="F28" i="21"/>
  <c r="F51" i="18"/>
  <c r="F26" i="21"/>
  <c r="F70" i="20"/>
  <c r="F74" i="20" s="1"/>
  <c r="F48" i="18"/>
  <c r="F24" i="21"/>
  <c r="F60" i="21" s="1"/>
  <c r="F22" i="21"/>
  <c r="F31" i="20"/>
  <c r="F41" i="20" s="1"/>
  <c r="D44" i="18"/>
  <c r="D22" i="21"/>
  <c r="D31" i="20"/>
  <c r="D41" i="20" s="1"/>
  <c r="M35" i="14"/>
  <c r="L23" i="18"/>
  <c r="L17" i="19"/>
  <c r="P30" i="14"/>
  <c r="I33" i="7"/>
  <c r="M41" i="7"/>
  <c r="O60" i="7"/>
  <c r="P61" i="7"/>
  <c r="O62" i="7"/>
  <c r="O55" i="7"/>
  <c r="N53" i="7"/>
  <c r="O48" i="7"/>
  <c r="N46" i="7"/>
  <c r="N41" i="7"/>
  <c r="M39" i="7"/>
  <c r="K18" i="7"/>
  <c r="E220" i="13"/>
  <c r="H202" i="13"/>
  <c r="H205" i="13" s="1"/>
  <c r="H211" i="13" s="1"/>
  <c r="H178" i="13"/>
  <c r="H181" i="13" s="1"/>
  <c r="G186" i="13"/>
  <c r="F167" i="13"/>
  <c r="F170" i="13" s="1"/>
  <c r="G159" i="13"/>
  <c r="G162" i="13" s="1"/>
  <c r="H147" i="13"/>
  <c r="H150" i="13" s="1"/>
  <c r="G155" i="13"/>
  <c r="G136" i="13"/>
  <c r="G139" i="13" s="1"/>
  <c r="G18" i="19" s="1"/>
  <c r="H128" i="13"/>
  <c r="H131" i="13" s="1"/>
  <c r="H24" i="13"/>
  <c r="H27" i="13" s="1"/>
  <c r="G32" i="13"/>
  <c r="G107" i="13" s="1"/>
  <c r="G16" i="19" s="1"/>
  <c r="E31" i="20" l="1"/>
  <c r="E41" i="20" s="1"/>
  <c r="E22" i="21"/>
  <c r="E37" i="21"/>
  <c r="E35" i="21"/>
  <c r="E41" i="19"/>
  <c r="D46" i="21"/>
  <c r="D42" i="21"/>
  <c r="D55" i="21"/>
  <c r="D62" i="21" s="1"/>
  <c r="D64" i="21"/>
  <c r="D73" i="19"/>
  <c r="K77" i="13"/>
  <c r="J80" i="13"/>
  <c r="J96" i="13"/>
  <c r="J99" i="13" s="1"/>
  <c r="I104" i="13"/>
  <c r="I19" i="20"/>
  <c r="I17" i="12"/>
  <c r="F220" i="13"/>
  <c r="F19" i="19"/>
  <c r="K78" i="13"/>
  <c r="J221" i="13"/>
  <c r="J30" i="18" s="1"/>
  <c r="E50" i="20"/>
  <c r="E228" i="13"/>
  <c r="D50" i="20"/>
  <c r="D228" i="13"/>
  <c r="C73" i="19"/>
  <c r="C46" i="21"/>
  <c r="C64" i="21"/>
  <c r="C42" i="21"/>
  <c r="C55" i="21"/>
  <c r="C62" i="21" s="1"/>
  <c r="F223" i="13"/>
  <c r="G14" i="12"/>
  <c r="G16" i="12" s="1"/>
  <c r="G18" i="21"/>
  <c r="G48" i="21"/>
  <c r="G40" i="18"/>
  <c r="C22" i="21"/>
  <c r="C44" i="18"/>
  <c r="N226" i="13"/>
  <c r="N225" i="13" s="1"/>
  <c r="M51" i="20"/>
  <c r="L50" i="14"/>
  <c r="K15" i="12"/>
  <c r="D24" i="21"/>
  <c r="D60" i="21" s="1"/>
  <c r="D26" i="21"/>
  <c r="D28" i="21"/>
  <c r="D30" i="21"/>
  <c r="D51" i="18"/>
  <c r="D70" i="20"/>
  <c r="D74" i="20" s="1"/>
  <c r="D48" i="18"/>
  <c r="E30" i="21"/>
  <c r="E26" i="21"/>
  <c r="E51" i="18"/>
  <c r="E70" i="20"/>
  <c r="E74" i="20" s="1"/>
  <c r="E28" i="21"/>
  <c r="E24" i="21"/>
  <c r="E60" i="21" s="1"/>
  <c r="E48" i="18"/>
  <c r="N35" i="14"/>
  <c r="M23" i="18"/>
  <c r="M17" i="19"/>
  <c r="Q30" i="14"/>
  <c r="J33" i="7"/>
  <c r="P60" i="7"/>
  <c r="Q61" i="7"/>
  <c r="P62" i="7"/>
  <c r="P55" i="7"/>
  <c r="O53" i="7"/>
  <c r="P48" i="7"/>
  <c r="O46" i="7"/>
  <c r="O41" i="7"/>
  <c r="N39" i="7"/>
  <c r="L18" i="7"/>
  <c r="I202" i="13"/>
  <c r="I205" i="13" s="1"/>
  <c r="I211" i="13" s="1"/>
  <c r="I178" i="13"/>
  <c r="I181" i="13" s="1"/>
  <c r="H186" i="13"/>
  <c r="I147" i="13"/>
  <c r="I150" i="13" s="1"/>
  <c r="H155" i="13"/>
  <c r="G167" i="13"/>
  <c r="G170" i="13" s="1"/>
  <c r="G19" i="19" s="1"/>
  <c r="H159" i="13"/>
  <c r="H162" i="13" s="1"/>
  <c r="I128" i="13"/>
  <c r="I131" i="13" s="1"/>
  <c r="H136" i="13"/>
  <c r="H139" i="13" s="1"/>
  <c r="H18" i="19" s="1"/>
  <c r="I24" i="13"/>
  <c r="I27" i="13" s="1"/>
  <c r="H32" i="13"/>
  <c r="H107" i="13" s="1"/>
  <c r="H16" i="19" s="1"/>
  <c r="K96" i="13" l="1"/>
  <c r="K99" i="13" s="1"/>
  <c r="J104" i="13"/>
  <c r="D18" i="12"/>
  <c r="D20" i="12" s="1"/>
  <c r="D58" i="20"/>
  <c r="D77" i="20" s="1"/>
  <c r="D79" i="20" s="1"/>
  <c r="L77" i="13"/>
  <c r="K80" i="13"/>
  <c r="E58" i="20"/>
  <c r="E77" i="20" s="1"/>
  <c r="E18" i="12"/>
  <c r="E20" i="12" s="1"/>
  <c r="J17" i="12"/>
  <c r="J19" i="20"/>
  <c r="L78" i="13"/>
  <c r="K221" i="13"/>
  <c r="K30" i="18" s="1"/>
  <c r="D66" i="21"/>
  <c r="F50" i="20"/>
  <c r="F228" i="13"/>
  <c r="F53" i="21"/>
  <c r="F27" i="19"/>
  <c r="F33" i="19" s="1"/>
  <c r="F39" i="19" s="1"/>
  <c r="E46" i="21"/>
  <c r="E42" i="21"/>
  <c r="E55" i="21"/>
  <c r="E62" i="21" s="1"/>
  <c r="E73" i="19"/>
  <c r="E64" i="21"/>
  <c r="E66" i="21" s="1"/>
  <c r="E68" i="21" s="1"/>
  <c r="C24" i="21"/>
  <c r="C60" i="21" s="1"/>
  <c r="C66" i="21" s="1"/>
  <c r="C30" i="21"/>
  <c r="C26" i="21"/>
  <c r="C28" i="21"/>
  <c r="C48" i="18"/>
  <c r="C51" i="18"/>
  <c r="G20" i="21"/>
  <c r="G42" i="18"/>
  <c r="G17" i="20"/>
  <c r="G44" i="18"/>
  <c r="O226" i="13"/>
  <c r="O225" i="13" s="1"/>
  <c r="N51" i="20"/>
  <c r="M50" i="14"/>
  <c r="L15" i="12"/>
  <c r="D68" i="21"/>
  <c r="O35" i="14"/>
  <c r="N23" i="18"/>
  <c r="N17" i="19"/>
  <c r="K33" i="7"/>
  <c r="Q60" i="7"/>
  <c r="Q62" i="7"/>
  <c r="H58" i="7" a="1"/>
  <c r="P53" i="7"/>
  <c r="P46" i="7"/>
  <c r="P41" i="7"/>
  <c r="O39" i="7"/>
  <c r="M18" i="7"/>
  <c r="J202" i="13"/>
  <c r="J205" i="13" s="1"/>
  <c r="J211" i="13" s="1"/>
  <c r="J178" i="13"/>
  <c r="J181" i="13" s="1"/>
  <c r="I186" i="13"/>
  <c r="H167" i="13"/>
  <c r="H170" i="13" s="1"/>
  <c r="H19" i="19" s="1"/>
  <c r="I159" i="13"/>
  <c r="I162" i="13" s="1"/>
  <c r="J147" i="13"/>
  <c r="J150" i="13" s="1"/>
  <c r="I155" i="13"/>
  <c r="I136" i="13"/>
  <c r="I139" i="13" s="1"/>
  <c r="I18" i="19" s="1"/>
  <c r="J128" i="13"/>
  <c r="J131" i="13" s="1"/>
  <c r="J24" i="13"/>
  <c r="J27" i="13" s="1"/>
  <c r="I32" i="13"/>
  <c r="I107" i="13" s="1"/>
  <c r="I16" i="19" s="1"/>
  <c r="E78" i="20" l="1"/>
  <c r="E79" i="20" s="1"/>
  <c r="D81" i="20"/>
  <c r="M78" i="13"/>
  <c r="L221" i="13"/>
  <c r="L30" i="18" s="1"/>
  <c r="F37" i="21"/>
  <c r="F35" i="21"/>
  <c r="F41" i="19"/>
  <c r="M77" i="13"/>
  <c r="L80" i="13"/>
  <c r="F18" i="12"/>
  <c r="F20" i="12" s="1"/>
  <c r="F58" i="20"/>
  <c r="F77" i="20" s="1"/>
  <c r="K17" i="12"/>
  <c r="K19" i="20"/>
  <c r="L96" i="13"/>
  <c r="L99" i="13" s="1"/>
  <c r="K104" i="13"/>
  <c r="G26" i="21"/>
  <c r="G48" i="18"/>
  <c r="H48" i="18" s="1"/>
  <c r="I48" i="18" s="1"/>
  <c r="J48" i="18" s="1"/>
  <c r="K48" i="18" s="1"/>
  <c r="L48" i="18" s="1"/>
  <c r="M48" i="18" s="1"/>
  <c r="N48" i="18" s="1"/>
  <c r="O48" i="18" s="1"/>
  <c r="P48" i="18" s="1"/>
  <c r="Q48" i="18" s="1"/>
  <c r="G70" i="20"/>
  <c r="G74" i="20" s="1"/>
  <c r="G28" i="21"/>
  <c r="G24" i="21"/>
  <c r="G60" i="21" s="1"/>
  <c r="G51" i="18"/>
  <c r="H51" i="18" s="1"/>
  <c r="I51" i="18" s="1"/>
  <c r="J51" i="18" s="1"/>
  <c r="K51" i="18" s="1"/>
  <c r="L51" i="18" s="1"/>
  <c r="M51" i="18" s="1"/>
  <c r="N51" i="18" s="1"/>
  <c r="O51" i="18" s="1"/>
  <c r="P51" i="18" s="1"/>
  <c r="Q51" i="18" s="1"/>
  <c r="G31" i="20"/>
  <c r="G41" i="20" s="1"/>
  <c r="G22" i="21"/>
  <c r="C68" i="21"/>
  <c r="P226" i="13"/>
  <c r="O51" i="20"/>
  <c r="N50" i="14"/>
  <c r="M15" i="12"/>
  <c r="E81" i="20"/>
  <c r="F78" i="20"/>
  <c r="P35" i="14"/>
  <c r="O23" i="18"/>
  <c r="P225" i="13"/>
  <c r="O17" i="19"/>
  <c r="L33" i="7"/>
  <c r="Q48" i="7"/>
  <c r="H44" i="7" a="1"/>
  <c r="Q55" i="7"/>
  <c r="H51" i="7" a="1"/>
  <c r="J58" i="7"/>
  <c r="I58" i="7"/>
  <c r="H58" i="7"/>
  <c r="H22" i="7" s="1"/>
  <c r="Q58" i="7"/>
  <c r="P58" i="7"/>
  <c r="O58" i="7"/>
  <c r="N58" i="7"/>
  <c r="M58" i="7"/>
  <c r="L58" i="7"/>
  <c r="K58" i="7"/>
  <c r="Q53" i="7"/>
  <c r="Q46" i="7"/>
  <c r="P39" i="7"/>
  <c r="N18" i="7"/>
  <c r="K202" i="13"/>
  <c r="K205" i="13" s="1"/>
  <c r="K211" i="13" s="1"/>
  <c r="K178" i="13"/>
  <c r="K181" i="13" s="1"/>
  <c r="J186" i="13"/>
  <c r="K147" i="13"/>
  <c r="K150" i="13" s="1"/>
  <c r="J155" i="13"/>
  <c r="J159" i="13"/>
  <c r="J162" i="13" s="1"/>
  <c r="I167" i="13"/>
  <c r="I170" i="13" s="1"/>
  <c r="I19" i="19" s="1"/>
  <c r="K128" i="13"/>
  <c r="K131" i="13" s="1"/>
  <c r="J136" i="13"/>
  <c r="J139" i="13" s="1"/>
  <c r="J18" i="19" s="1"/>
  <c r="K24" i="13"/>
  <c r="K27" i="13" s="1"/>
  <c r="J32" i="13"/>
  <c r="J107" i="13" s="1"/>
  <c r="J16" i="19" s="1"/>
  <c r="N77" i="13" l="1"/>
  <c r="M80" i="13"/>
  <c r="F73" i="19"/>
  <c r="F64" i="21"/>
  <c r="F42" i="21"/>
  <c r="F46" i="21"/>
  <c r="F55" i="21"/>
  <c r="F62" i="21" s="1"/>
  <c r="F30" i="21"/>
  <c r="F79" i="20"/>
  <c r="F81" i="20" s="1"/>
  <c r="L17" i="12"/>
  <c r="L19" i="20"/>
  <c r="N78" i="13"/>
  <c r="M221" i="13"/>
  <c r="M30" i="18" s="1"/>
  <c r="M96" i="13"/>
  <c r="M99" i="13" s="1"/>
  <c r="L104" i="13"/>
  <c r="Q226" i="13"/>
  <c r="Q51" i="20" s="1"/>
  <c r="P51" i="20"/>
  <c r="O50" i="14"/>
  <c r="N15" i="12"/>
  <c r="Q35" i="14"/>
  <c r="Q23" i="18" s="1"/>
  <c r="P23" i="18"/>
  <c r="Q225" i="13"/>
  <c r="Q17" i="19" s="1"/>
  <c r="P17" i="19"/>
  <c r="H29" i="7"/>
  <c r="M33" i="7"/>
  <c r="Q41" i="7"/>
  <c r="H37" i="7" a="1"/>
  <c r="H51" i="7"/>
  <c r="H28" i="7" s="1"/>
  <c r="K51" i="7"/>
  <c r="Q51" i="7"/>
  <c r="P51" i="7"/>
  <c r="J51" i="7"/>
  <c r="N51" i="7"/>
  <c r="L51" i="7"/>
  <c r="I51" i="7"/>
  <c r="O51" i="7"/>
  <c r="M51" i="7"/>
  <c r="H44" i="7"/>
  <c r="H26" i="7" s="1"/>
  <c r="H32" i="14" s="1"/>
  <c r="H22" i="18" s="1"/>
  <c r="Q44" i="7"/>
  <c r="N44" i="7"/>
  <c r="M44" i="7"/>
  <c r="L44" i="7"/>
  <c r="K44" i="7"/>
  <c r="J44" i="7"/>
  <c r="I44" i="7"/>
  <c r="P44" i="7"/>
  <c r="O44" i="7"/>
  <c r="I22" i="7"/>
  <c r="Q39" i="7"/>
  <c r="O18" i="7"/>
  <c r="L202" i="13"/>
  <c r="L205" i="13" s="1"/>
  <c r="L211" i="13" s="1"/>
  <c r="K186" i="13"/>
  <c r="L178" i="13"/>
  <c r="L181" i="13" s="1"/>
  <c r="K159" i="13"/>
  <c r="K162" i="13" s="1"/>
  <c r="J167" i="13"/>
  <c r="J170" i="13" s="1"/>
  <c r="J19" i="19" s="1"/>
  <c r="L147" i="13"/>
  <c r="L150" i="13" s="1"/>
  <c r="K155" i="13"/>
  <c r="L128" i="13"/>
  <c r="L131" i="13" s="1"/>
  <c r="K136" i="13"/>
  <c r="K139" i="13" s="1"/>
  <c r="K18" i="19" s="1"/>
  <c r="L24" i="13"/>
  <c r="L27" i="13" s="1"/>
  <c r="K32" i="13"/>
  <c r="K107" i="13" s="1"/>
  <c r="K16" i="19" s="1"/>
  <c r="G78" i="20" l="1"/>
  <c r="O78" i="13"/>
  <c r="N221" i="13"/>
  <c r="N30" i="18" s="1"/>
  <c r="F66" i="21"/>
  <c r="F68" i="21" s="1"/>
  <c r="N96" i="13"/>
  <c r="N99" i="13" s="1"/>
  <c r="M104" i="13"/>
  <c r="M17" i="12"/>
  <c r="M19" i="20"/>
  <c r="O77" i="13"/>
  <c r="N80" i="13"/>
  <c r="P50" i="14"/>
  <c r="O15" i="12"/>
  <c r="I26" i="7"/>
  <c r="J26" i="7" s="1"/>
  <c r="K26" i="7" s="1"/>
  <c r="L26" i="7" s="1"/>
  <c r="M26" i="7" s="1"/>
  <c r="N26" i="7" s="1"/>
  <c r="O26" i="7" s="1"/>
  <c r="P26" i="7" s="1"/>
  <c r="Q26" i="7" s="1"/>
  <c r="I28" i="7"/>
  <c r="I29" i="14" s="1"/>
  <c r="I21" i="18" s="1"/>
  <c r="H29" i="14"/>
  <c r="H21" i="18" s="1"/>
  <c r="I32" i="14"/>
  <c r="I22" i="18" s="1"/>
  <c r="N33" i="7"/>
  <c r="O37" i="7"/>
  <c r="P37" i="7"/>
  <c r="Q37" i="7"/>
  <c r="H37" i="7"/>
  <c r="H27" i="7" s="1"/>
  <c r="H26" i="14" s="1"/>
  <c r="H20" i="18" s="1"/>
  <c r="I37" i="7"/>
  <c r="J37" i="7"/>
  <c r="K37" i="7"/>
  <c r="L37" i="7"/>
  <c r="M37" i="7"/>
  <c r="N37" i="7"/>
  <c r="J22" i="7"/>
  <c r="I29" i="7"/>
  <c r="P18" i="7"/>
  <c r="M202" i="13"/>
  <c r="M205" i="13" s="1"/>
  <c r="M211" i="13" s="1"/>
  <c r="L186" i="13"/>
  <c r="M178" i="13"/>
  <c r="M181" i="13" s="1"/>
  <c r="M147" i="13"/>
  <c r="M150" i="13" s="1"/>
  <c r="L155" i="13"/>
  <c r="L159" i="13"/>
  <c r="L162" i="13" s="1"/>
  <c r="K167" i="13"/>
  <c r="K170" i="13" s="1"/>
  <c r="K19" i="19" s="1"/>
  <c r="M128" i="13"/>
  <c r="M131" i="13" s="1"/>
  <c r="L136" i="13"/>
  <c r="L139" i="13" s="1"/>
  <c r="L18" i="19" s="1"/>
  <c r="M24" i="13"/>
  <c r="M27" i="13" s="1"/>
  <c r="L32" i="13"/>
  <c r="L107" i="13" s="1"/>
  <c r="L16" i="19" s="1"/>
  <c r="P77" i="13" l="1"/>
  <c r="O80" i="13"/>
  <c r="O96" i="13"/>
  <c r="O99" i="13" s="1"/>
  <c r="N104" i="13"/>
  <c r="N17" i="12"/>
  <c r="N19" i="20"/>
  <c r="P78" i="13"/>
  <c r="O221" i="13"/>
  <c r="O30" i="18" s="1"/>
  <c r="Q50" i="14"/>
  <c r="Q15" i="12" s="1"/>
  <c r="P15" i="12"/>
  <c r="J28" i="7"/>
  <c r="K28" i="7" s="1"/>
  <c r="J32" i="14"/>
  <c r="J22" i="18" s="1"/>
  <c r="O33" i="7"/>
  <c r="I27" i="7"/>
  <c r="I26" i="14" s="1"/>
  <c r="I20" i="18" s="1"/>
  <c r="H16" i="7"/>
  <c r="H17" i="7" s="1"/>
  <c r="H14" i="7" s="1"/>
  <c r="K22" i="7"/>
  <c r="K32" i="14" s="1"/>
  <c r="K22" i="18" s="1"/>
  <c r="J29" i="7"/>
  <c r="Q18" i="7"/>
  <c r="N202" i="13"/>
  <c r="N205" i="13" s="1"/>
  <c r="N211" i="13" s="1"/>
  <c r="N178" i="13"/>
  <c r="N181" i="13" s="1"/>
  <c r="M186" i="13"/>
  <c r="M159" i="13"/>
  <c r="M162" i="13" s="1"/>
  <c r="L167" i="13"/>
  <c r="L170" i="13" s="1"/>
  <c r="L19" i="19" s="1"/>
  <c r="N147" i="13"/>
  <c r="N150" i="13" s="1"/>
  <c r="M155" i="13"/>
  <c r="N128" i="13"/>
  <c r="N131" i="13" s="1"/>
  <c r="M136" i="13"/>
  <c r="M139" i="13" s="1"/>
  <c r="M18" i="19" s="1"/>
  <c r="N24" i="13"/>
  <c r="N27" i="13" s="1"/>
  <c r="M32" i="13"/>
  <c r="M107" i="13" s="1"/>
  <c r="M16" i="19" s="1"/>
  <c r="J29" i="14" l="1"/>
  <c r="J21" i="18" s="1"/>
  <c r="O17" i="12"/>
  <c r="O19" i="20"/>
  <c r="Q78" i="13"/>
  <c r="Q221" i="13" s="1"/>
  <c r="Q30" i="18" s="1"/>
  <c r="P221" i="13"/>
  <c r="P30" i="18" s="1"/>
  <c r="P96" i="13"/>
  <c r="P99" i="13" s="1"/>
  <c r="O104" i="13"/>
  <c r="Q77" i="13"/>
  <c r="Q80" i="13" s="1"/>
  <c r="P80" i="13"/>
  <c r="H79" i="17"/>
  <c r="H66" i="19" s="1"/>
  <c r="H26" i="20" s="1"/>
  <c r="H35" i="17"/>
  <c r="H62" i="17"/>
  <c r="H56" i="19" s="1"/>
  <c r="H67" i="20" s="1"/>
  <c r="H59" i="17"/>
  <c r="H55" i="19" s="1"/>
  <c r="H66" i="20" s="1"/>
  <c r="H26" i="17"/>
  <c r="H25" i="19" s="1"/>
  <c r="H55" i="20" s="1"/>
  <c r="H14" i="18"/>
  <c r="H70" i="17"/>
  <c r="H62" i="19" s="1"/>
  <c r="H23" i="17"/>
  <c r="H24" i="19" s="1"/>
  <c r="H54" i="20" s="1"/>
  <c r="H65" i="17"/>
  <c r="H57" i="19" s="1"/>
  <c r="H68" i="20" s="1"/>
  <c r="H46" i="17"/>
  <c r="H38" i="19" s="1"/>
  <c r="H39" i="20" s="1"/>
  <c r="H85" i="17"/>
  <c r="H68" i="19" s="1"/>
  <c r="H28" i="20" s="1"/>
  <c r="H43" i="17"/>
  <c r="H37" i="19" s="1"/>
  <c r="H38" i="20" s="1"/>
  <c r="H20" i="17"/>
  <c r="H23" i="19" s="1"/>
  <c r="H53" i="20" s="1"/>
  <c r="H76" i="17"/>
  <c r="H65" i="19" s="1"/>
  <c r="H25" i="20" s="1"/>
  <c r="H56" i="17"/>
  <c r="H54" i="19" s="1"/>
  <c r="H65" i="20" s="1"/>
  <c r="H37" i="17"/>
  <c r="H35" i="19" s="1"/>
  <c r="H36" i="20" s="1"/>
  <c r="H17" i="17"/>
  <c r="H22" i="19" s="1"/>
  <c r="H73" i="17"/>
  <c r="H63" i="19" s="1"/>
  <c r="H23" i="20" s="1"/>
  <c r="H53" i="17"/>
  <c r="H29" i="17"/>
  <c r="H26" i="19" s="1"/>
  <c r="H56" i="20" s="1"/>
  <c r="H82" i="17"/>
  <c r="H67" i="19" s="1"/>
  <c r="H27" i="20" s="1"/>
  <c r="H40" i="17"/>
  <c r="H36" i="19" s="1"/>
  <c r="H37" i="20" s="1"/>
  <c r="L28" i="7"/>
  <c r="K29" i="14"/>
  <c r="K21" i="18" s="1"/>
  <c r="H32" i="7"/>
  <c r="H36" i="18" s="1"/>
  <c r="H14" i="14"/>
  <c r="P33" i="7"/>
  <c r="J27" i="7"/>
  <c r="I16" i="7"/>
  <c r="I17" i="7" s="1"/>
  <c r="I14" i="7" s="1"/>
  <c r="L22" i="7"/>
  <c r="L32" i="14" s="1"/>
  <c r="L22" i="18" s="1"/>
  <c r="K29" i="7"/>
  <c r="O202" i="13"/>
  <c r="O205" i="13" s="1"/>
  <c r="O211" i="13" s="1"/>
  <c r="O178" i="13"/>
  <c r="O181" i="13" s="1"/>
  <c r="N186" i="13"/>
  <c r="N155" i="13"/>
  <c r="O147" i="13"/>
  <c r="O150" i="13" s="1"/>
  <c r="N159" i="13"/>
  <c r="N162" i="13" s="1"/>
  <c r="M167" i="13"/>
  <c r="M170" i="13" s="1"/>
  <c r="M19" i="19" s="1"/>
  <c r="N136" i="13"/>
  <c r="N139" i="13" s="1"/>
  <c r="N18" i="19" s="1"/>
  <c r="O128" i="13"/>
  <c r="O131" i="13" s="1"/>
  <c r="O24" i="13"/>
  <c r="O27" i="13" s="1"/>
  <c r="N32" i="13"/>
  <c r="N107" i="13" s="1"/>
  <c r="N16" i="19" s="1"/>
  <c r="Q96" i="13" l="1"/>
  <c r="Q99" i="13" s="1"/>
  <c r="Q104" i="13" s="1"/>
  <c r="P104" i="13"/>
  <c r="P17" i="12"/>
  <c r="P19" i="20"/>
  <c r="Q19" i="20"/>
  <c r="Q17" i="12"/>
  <c r="H53" i="19"/>
  <c r="H47" i="14"/>
  <c r="H34" i="18" s="1"/>
  <c r="H22" i="20"/>
  <c r="I62" i="17"/>
  <c r="I56" i="19" s="1"/>
  <c r="I67" i="20" s="1"/>
  <c r="I35" i="17"/>
  <c r="I46" i="17"/>
  <c r="I38" i="19" s="1"/>
  <c r="I39" i="20" s="1"/>
  <c r="I14" i="18"/>
  <c r="I20" i="17"/>
  <c r="I23" i="19" s="1"/>
  <c r="I53" i="20" s="1"/>
  <c r="I76" i="17"/>
  <c r="I65" i="19" s="1"/>
  <c r="I25" i="20" s="1"/>
  <c r="I37" i="17"/>
  <c r="I35" i="19" s="1"/>
  <c r="I36" i="20" s="1"/>
  <c r="I43" i="17"/>
  <c r="I37" i="19" s="1"/>
  <c r="I38" i="20" s="1"/>
  <c r="I59" i="17"/>
  <c r="I55" i="19" s="1"/>
  <c r="I66" i="20" s="1"/>
  <c r="I29" i="17"/>
  <c r="I26" i="19" s="1"/>
  <c r="I56" i="20" s="1"/>
  <c r="I73" i="17"/>
  <c r="I63" i="19" s="1"/>
  <c r="I23" i="20" s="1"/>
  <c r="I23" i="17"/>
  <c r="I24" i="19" s="1"/>
  <c r="I54" i="20" s="1"/>
  <c r="I70" i="17"/>
  <c r="I62" i="19" s="1"/>
  <c r="I82" i="17"/>
  <c r="I67" i="19" s="1"/>
  <c r="I27" i="20" s="1"/>
  <c r="I56" i="17"/>
  <c r="I54" i="19" s="1"/>
  <c r="I65" i="20" s="1"/>
  <c r="I65" i="17"/>
  <c r="I57" i="19" s="1"/>
  <c r="I68" i="20" s="1"/>
  <c r="I40" i="17"/>
  <c r="I36" i="19" s="1"/>
  <c r="I37" i="20" s="1"/>
  <c r="I85" i="17"/>
  <c r="I68" i="19" s="1"/>
  <c r="I28" i="20" s="1"/>
  <c r="I79" i="17"/>
  <c r="I66" i="19" s="1"/>
  <c r="I26" i="20" s="1"/>
  <c r="I53" i="17"/>
  <c r="I26" i="17"/>
  <c r="I25" i="19" s="1"/>
  <c r="I55" i="20" s="1"/>
  <c r="I17" i="17"/>
  <c r="I22" i="19" s="1"/>
  <c r="H52" i="20"/>
  <c r="H41" i="14"/>
  <c r="H25" i="18" s="1"/>
  <c r="H22" i="14"/>
  <c r="H19" i="18" s="1"/>
  <c r="H47" i="20"/>
  <c r="H30" i="20"/>
  <c r="K27" i="7"/>
  <c r="J26" i="14"/>
  <c r="J20" i="18" s="1"/>
  <c r="H19" i="14"/>
  <c r="H18" i="18" s="1"/>
  <c r="H38" i="14"/>
  <c r="H24" i="18" s="1"/>
  <c r="H36" i="14"/>
  <c r="M28" i="7"/>
  <c r="L29" i="14"/>
  <c r="L21" i="18" s="1"/>
  <c r="I32" i="7"/>
  <c r="I36" i="18" s="1"/>
  <c r="I14" i="14"/>
  <c r="H16" i="14"/>
  <c r="H17" i="18" s="1"/>
  <c r="H44" i="14"/>
  <c r="H26" i="18" s="1"/>
  <c r="Q33" i="7"/>
  <c r="J16" i="7"/>
  <c r="J17" i="7" s="1"/>
  <c r="J14" i="7" s="1"/>
  <c r="L29" i="7"/>
  <c r="M22" i="7"/>
  <c r="M32" i="14" s="1"/>
  <c r="M22" i="18" s="1"/>
  <c r="P202" i="13"/>
  <c r="P205" i="13" s="1"/>
  <c r="P211" i="13" s="1"/>
  <c r="O186" i="13"/>
  <c r="P178" i="13"/>
  <c r="P181" i="13" s="1"/>
  <c r="O159" i="13"/>
  <c r="O162" i="13" s="1"/>
  <c r="N167" i="13"/>
  <c r="N170" i="13" s="1"/>
  <c r="N19" i="19" s="1"/>
  <c r="O155" i="13"/>
  <c r="P147" i="13"/>
  <c r="P150" i="13" s="1"/>
  <c r="P128" i="13"/>
  <c r="P131" i="13" s="1"/>
  <c r="O136" i="13"/>
  <c r="O139" i="13" s="1"/>
  <c r="O18" i="19" s="1"/>
  <c r="P24" i="13"/>
  <c r="P27" i="13" s="1"/>
  <c r="O32" i="13"/>
  <c r="O107" i="13" s="1"/>
  <c r="O16" i="19" s="1"/>
  <c r="H64" i="20" l="1"/>
  <c r="H58" i="19"/>
  <c r="I47" i="14"/>
  <c r="I34" i="18" s="1"/>
  <c r="I53" i="19"/>
  <c r="I41" i="14"/>
  <c r="I25" i="18" s="1"/>
  <c r="I22" i="14"/>
  <c r="I19" i="18" s="1"/>
  <c r="I47" i="20"/>
  <c r="I30" i="20"/>
  <c r="H28" i="18"/>
  <c r="I22" i="20"/>
  <c r="J46" i="17"/>
  <c r="J38" i="19" s="1"/>
  <c r="J39" i="20" s="1"/>
  <c r="J35" i="17"/>
  <c r="J20" i="17"/>
  <c r="J23" i="19" s="1"/>
  <c r="J53" i="20" s="1"/>
  <c r="J14" i="18"/>
  <c r="J76" i="17"/>
  <c r="J65" i="19" s="1"/>
  <c r="J25" i="20" s="1"/>
  <c r="J37" i="17"/>
  <c r="J35" i="19" s="1"/>
  <c r="J36" i="20" s="1"/>
  <c r="J62" i="17"/>
  <c r="J56" i="19" s="1"/>
  <c r="J67" i="20" s="1"/>
  <c r="J43" i="17"/>
  <c r="J37" i="19" s="1"/>
  <c r="J38" i="20" s="1"/>
  <c r="J29" i="17"/>
  <c r="J26" i="19" s="1"/>
  <c r="J56" i="20" s="1"/>
  <c r="J70" i="17"/>
  <c r="J62" i="19" s="1"/>
  <c r="J82" i="17"/>
  <c r="J67" i="19" s="1"/>
  <c r="J27" i="20" s="1"/>
  <c r="J56" i="17"/>
  <c r="J54" i="19" s="1"/>
  <c r="J65" i="20" s="1"/>
  <c r="J59" i="17"/>
  <c r="J55" i="19" s="1"/>
  <c r="J66" i="20" s="1"/>
  <c r="J26" i="17"/>
  <c r="J25" i="19" s="1"/>
  <c r="J55" i="20" s="1"/>
  <c r="J40" i="17"/>
  <c r="J36" i="19" s="1"/>
  <c r="J37" i="20" s="1"/>
  <c r="J17" i="17"/>
  <c r="J22" i="19" s="1"/>
  <c r="J85" i="17"/>
  <c r="J68" i="19" s="1"/>
  <c r="J28" i="20" s="1"/>
  <c r="J23" i="17"/>
  <c r="J24" i="19" s="1"/>
  <c r="J54" i="20" s="1"/>
  <c r="J79" i="17"/>
  <c r="J66" i="19" s="1"/>
  <c r="J26" i="20" s="1"/>
  <c r="J73" i="17"/>
  <c r="J63" i="19" s="1"/>
  <c r="J23" i="20" s="1"/>
  <c r="J65" i="17"/>
  <c r="J57" i="19" s="1"/>
  <c r="J68" i="20" s="1"/>
  <c r="J53" i="17"/>
  <c r="I52" i="20"/>
  <c r="H20" i="20"/>
  <c r="H72" i="20"/>
  <c r="N28" i="7"/>
  <c r="M29" i="14"/>
  <c r="M21" i="18" s="1"/>
  <c r="I19" i="14"/>
  <c r="I18" i="18" s="1"/>
  <c r="I38" i="14"/>
  <c r="I24" i="18" s="1"/>
  <c r="I36" i="14"/>
  <c r="L27" i="7"/>
  <c r="L16" i="7" s="1"/>
  <c r="L17" i="7" s="1"/>
  <c r="L14" i="7" s="1"/>
  <c r="K26" i="14"/>
  <c r="K20" i="18" s="1"/>
  <c r="K16" i="7"/>
  <c r="K17" i="7" s="1"/>
  <c r="K14" i="7" s="1"/>
  <c r="J32" i="7"/>
  <c r="J36" i="18" s="1"/>
  <c r="J14" i="14"/>
  <c r="I16" i="14"/>
  <c r="I44" i="14"/>
  <c r="I26" i="18" s="1"/>
  <c r="N22" i="7"/>
  <c r="N32" i="14" s="1"/>
  <c r="N22" i="18" s="1"/>
  <c r="M29" i="7"/>
  <c r="Q202" i="13"/>
  <c r="Q205" i="13" s="1"/>
  <c r="Q211" i="13" s="1"/>
  <c r="P186" i="13"/>
  <c r="Q178" i="13"/>
  <c r="Q181" i="13" s="1"/>
  <c r="Q186" i="13" s="1"/>
  <c r="P155" i="13"/>
  <c r="Q147" i="13"/>
  <c r="Q150" i="13" s="1"/>
  <c r="Q155" i="13" s="1"/>
  <c r="P159" i="13"/>
  <c r="P162" i="13" s="1"/>
  <c r="O167" i="13"/>
  <c r="O170" i="13" s="1"/>
  <c r="O19" i="19" s="1"/>
  <c r="Q128" i="13"/>
  <c r="Q131" i="13" s="1"/>
  <c r="Q136" i="13" s="1"/>
  <c r="Q139" i="13" s="1"/>
  <c r="Q18" i="19" s="1"/>
  <c r="P136" i="13"/>
  <c r="P139" i="13" s="1"/>
  <c r="P18" i="19" s="1"/>
  <c r="Q24" i="13"/>
  <c r="Q27" i="13" s="1"/>
  <c r="Q32" i="13" s="1"/>
  <c r="Q107" i="13" s="1"/>
  <c r="Q16" i="19" s="1"/>
  <c r="P32" i="13"/>
  <c r="P107" i="13" s="1"/>
  <c r="P16" i="19" s="1"/>
  <c r="J52" i="20" l="1"/>
  <c r="I17" i="18"/>
  <c r="J41" i="14"/>
  <c r="J25" i="18" s="1"/>
  <c r="J22" i="14"/>
  <c r="J19" i="18" s="1"/>
  <c r="J47" i="20"/>
  <c r="J30" i="20"/>
  <c r="K46" i="17"/>
  <c r="K38" i="19" s="1"/>
  <c r="K39" i="20" s="1"/>
  <c r="K35" i="17"/>
  <c r="K76" i="17"/>
  <c r="K65" i="19" s="1"/>
  <c r="K25" i="20" s="1"/>
  <c r="K37" i="17"/>
  <c r="K35" i="19" s="1"/>
  <c r="K36" i="20" s="1"/>
  <c r="K14" i="18"/>
  <c r="K62" i="17"/>
  <c r="K56" i="19" s="1"/>
  <c r="K67" i="20" s="1"/>
  <c r="K85" i="17"/>
  <c r="K68" i="19" s="1"/>
  <c r="K28" i="20" s="1"/>
  <c r="K59" i="17"/>
  <c r="K55" i="19" s="1"/>
  <c r="K66" i="20" s="1"/>
  <c r="K43" i="17"/>
  <c r="K37" i="19" s="1"/>
  <c r="K38" i="20" s="1"/>
  <c r="K29" i="17"/>
  <c r="K26" i="19" s="1"/>
  <c r="K56" i="20" s="1"/>
  <c r="K20" i="17"/>
  <c r="K23" i="19" s="1"/>
  <c r="K53" i="20" s="1"/>
  <c r="K56" i="17"/>
  <c r="K54" i="19" s="1"/>
  <c r="K65" i="20" s="1"/>
  <c r="K70" i="17"/>
  <c r="K62" i="19" s="1"/>
  <c r="K82" i="17"/>
  <c r="K67" i="19" s="1"/>
  <c r="K27" i="20" s="1"/>
  <c r="K26" i="17"/>
  <c r="K25" i="19" s="1"/>
  <c r="K55" i="20" s="1"/>
  <c r="K40" i="17"/>
  <c r="K36" i="19" s="1"/>
  <c r="K37" i="20" s="1"/>
  <c r="K17" i="17"/>
  <c r="K22" i="19" s="1"/>
  <c r="K73" i="17"/>
  <c r="K63" i="19" s="1"/>
  <c r="K23" i="20" s="1"/>
  <c r="K65" i="17"/>
  <c r="K57" i="19" s="1"/>
  <c r="K68" i="20" s="1"/>
  <c r="K53" i="17"/>
  <c r="K23" i="17"/>
  <c r="K24" i="19" s="1"/>
  <c r="K54" i="20" s="1"/>
  <c r="K79" i="17"/>
  <c r="K66" i="19" s="1"/>
  <c r="K26" i="20" s="1"/>
  <c r="I64" i="20"/>
  <c r="I58" i="19"/>
  <c r="J53" i="19"/>
  <c r="J47" i="14"/>
  <c r="J34" i="18" s="1"/>
  <c r="J22" i="20"/>
  <c r="I20" i="20"/>
  <c r="I72" i="20"/>
  <c r="L46" i="17"/>
  <c r="L38" i="19" s="1"/>
  <c r="L70" i="17"/>
  <c r="L62" i="19" s="1"/>
  <c r="L76" i="17"/>
  <c r="L65" i="19" s="1"/>
  <c r="L37" i="17"/>
  <c r="L35" i="19" s="1"/>
  <c r="L35" i="17"/>
  <c r="L14" i="18"/>
  <c r="L62" i="17"/>
  <c r="L56" i="19" s="1"/>
  <c r="L85" i="17"/>
  <c r="L68" i="19" s="1"/>
  <c r="L43" i="17"/>
  <c r="L37" i="19" s="1"/>
  <c r="L29" i="17"/>
  <c r="L26" i="19" s="1"/>
  <c r="L20" i="17"/>
  <c r="L23" i="19" s="1"/>
  <c r="L56" i="17"/>
  <c r="L54" i="19" s="1"/>
  <c r="L40" i="17"/>
  <c r="L36" i="19" s="1"/>
  <c r="L82" i="17"/>
  <c r="L67" i="19" s="1"/>
  <c r="L59" i="17"/>
  <c r="L55" i="19" s="1"/>
  <c r="L26" i="17"/>
  <c r="L25" i="19" s="1"/>
  <c r="L17" i="17"/>
  <c r="L22" i="19" s="1"/>
  <c r="L65" i="17"/>
  <c r="L57" i="19" s="1"/>
  <c r="L53" i="17"/>
  <c r="L23" i="17"/>
  <c r="L24" i="19" s="1"/>
  <c r="L79" i="17"/>
  <c r="L66" i="19" s="1"/>
  <c r="L73" i="17"/>
  <c r="L63" i="19" s="1"/>
  <c r="H16" i="21"/>
  <c r="H32" i="18"/>
  <c r="L32" i="7"/>
  <c r="L36" i="18" s="1"/>
  <c r="L14" i="14"/>
  <c r="K32" i="7"/>
  <c r="K36" i="18" s="1"/>
  <c r="K14" i="14"/>
  <c r="M27" i="7"/>
  <c r="L26" i="14"/>
  <c r="L20" i="18" s="1"/>
  <c r="J19" i="14"/>
  <c r="J18" i="18" s="1"/>
  <c r="J38" i="14"/>
  <c r="J24" i="18" s="1"/>
  <c r="J36" i="14"/>
  <c r="O28" i="7"/>
  <c r="N29" i="14"/>
  <c r="N21" i="18" s="1"/>
  <c r="J16" i="14"/>
  <c r="J17" i="18" s="1"/>
  <c r="J44" i="14"/>
  <c r="J26" i="18" s="1"/>
  <c r="L16" i="14"/>
  <c r="L17" i="18" s="1"/>
  <c r="L44" i="14"/>
  <c r="L26" i="18" s="1"/>
  <c r="N29" i="7"/>
  <c r="O22" i="7"/>
  <c r="O32" i="14" s="1"/>
  <c r="O22" i="18" s="1"/>
  <c r="P167" i="13"/>
  <c r="P170" i="13" s="1"/>
  <c r="P19" i="19" s="1"/>
  <c r="Q159" i="13"/>
  <c r="Q162" i="13" s="1"/>
  <c r="Q167" i="13" s="1"/>
  <c r="Q170" i="13" s="1"/>
  <c r="Q19" i="19" s="1"/>
  <c r="L23" i="20" l="1"/>
  <c r="L65" i="20"/>
  <c r="L55" i="20"/>
  <c r="L28" i="20"/>
  <c r="L67" i="20"/>
  <c r="L53" i="20"/>
  <c r="L56" i="20"/>
  <c r="L26" i="20"/>
  <c r="L38" i="20"/>
  <c r="K53" i="19"/>
  <c r="K47" i="14"/>
  <c r="K34" i="18" s="1"/>
  <c r="L54" i="20"/>
  <c r="J72" i="20"/>
  <c r="J20" i="20"/>
  <c r="I28" i="18"/>
  <c r="L53" i="19"/>
  <c r="L47" i="14"/>
  <c r="L34" i="18" s="1"/>
  <c r="J64" i="20"/>
  <c r="J58" i="19"/>
  <c r="L68" i="20"/>
  <c r="K52" i="20"/>
  <c r="J28" i="18"/>
  <c r="K41" i="14"/>
  <c r="K25" i="18" s="1"/>
  <c r="K22" i="14"/>
  <c r="K19" i="18" s="1"/>
  <c r="L52" i="20"/>
  <c r="K47" i="20"/>
  <c r="K30" i="20"/>
  <c r="L36" i="20"/>
  <c r="L41" i="14"/>
  <c r="L25" i="18" s="1"/>
  <c r="L22" i="14"/>
  <c r="L19" i="18" s="1"/>
  <c r="L66" i="20"/>
  <c r="L25" i="20"/>
  <c r="L47" i="20"/>
  <c r="L30" i="20"/>
  <c r="L27" i="20"/>
  <c r="L22" i="20"/>
  <c r="K22" i="20"/>
  <c r="H14" i="12"/>
  <c r="H16" i="12" s="1"/>
  <c r="H18" i="21"/>
  <c r="H48" i="21"/>
  <c r="H40" i="18"/>
  <c r="L37" i="20"/>
  <c r="L39" i="20"/>
  <c r="P28" i="7"/>
  <c r="O29" i="14"/>
  <c r="O21" i="18" s="1"/>
  <c r="N27" i="7"/>
  <c r="M26" i="14"/>
  <c r="M20" i="18" s="1"/>
  <c r="M16" i="7"/>
  <c r="M17" i="7" s="1"/>
  <c r="M14" i="7" s="1"/>
  <c r="K19" i="14"/>
  <c r="K18" i="18" s="1"/>
  <c r="K38" i="14"/>
  <c r="K24" i="18" s="1"/>
  <c r="K36" i="14"/>
  <c r="K44" i="14"/>
  <c r="K26" i="18" s="1"/>
  <c r="K16" i="14"/>
  <c r="L19" i="14"/>
  <c r="L38" i="14"/>
  <c r="L24" i="18" s="1"/>
  <c r="L36" i="14"/>
  <c r="O29" i="7"/>
  <c r="P22" i="7"/>
  <c r="P32" i="14" s="1"/>
  <c r="P22" i="18" s="1"/>
  <c r="L18" i="18" l="1"/>
  <c r="K17" i="18"/>
  <c r="H20" i="21"/>
  <c r="H17" i="20"/>
  <c r="H42" i="18"/>
  <c r="J16" i="21"/>
  <c r="J32" i="18"/>
  <c r="K72" i="20"/>
  <c r="K20" i="20"/>
  <c r="K64" i="20"/>
  <c r="K58" i="19"/>
  <c r="M70" i="17"/>
  <c r="M62" i="19" s="1"/>
  <c r="M76" i="17"/>
  <c r="M65" i="19" s="1"/>
  <c r="M25" i="20" s="1"/>
  <c r="M37" i="17"/>
  <c r="M35" i="19" s="1"/>
  <c r="M36" i="20" s="1"/>
  <c r="M35" i="17"/>
  <c r="M14" i="18"/>
  <c r="M62" i="17"/>
  <c r="M56" i="19" s="1"/>
  <c r="M67" i="20" s="1"/>
  <c r="M82" i="17"/>
  <c r="M67" i="19" s="1"/>
  <c r="M27" i="20" s="1"/>
  <c r="M46" i="17"/>
  <c r="M38" i="19" s="1"/>
  <c r="M39" i="20" s="1"/>
  <c r="M26" i="17"/>
  <c r="M25" i="19" s="1"/>
  <c r="M55" i="20" s="1"/>
  <c r="M85" i="17"/>
  <c r="M68" i="19" s="1"/>
  <c r="M28" i="20" s="1"/>
  <c r="M43" i="17"/>
  <c r="M37" i="19" s="1"/>
  <c r="M38" i="20" s="1"/>
  <c r="M29" i="17"/>
  <c r="M26" i="19" s="1"/>
  <c r="M56" i="20" s="1"/>
  <c r="M20" i="17"/>
  <c r="M23" i="19" s="1"/>
  <c r="M53" i="20" s="1"/>
  <c r="M56" i="17"/>
  <c r="M54" i="19" s="1"/>
  <c r="M65" i="20" s="1"/>
  <c r="M59" i="17"/>
  <c r="M55" i="19" s="1"/>
  <c r="M66" i="20" s="1"/>
  <c r="M40" i="17"/>
  <c r="M36" i="19" s="1"/>
  <c r="M37" i="20" s="1"/>
  <c r="M17" i="17"/>
  <c r="M22" i="19" s="1"/>
  <c r="M53" i="17"/>
  <c r="M23" i="17"/>
  <c r="M24" i="19" s="1"/>
  <c r="M54" i="20" s="1"/>
  <c r="M79" i="17"/>
  <c r="M66" i="19" s="1"/>
  <c r="M26" i="20" s="1"/>
  <c r="M73" i="17"/>
  <c r="M63" i="19" s="1"/>
  <c r="M23" i="20" s="1"/>
  <c r="M65" i="17"/>
  <c r="M57" i="19" s="1"/>
  <c r="M68" i="20" s="1"/>
  <c r="L20" i="20"/>
  <c r="L72" i="20"/>
  <c r="L64" i="20"/>
  <c r="L58" i="19"/>
  <c r="I16" i="21"/>
  <c r="I32" i="18"/>
  <c r="O27" i="7"/>
  <c r="N26" i="14"/>
  <c r="N20" i="18" s="1"/>
  <c r="M32" i="7"/>
  <c r="M36" i="18" s="1"/>
  <c r="M14" i="14"/>
  <c r="N16" i="7"/>
  <c r="N17" i="7" s="1"/>
  <c r="N14" i="7" s="1"/>
  <c r="Q28" i="7"/>
  <c r="Q29" i="14" s="1"/>
  <c r="Q21" i="18" s="1"/>
  <c r="P29" i="14"/>
  <c r="P21" i="18" s="1"/>
  <c r="P29" i="7"/>
  <c r="Q22" i="7"/>
  <c r="Q32" i="14" s="1"/>
  <c r="Q22" i="18" s="1"/>
  <c r="M53" i="19" l="1"/>
  <c r="M47" i="14"/>
  <c r="M34" i="18" s="1"/>
  <c r="M52" i="20"/>
  <c r="H22" i="21"/>
  <c r="H31" i="20"/>
  <c r="J14" i="12"/>
  <c r="J16" i="12" s="1"/>
  <c r="J48" i="21"/>
  <c r="J18" i="21"/>
  <c r="J40" i="18"/>
  <c r="N70" i="17"/>
  <c r="N62" i="19" s="1"/>
  <c r="N76" i="17"/>
  <c r="N65" i="19" s="1"/>
  <c r="N25" i="20" s="1"/>
  <c r="N37" i="17"/>
  <c r="N35" i="19" s="1"/>
  <c r="N36" i="20" s="1"/>
  <c r="N26" i="17"/>
  <c r="N25" i="19" s="1"/>
  <c r="N55" i="20" s="1"/>
  <c r="N56" i="17"/>
  <c r="N54" i="19" s="1"/>
  <c r="N65" i="20" s="1"/>
  <c r="N35" i="17"/>
  <c r="N62" i="17"/>
  <c r="N56" i="19" s="1"/>
  <c r="N67" i="20" s="1"/>
  <c r="N14" i="18"/>
  <c r="N82" i="17"/>
  <c r="N67" i="19" s="1"/>
  <c r="N27" i="20" s="1"/>
  <c r="N46" i="17"/>
  <c r="N38" i="19" s="1"/>
  <c r="N39" i="20" s="1"/>
  <c r="N40" i="17"/>
  <c r="N36" i="19" s="1"/>
  <c r="N37" i="20" s="1"/>
  <c r="N85" i="17"/>
  <c r="N68" i="19" s="1"/>
  <c r="N28" i="20" s="1"/>
  <c r="N43" i="17"/>
  <c r="N37" i="19" s="1"/>
  <c r="N38" i="20" s="1"/>
  <c r="N29" i="17"/>
  <c r="N26" i="19" s="1"/>
  <c r="N56" i="20" s="1"/>
  <c r="N20" i="17"/>
  <c r="N23" i="19" s="1"/>
  <c r="N53" i="20" s="1"/>
  <c r="N59" i="17"/>
  <c r="N55" i="19" s="1"/>
  <c r="N66" i="20" s="1"/>
  <c r="N17" i="17"/>
  <c r="N22" i="19" s="1"/>
  <c r="N79" i="17"/>
  <c r="N66" i="19" s="1"/>
  <c r="N26" i="20" s="1"/>
  <c r="N73" i="17"/>
  <c r="N63" i="19" s="1"/>
  <c r="N23" i="20" s="1"/>
  <c r="N65" i="17"/>
  <c r="N57" i="19" s="1"/>
  <c r="N68" i="20" s="1"/>
  <c r="N53" i="17"/>
  <c r="N23" i="17"/>
  <c r="N24" i="19" s="1"/>
  <c r="N54" i="20" s="1"/>
  <c r="H44" i="18"/>
  <c r="M41" i="14"/>
  <c r="M25" i="18" s="1"/>
  <c r="M22" i="14"/>
  <c r="M19" i="18" s="1"/>
  <c r="M22" i="20"/>
  <c r="M47" i="20"/>
  <c r="M30" i="20"/>
  <c r="K28" i="18"/>
  <c r="I14" i="12"/>
  <c r="I16" i="12" s="1"/>
  <c r="I48" i="21"/>
  <c r="I18" i="21"/>
  <c r="I40" i="18"/>
  <c r="L28" i="18"/>
  <c r="M19" i="14"/>
  <c r="M18" i="18" s="1"/>
  <c r="M38" i="14"/>
  <c r="M24" i="18" s="1"/>
  <c r="M36" i="14"/>
  <c r="M44" i="14"/>
  <c r="M26" i="18" s="1"/>
  <c r="M16" i="14"/>
  <c r="N32" i="7"/>
  <c r="N36" i="18" s="1"/>
  <c r="N14" i="14"/>
  <c r="P27" i="7"/>
  <c r="P16" i="7" s="1"/>
  <c r="P17" i="7" s="1"/>
  <c r="P14" i="7" s="1"/>
  <c r="O26" i="14"/>
  <c r="O20" i="18" s="1"/>
  <c r="O16" i="7"/>
  <c r="O17" i="7" s="1"/>
  <c r="O14" i="7" s="1"/>
  <c r="Q29" i="7"/>
  <c r="P14" i="14" l="1"/>
  <c r="P38" i="14" s="1"/>
  <c r="P24" i="18" s="1"/>
  <c r="P56" i="17"/>
  <c r="P54" i="19" s="1"/>
  <c r="P62" i="17"/>
  <c r="P56" i="19" s="1"/>
  <c r="P43" i="17"/>
  <c r="P37" i="19" s="1"/>
  <c r="P82" i="17"/>
  <c r="P67" i="19" s="1"/>
  <c r="P40" i="17"/>
  <c r="P36" i="19" s="1"/>
  <c r="P29" i="17"/>
  <c r="P26" i="19" s="1"/>
  <c r="P35" i="17"/>
  <c r="P70" i="17"/>
  <c r="P62" i="19" s="1"/>
  <c r="P14" i="18"/>
  <c r="P26" i="17"/>
  <c r="P25" i="19" s="1"/>
  <c r="P76" i="17"/>
  <c r="P65" i="19" s="1"/>
  <c r="P37" i="17"/>
  <c r="P35" i="19" s="1"/>
  <c r="P59" i="17"/>
  <c r="P55" i="19" s="1"/>
  <c r="P20" i="17"/>
  <c r="P23" i="19" s="1"/>
  <c r="P85" i="17"/>
  <c r="P68" i="19" s="1"/>
  <c r="P46" i="17"/>
  <c r="P38" i="19" s="1"/>
  <c r="P17" i="17"/>
  <c r="P22" i="19" s="1"/>
  <c r="P23" i="17"/>
  <c r="P24" i="19" s="1"/>
  <c r="P79" i="17"/>
  <c r="P66" i="19" s="1"/>
  <c r="P73" i="17"/>
  <c r="P63" i="19" s="1"/>
  <c r="P65" i="17"/>
  <c r="P57" i="19" s="1"/>
  <c r="P53" i="17"/>
  <c r="P32" i="7"/>
  <c r="P36" i="18" s="1"/>
  <c r="N41" i="14"/>
  <c r="N25" i="18" s="1"/>
  <c r="N22" i="14"/>
  <c r="N19" i="18" s="1"/>
  <c r="N30" i="20"/>
  <c r="N47" i="20"/>
  <c r="M17" i="18"/>
  <c r="N52" i="20"/>
  <c r="N53" i="19"/>
  <c r="N47" i="14"/>
  <c r="N34" i="18" s="1"/>
  <c r="N22" i="20"/>
  <c r="L16" i="21"/>
  <c r="L32" i="18"/>
  <c r="I20" i="21"/>
  <c r="I17" i="20"/>
  <c r="I42" i="18"/>
  <c r="I44" i="18" s="1"/>
  <c r="O37" i="17"/>
  <c r="O35" i="19" s="1"/>
  <c r="O36" i="20" s="1"/>
  <c r="O26" i="17"/>
  <c r="O25" i="19" s="1"/>
  <c r="O55" i="20" s="1"/>
  <c r="O56" i="17"/>
  <c r="O54" i="19" s="1"/>
  <c r="O65" i="20" s="1"/>
  <c r="O62" i="17"/>
  <c r="O56" i="19" s="1"/>
  <c r="O67" i="20" s="1"/>
  <c r="O35" i="17"/>
  <c r="O82" i="17"/>
  <c r="O67" i="19" s="1"/>
  <c r="O27" i="20" s="1"/>
  <c r="O46" i="17"/>
  <c r="O38" i="19" s="1"/>
  <c r="O39" i="20" s="1"/>
  <c r="O40" i="17"/>
  <c r="O36" i="19" s="1"/>
  <c r="O37" i="20" s="1"/>
  <c r="O14" i="18"/>
  <c r="O70" i="17"/>
  <c r="O62" i="19" s="1"/>
  <c r="O59" i="17"/>
  <c r="O55" i="19" s="1"/>
  <c r="O66" i="20" s="1"/>
  <c r="O85" i="17"/>
  <c r="O68" i="19" s="1"/>
  <c r="O28" i="20" s="1"/>
  <c r="O43" i="17"/>
  <c r="O37" i="19" s="1"/>
  <c r="O38" i="20" s="1"/>
  <c r="O29" i="17"/>
  <c r="O26" i="19" s="1"/>
  <c r="O56" i="20" s="1"/>
  <c r="O20" i="17"/>
  <c r="O23" i="19" s="1"/>
  <c r="O53" i="20" s="1"/>
  <c r="O76" i="17"/>
  <c r="O65" i="19" s="1"/>
  <c r="O25" i="20" s="1"/>
  <c r="O17" i="17"/>
  <c r="O22" i="19" s="1"/>
  <c r="O23" i="17"/>
  <c r="O24" i="19" s="1"/>
  <c r="O54" i="20" s="1"/>
  <c r="O79" i="17"/>
  <c r="O66" i="19" s="1"/>
  <c r="O26" i="20" s="1"/>
  <c r="O73" i="17"/>
  <c r="O63" i="19" s="1"/>
  <c r="O23" i="20" s="1"/>
  <c r="O65" i="17"/>
  <c r="O57" i="19" s="1"/>
  <c r="O68" i="20" s="1"/>
  <c r="O53" i="17"/>
  <c r="H24" i="21"/>
  <c r="H60" i="21" s="1"/>
  <c r="H47" i="18"/>
  <c r="H50" i="18" s="1"/>
  <c r="H53" i="18" s="1"/>
  <c r="J20" i="21"/>
  <c r="J17" i="20"/>
  <c r="J42" i="18"/>
  <c r="M20" i="20"/>
  <c r="M72" i="20"/>
  <c r="K16" i="21"/>
  <c r="K32" i="18"/>
  <c r="M64" i="20"/>
  <c r="M58" i="19"/>
  <c r="O32" i="7"/>
  <c r="O36" i="18" s="1"/>
  <c r="O14" i="14"/>
  <c r="Q27" i="7"/>
  <c r="Q26" i="14" s="1"/>
  <c r="Q20" i="18" s="1"/>
  <c r="P26" i="14"/>
  <c r="P20" i="18" s="1"/>
  <c r="N19" i="14"/>
  <c r="N18" i="18" s="1"/>
  <c r="N38" i="14"/>
  <c r="N24" i="18" s="1"/>
  <c r="N36" i="14"/>
  <c r="N44" i="14"/>
  <c r="N26" i="18" s="1"/>
  <c r="N16" i="14"/>
  <c r="Q16" i="7" l="1"/>
  <c r="Q17" i="7" s="1"/>
  <c r="Q14" i="7" s="1"/>
  <c r="Q35" i="17" s="1"/>
  <c r="P25" i="20"/>
  <c r="P36" i="14"/>
  <c r="P16" i="14"/>
  <c r="P17" i="18" s="1"/>
  <c r="P55" i="20"/>
  <c r="P44" i="14"/>
  <c r="P26" i="18" s="1"/>
  <c r="P19" i="14"/>
  <c r="P18" i="18" s="1"/>
  <c r="P68" i="20"/>
  <c r="H47" i="19"/>
  <c r="P26" i="20"/>
  <c r="O41" i="14"/>
  <c r="O25" i="18" s="1"/>
  <c r="O22" i="14"/>
  <c r="O19" i="18" s="1"/>
  <c r="M28" i="18"/>
  <c r="P54" i="20"/>
  <c r="P56" i="20"/>
  <c r="J22" i="21"/>
  <c r="J31" i="20"/>
  <c r="P52" i="20"/>
  <c r="P37" i="20"/>
  <c r="O53" i="19"/>
  <c r="O47" i="14"/>
  <c r="O34" i="18" s="1"/>
  <c r="P27" i="20"/>
  <c r="O30" i="20"/>
  <c r="O47" i="20"/>
  <c r="J44" i="18"/>
  <c r="P22" i="20"/>
  <c r="O52" i="20"/>
  <c r="P39" i="20"/>
  <c r="N20" i="20"/>
  <c r="N72" i="20"/>
  <c r="P28" i="20"/>
  <c r="P38" i="20"/>
  <c r="O22" i="20"/>
  <c r="L14" i="12"/>
  <c r="L16" i="12" s="1"/>
  <c r="L48" i="21"/>
  <c r="L18" i="21"/>
  <c r="L40" i="18"/>
  <c r="P53" i="19"/>
  <c r="P47" i="14"/>
  <c r="P34" i="18" s="1"/>
  <c r="K14" i="12"/>
  <c r="K16" i="12" s="1"/>
  <c r="K48" i="21"/>
  <c r="K18" i="21"/>
  <c r="K40" i="18"/>
  <c r="I22" i="21"/>
  <c r="I31" i="20"/>
  <c r="N64" i="20"/>
  <c r="N58" i="19"/>
  <c r="P53" i="20"/>
  <c r="P67" i="20"/>
  <c r="P23" i="20"/>
  <c r="N17" i="18"/>
  <c r="I24" i="21"/>
  <c r="I60" i="21" s="1"/>
  <c r="I47" i="18"/>
  <c r="I50" i="18" s="1"/>
  <c r="I53" i="18" s="1"/>
  <c r="P66" i="20"/>
  <c r="P65" i="20"/>
  <c r="P30" i="20"/>
  <c r="P47" i="20"/>
  <c r="P36" i="20"/>
  <c r="P41" i="14"/>
  <c r="P25" i="18" s="1"/>
  <c r="P22" i="14"/>
  <c r="P19" i="18" s="1"/>
  <c r="O38" i="14"/>
  <c r="O24" i="18" s="1"/>
  <c r="O19" i="14"/>
  <c r="O18" i="18" s="1"/>
  <c r="O36" i="14"/>
  <c r="O44" i="14"/>
  <c r="O26" i="18" s="1"/>
  <c r="O16" i="14"/>
  <c r="G193" i="13"/>
  <c r="G198" i="13" s="1"/>
  <c r="G214" i="13" s="1"/>
  <c r="G20" i="19" s="1"/>
  <c r="Q70" i="17" l="1"/>
  <c r="Q62" i="19" s="1"/>
  <c r="Q17" i="17"/>
  <c r="Q22" i="19" s="1"/>
  <c r="Q37" i="17"/>
  <c r="Q35" i="19" s="1"/>
  <c r="Q36" i="20" s="1"/>
  <c r="Q82" i="17"/>
  <c r="Q67" i="19" s="1"/>
  <c r="Q27" i="20" s="1"/>
  <c r="Q43" i="17"/>
  <c r="Q37" i="19" s="1"/>
  <c r="Q38" i="20" s="1"/>
  <c r="Q14" i="18"/>
  <c r="Q85" i="17"/>
  <c r="Q68" i="19" s="1"/>
  <c r="Q28" i="20" s="1"/>
  <c r="Q23" i="17"/>
  <c r="Q24" i="19" s="1"/>
  <c r="Q54" i="20" s="1"/>
  <c r="Q20" i="17"/>
  <c r="Q23" i="19" s="1"/>
  <c r="Q53" i="20" s="1"/>
  <c r="Q76" i="17"/>
  <c r="Q65" i="19" s="1"/>
  <c r="Q25" i="20" s="1"/>
  <c r="Q73" i="17"/>
  <c r="Q63" i="19" s="1"/>
  <c r="Q23" i="20" s="1"/>
  <c r="Q59" i="17"/>
  <c r="Q55" i="19" s="1"/>
  <c r="Q66" i="20" s="1"/>
  <c r="Q14" i="14"/>
  <c r="Q19" i="14" s="1"/>
  <c r="Q65" i="17"/>
  <c r="Q57" i="19" s="1"/>
  <c r="Q68" i="20" s="1"/>
  <c r="Q26" i="17"/>
  <c r="Q25" i="19" s="1"/>
  <c r="Q55" i="20" s="1"/>
  <c r="Q40" i="17"/>
  <c r="Q36" i="19" s="1"/>
  <c r="Q37" i="20" s="1"/>
  <c r="Q29" i="17"/>
  <c r="Q26" i="19" s="1"/>
  <c r="Q56" i="20" s="1"/>
  <c r="Q46" i="17"/>
  <c r="Q38" i="19" s="1"/>
  <c r="Q39" i="20" s="1"/>
  <c r="Q56" i="17"/>
  <c r="Q54" i="19" s="1"/>
  <c r="Q65" i="20" s="1"/>
  <c r="Q32" i="7"/>
  <c r="Q36" i="18" s="1"/>
  <c r="Q30" i="20" s="1"/>
  <c r="Q62" i="17"/>
  <c r="Q56" i="19" s="1"/>
  <c r="Q67" i="20" s="1"/>
  <c r="Q79" i="17"/>
  <c r="Q66" i="19" s="1"/>
  <c r="Q26" i="20" s="1"/>
  <c r="Q53" i="17"/>
  <c r="Q53" i="19" s="1"/>
  <c r="G53" i="21"/>
  <c r="G27" i="19"/>
  <c r="G33" i="19" s="1"/>
  <c r="O20" i="20"/>
  <c r="O72" i="20"/>
  <c r="M16" i="21"/>
  <c r="M32" i="18"/>
  <c r="Q52" i="20"/>
  <c r="Q22" i="20"/>
  <c r="P20" i="20"/>
  <c r="P72" i="20"/>
  <c r="I47" i="19"/>
  <c r="H70" i="20"/>
  <c r="H74" i="20" s="1"/>
  <c r="H48" i="19"/>
  <c r="K20" i="21"/>
  <c r="K17" i="20"/>
  <c r="K42" i="18"/>
  <c r="K44" i="18" s="1"/>
  <c r="O64" i="20"/>
  <c r="O58" i="19"/>
  <c r="N28" i="18"/>
  <c r="P64" i="20"/>
  <c r="P58" i="19"/>
  <c r="P28" i="18"/>
  <c r="O17" i="18"/>
  <c r="J24" i="21"/>
  <c r="J60" i="21" s="1"/>
  <c r="J47" i="18"/>
  <c r="J50" i="18" s="1"/>
  <c r="J53" i="18" s="1"/>
  <c r="L20" i="21"/>
  <c r="L17" i="20"/>
  <c r="L42" i="18"/>
  <c r="L44" i="18" s="1"/>
  <c r="H190" i="13"/>
  <c r="H193" i="13" s="1"/>
  <c r="I190" i="13" s="1"/>
  <c r="I193" i="13" s="1"/>
  <c r="G220" i="13"/>
  <c r="G223" i="13" s="1"/>
  <c r="Q44" i="14" l="1"/>
  <c r="Q26" i="18" s="1"/>
  <c r="Q16" i="14"/>
  <c r="Q17" i="18" s="1"/>
  <c r="Q36" i="14"/>
  <c r="Q47" i="14"/>
  <c r="Q34" i="18" s="1"/>
  <c r="Q72" i="20" s="1"/>
  <c r="Q41" i="14"/>
  <c r="Q25" i="18" s="1"/>
  <c r="Q47" i="20"/>
  <c r="Q38" i="14"/>
  <c r="Q24" i="18" s="1"/>
  <c r="Q22" i="14"/>
  <c r="Q19" i="18" s="1"/>
  <c r="H198" i="13"/>
  <c r="H214" i="13" s="1"/>
  <c r="H20" i="19" s="1"/>
  <c r="G228" i="13"/>
  <c r="G50" i="20"/>
  <c r="G37" i="12"/>
  <c r="G39" i="19"/>
  <c r="Q64" i="20"/>
  <c r="Q58" i="19"/>
  <c r="L22" i="21"/>
  <c r="L31" i="20"/>
  <c r="L24" i="21"/>
  <c r="L60" i="21" s="1"/>
  <c r="L47" i="18"/>
  <c r="L50" i="18" s="1"/>
  <c r="L53" i="18" s="1"/>
  <c r="J47" i="19"/>
  <c r="I70" i="20"/>
  <c r="I74" i="20" s="1"/>
  <c r="I48" i="19"/>
  <c r="N16" i="21"/>
  <c r="N32" i="18"/>
  <c r="P16" i="21"/>
  <c r="P32" i="18"/>
  <c r="K24" i="21"/>
  <c r="K60" i="21" s="1"/>
  <c r="K47" i="18"/>
  <c r="K50" i="18" s="1"/>
  <c r="K53" i="18" s="1"/>
  <c r="M14" i="12"/>
  <c r="M16" i="12" s="1"/>
  <c r="M48" i="21"/>
  <c r="M18" i="21"/>
  <c r="M40" i="18"/>
  <c r="O28" i="18"/>
  <c r="K22" i="21"/>
  <c r="K31" i="20"/>
  <c r="H44" i="21"/>
  <c r="H26" i="21"/>
  <c r="H28" i="21"/>
  <c r="Q18" i="18"/>
  <c r="I198" i="13"/>
  <c r="I214" i="13" s="1"/>
  <c r="J190" i="13"/>
  <c r="J193" i="13" s="1"/>
  <c r="H220" i="13" l="1"/>
  <c r="H223" i="13" s="1"/>
  <c r="Q20" i="20"/>
  <c r="G37" i="21"/>
  <c r="G35" i="21"/>
  <c r="G41" i="19"/>
  <c r="G18" i="12"/>
  <c r="G20" i="12" s="1"/>
  <c r="G58" i="20"/>
  <c r="G77" i="20" s="1"/>
  <c r="G79" i="20" s="1"/>
  <c r="H53" i="21"/>
  <c r="H27" i="19"/>
  <c r="I220" i="13"/>
  <c r="I20" i="19"/>
  <c r="H228" i="13"/>
  <c r="H50" i="20"/>
  <c r="N14" i="12"/>
  <c r="N16" i="12" s="1"/>
  <c r="N48" i="21"/>
  <c r="N18" i="21"/>
  <c r="N40" i="18"/>
  <c r="O16" i="21"/>
  <c r="O32" i="18"/>
  <c r="K47" i="19"/>
  <c r="J70" i="20"/>
  <c r="J74" i="20" s="1"/>
  <c r="J48" i="19"/>
  <c r="Q28" i="18"/>
  <c r="P14" i="12"/>
  <c r="P16" i="12" s="1"/>
  <c r="P48" i="21"/>
  <c r="P18" i="21"/>
  <c r="P40" i="18"/>
  <c r="M20" i="21"/>
  <c r="M17" i="20"/>
  <c r="M42" i="18"/>
  <c r="M44" i="18" s="1"/>
  <c r="I44" i="21"/>
  <c r="I28" i="21"/>
  <c r="I26" i="21"/>
  <c r="J198" i="13"/>
  <c r="J214" i="13" s="1"/>
  <c r="K190" i="13"/>
  <c r="K193" i="13" s="1"/>
  <c r="I223" i="13" l="1"/>
  <c r="G81" i="20"/>
  <c r="H78" i="20"/>
  <c r="H18" i="12"/>
  <c r="H58" i="20"/>
  <c r="I27" i="19"/>
  <c r="I53" i="21"/>
  <c r="I228" i="13"/>
  <c r="I50" i="20"/>
  <c r="J220" i="13"/>
  <c r="J223" i="13" s="1"/>
  <c r="J20" i="19"/>
  <c r="G64" i="21"/>
  <c r="G42" i="21"/>
  <c r="G46" i="21"/>
  <c r="G55" i="21"/>
  <c r="G62" i="21" s="1"/>
  <c r="G73" i="19"/>
  <c r="G30" i="21"/>
  <c r="P20" i="21"/>
  <c r="P17" i="20"/>
  <c r="P42" i="18"/>
  <c r="Q16" i="21"/>
  <c r="Q32" i="18"/>
  <c r="O14" i="12"/>
  <c r="O16" i="12" s="1"/>
  <c r="O48" i="21"/>
  <c r="O18" i="21"/>
  <c r="O40" i="18"/>
  <c r="M24" i="21"/>
  <c r="M60" i="21" s="1"/>
  <c r="M47" i="18"/>
  <c r="M50" i="18" s="1"/>
  <c r="M53" i="18" s="1"/>
  <c r="J44" i="21"/>
  <c r="J26" i="21"/>
  <c r="J28" i="21"/>
  <c r="N20" i="21"/>
  <c r="N17" i="20"/>
  <c r="N42" i="18"/>
  <c r="M22" i="21"/>
  <c r="M31" i="20"/>
  <c r="L47" i="19"/>
  <c r="K70" i="20"/>
  <c r="K74" i="20" s="1"/>
  <c r="K48" i="19"/>
  <c r="K198" i="13"/>
  <c r="K214" i="13" s="1"/>
  <c r="L190" i="13"/>
  <c r="L193" i="13" s="1"/>
  <c r="G66" i="21" l="1"/>
  <c r="G68" i="21" s="1"/>
  <c r="J27" i="19"/>
  <c r="J53" i="21"/>
  <c r="K220" i="13"/>
  <c r="K223" i="13" s="1"/>
  <c r="K20" i="19"/>
  <c r="J228" i="13"/>
  <c r="J50" i="20"/>
  <c r="I18" i="12"/>
  <c r="I58" i="20"/>
  <c r="N22" i="21"/>
  <c r="N31" i="20"/>
  <c r="L70" i="20"/>
  <c r="L74" i="20" s="1"/>
  <c r="M47" i="19"/>
  <c r="L48" i="19"/>
  <c r="Q14" i="12"/>
  <c r="Q16" i="12" s="1"/>
  <c r="Q48" i="21"/>
  <c r="Q18" i="21"/>
  <c r="Q40" i="18"/>
  <c r="N44" i="18"/>
  <c r="P22" i="21"/>
  <c r="P31" i="20"/>
  <c r="P44" i="18"/>
  <c r="O20" i="21"/>
  <c r="O17" i="20"/>
  <c r="O42" i="18"/>
  <c r="K44" i="21"/>
  <c r="K28" i="21"/>
  <c r="K26" i="21"/>
  <c r="L198" i="13"/>
  <c r="L214" i="13" s="1"/>
  <c r="M190" i="13"/>
  <c r="M193" i="13" s="1"/>
  <c r="L220" i="13" l="1"/>
  <c r="L223" i="13" s="1"/>
  <c r="L20" i="19"/>
  <c r="J18" i="12"/>
  <c r="J58" i="20"/>
  <c r="K27" i="19"/>
  <c r="K53" i="21"/>
  <c r="K228" i="13"/>
  <c r="K50" i="20"/>
  <c r="O22" i="21"/>
  <c r="O31" i="20"/>
  <c r="O44" i="18"/>
  <c r="L44" i="21"/>
  <c r="L26" i="21"/>
  <c r="L28" i="21"/>
  <c r="M70" i="20"/>
  <c r="M74" i="20" s="1"/>
  <c r="M48" i="19"/>
  <c r="P24" i="21"/>
  <c r="P60" i="21" s="1"/>
  <c r="P47" i="18"/>
  <c r="P50" i="18" s="1"/>
  <c r="P53" i="18" s="1"/>
  <c r="N24" i="21"/>
  <c r="N60" i="21" s="1"/>
  <c r="N47" i="18"/>
  <c r="Q20" i="21"/>
  <c r="Q17" i="20"/>
  <c r="Q42" i="18"/>
  <c r="M198" i="13"/>
  <c r="M214" i="13" s="1"/>
  <c r="N190" i="13"/>
  <c r="N193" i="13" s="1"/>
  <c r="M220" i="13" l="1"/>
  <c r="M223" i="13" s="1"/>
  <c r="M20" i="19"/>
  <c r="L53" i="21"/>
  <c r="L27" i="19"/>
  <c r="K18" i="12"/>
  <c r="K58" i="20"/>
  <c r="L228" i="13"/>
  <c r="L50" i="20"/>
  <c r="Q22" i="21"/>
  <c r="Q31" i="20"/>
  <c r="O24" i="21"/>
  <c r="O60" i="21" s="1"/>
  <c r="O47" i="18"/>
  <c r="O50" i="18" s="1"/>
  <c r="O53" i="18" s="1"/>
  <c r="N50" i="18"/>
  <c r="N53" i="18" s="1"/>
  <c r="Q44" i="18"/>
  <c r="M44" i="21"/>
  <c r="M26" i="21"/>
  <c r="M28" i="21"/>
  <c r="N198" i="13"/>
  <c r="N214" i="13" s="1"/>
  <c r="O190" i="13"/>
  <c r="O193" i="13" s="1"/>
  <c r="N220" i="13" l="1"/>
  <c r="N223" i="13" s="1"/>
  <c r="N20" i="19"/>
  <c r="M53" i="21"/>
  <c r="M27" i="19"/>
  <c r="L18" i="12"/>
  <c r="L58" i="20"/>
  <c r="M228" i="13"/>
  <c r="M50" i="20"/>
  <c r="Q24" i="21"/>
  <c r="Q60" i="21" s="1"/>
  <c r="Q47" i="18"/>
  <c r="Q50" i="18" s="1"/>
  <c r="Q53" i="18" s="1"/>
  <c r="N47" i="19"/>
  <c r="P190" i="13"/>
  <c r="P193" i="13" s="1"/>
  <c r="O198" i="13"/>
  <c r="O214" i="13" s="1"/>
  <c r="M18" i="12" l="1"/>
  <c r="M58" i="20"/>
  <c r="N27" i="19"/>
  <c r="N53" i="21"/>
  <c r="O220" i="13"/>
  <c r="O223" i="13" s="1"/>
  <c r="O20" i="19"/>
  <c r="N228" i="13"/>
  <c r="N50" i="20"/>
  <c r="N70" i="20"/>
  <c r="N74" i="20" s="1"/>
  <c r="O47" i="19"/>
  <c r="N48" i="19"/>
  <c r="Q190" i="13"/>
  <c r="Q193" i="13" s="1"/>
  <c r="Q198" i="13" s="1"/>
  <c r="Q214" i="13" s="1"/>
  <c r="P198" i="13"/>
  <c r="P214" i="13" s="1"/>
  <c r="P220" i="13" l="1"/>
  <c r="P223" i="13" s="1"/>
  <c r="P20" i="19"/>
  <c r="N18" i="12"/>
  <c r="N58" i="20"/>
  <c r="O228" i="13"/>
  <c r="O50" i="20"/>
  <c r="Q220" i="13"/>
  <c r="Q20" i="19"/>
  <c r="O53" i="21"/>
  <c r="O27" i="19"/>
  <c r="N44" i="21"/>
  <c r="N28" i="21"/>
  <c r="N26" i="21"/>
  <c r="O70" i="20"/>
  <c r="O74" i="20" s="1"/>
  <c r="P47" i="19"/>
  <c r="O48" i="19"/>
  <c r="Q223" i="13" l="1"/>
  <c r="Q228" i="13"/>
  <c r="Q50" i="20"/>
  <c r="O18" i="12"/>
  <c r="O58" i="20"/>
  <c r="Q27" i="19"/>
  <c r="Q53" i="21"/>
  <c r="P53" i="21"/>
  <c r="P27" i="19"/>
  <c r="P228" i="13"/>
  <c r="P50" i="20"/>
  <c r="O44" i="21"/>
  <c r="O26" i="21"/>
  <c r="O28" i="21"/>
  <c r="P70" i="20"/>
  <c r="P74" i="20" s="1"/>
  <c r="Q47" i="19"/>
  <c r="P48" i="19"/>
  <c r="P18" i="12" l="1"/>
  <c r="P58" i="20"/>
  <c r="Q18" i="12"/>
  <c r="Q58" i="20"/>
  <c r="Q70" i="20"/>
  <c r="Q74" i="20" s="1"/>
  <c r="Q48" i="19"/>
  <c r="P44" i="21"/>
  <c r="P26" i="21"/>
  <c r="P28" i="21"/>
  <c r="Q44" i="21" l="1"/>
  <c r="Q26" i="21"/>
  <c r="Q28" i="21"/>
  <c r="H30" i="19"/>
  <c r="H33" i="20" s="1"/>
  <c r="I30" i="19"/>
  <c r="I33" i="20" s="1"/>
  <c r="J30" i="19"/>
  <c r="J33" i="20" s="1"/>
  <c r="K30" i="19"/>
  <c r="K33" i="20" s="1"/>
  <c r="L30" i="19"/>
  <c r="L33" i="20" s="1"/>
  <c r="M30" i="19"/>
  <c r="N30" i="19"/>
  <c r="O30" i="19"/>
  <c r="P30" i="19"/>
  <c r="Q30" i="19"/>
  <c r="H32" i="19"/>
  <c r="I32" i="19"/>
  <c r="J32" i="19"/>
  <c r="J34" i="20" s="1"/>
  <c r="K32" i="19"/>
  <c r="K34" i="20" s="1"/>
  <c r="L32" i="19"/>
  <c r="L34" i="20" s="1"/>
  <c r="M32" i="19"/>
  <c r="M34" i="20" s="1"/>
  <c r="N32" i="19"/>
  <c r="N34" i="20" s="1"/>
  <c r="O32" i="19"/>
  <c r="O34" i="20" s="1"/>
  <c r="P32" i="19"/>
  <c r="P34" i="20" s="1"/>
  <c r="Q32" i="19"/>
  <c r="H64" i="19"/>
  <c r="H69" i="19" s="1"/>
  <c r="H71" i="19" s="1"/>
  <c r="H33" i="19" s="1"/>
  <c r="H39" i="19" s="1"/>
  <c r="I64" i="19"/>
  <c r="I69" i="19" s="1"/>
  <c r="I71" i="19" s="1"/>
  <c r="J64" i="19"/>
  <c r="J69" i="19" s="1"/>
  <c r="J71" i="19" s="1"/>
  <c r="K64" i="19"/>
  <c r="L64" i="19"/>
  <c r="L24" i="20" s="1"/>
  <c r="M64" i="19"/>
  <c r="M24" i="20" s="1"/>
  <c r="N64" i="19"/>
  <c r="N69" i="19" s="1"/>
  <c r="N71" i="19" s="1"/>
  <c r="O64" i="19"/>
  <c r="O69" i="19" s="1"/>
  <c r="O71" i="19" s="1"/>
  <c r="P64" i="19"/>
  <c r="P69" i="19" s="1"/>
  <c r="P71" i="19" s="1"/>
  <c r="Q64" i="19"/>
  <c r="Q69" i="19" s="1"/>
  <c r="Q71" i="19" s="1"/>
  <c r="J24" i="20"/>
  <c r="H34" i="20"/>
  <c r="I34" i="20"/>
  <c r="H19" i="16"/>
  <c r="I19" i="16"/>
  <c r="J19" i="16"/>
  <c r="K19" i="16"/>
  <c r="L19" i="16"/>
  <c r="M19" i="16"/>
  <c r="N19" i="16"/>
  <c r="O19" i="16"/>
  <c r="P19" i="16"/>
  <c r="Q19" i="16"/>
  <c r="H24" i="20" l="1"/>
  <c r="I24" i="20"/>
  <c r="P33" i="19"/>
  <c r="L19" i="12"/>
  <c r="L20" i="12" s="1"/>
  <c r="M69" i="19"/>
  <c r="M71" i="19" s="1"/>
  <c r="L69" i="19"/>
  <c r="L71" i="19" s="1"/>
  <c r="Q24" i="20"/>
  <c r="Q19" i="12" s="1"/>
  <c r="Q20" i="12" s="1"/>
  <c r="G25" i="12" s="1"/>
  <c r="G35" i="12" s="1"/>
  <c r="P24" i="20"/>
  <c r="L41" i="20"/>
  <c r="L77" i="20" s="1"/>
  <c r="O33" i="19"/>
  <c r="O39" i="19" s="1"/>
  <c r="H35" i="21"/>
  <c r="H37" i="21"/>
  <c r="H41" i="19"/>
  <c r="H73" i="19" s="1"/>
  <c r="Q33" i="19"/>
  <c r="Q39" i="19" s="1"/>
  <c r="N33" i="19"/>
  <c r="N39" i="19" s="1"/>
  <c r="J41" i="20"/>
  <c r="J77" i="20" s="1"/>
  <c r="J19" i="12"/>
  <c r="J20" i="12" s="1"/>
  <c r="O33" i="20"/>
  <c r="I19" i="12"/>
  <c r="I20" i="12" s="1"/>
  <c r="I41" i="20"/>
  <c r="I77" i="20" s="1"/>
  <c r="L33" i="19"/>
  <c r="L39" i="19" s="1"/>
  <c r="N24" i="20"/>
  <c r="O24" i="20"/>
  <c r="K24" i="20"/>
  <c r="K69" i="19"/>
  <c r="K71" i="19" s="1"/>
  <c r="I33" i="19"/>
  <c r="I39" i="19" s="1"/>
  <c r="Q33" i="20"/>
  <c r="P39" i="19"/>
  <c r="P33" i="20"/>
  <c r="Q34" i="20"/>
  <c r="M33" i="19"/>
  <c r="M39" i="19" s="1"/>
  <c r="N33" i="20"/>
  <c r="H41" i="20"/>
  <c r="H77" i="20" s="1"/>
  <c r="H79" i="20" s="1"/>
  <c r="H19" i="12"/>
  <c r="H20" i="12" s="1"/>
  <c r="M33" i="20"/>
  <c r="M19" i="12" s="1"/>
  <c r="M20" i="12" s="1"/>
  <c r="J33" i="19"/>
  <c r="J39" i="19" s="1"/>
  <c r="P41" i="20" l="1"/>
  <c r="P77" i="20" s="1"/>
  <c r="M41" i="20"/>
  <c r="M77" i="20" s="1"/>
  <c r="Q41" i="20"/>
  <c r="Q77" i="20" s="1"/>
  <c r="L35" i="21"/>
  <c r="L37" i="21"/>
  <c r="L41" i="19"/>
  <c r="M41" i="19"/>
  <c r="M37" i="21"/>
  <c r="M35" i="21"/>
  <c r="N35" i="21"/>
  <c r="N41" i="19"/>
  <c r="N37" i="21"/>
  <c r="K41" i="20"/>
  <c r="K77" i="20" s="1"/>
  <c r="K19" i="12"/>
  <c r="K20" i="12" s="1"/>
  <c r="N19" i="12"/>
  <c r="N20" i="12" s="1"/>
  <c r="N41" i="20"/>
  <c r="N77" i="20" s="1"/>
  <c r="P37" i="21"/>
  <c r="P35" i="21"/>
  <c r="P41" i="19"/>
  <c r="H46" i="21"/>
  <c r="H42" i="21"/>
  <c r="H64" i="21"/>
  <c r="H55" i="21"/>
  <c r="H62" i="21" s="1"/>
  <c r="H30" i="21"/>
  <c r="H81" i="20"/>
  <c r="I78" i="20"/>
  <c r="I79" i="20" s="1"/>
  <c r="P19" i="12"/>
  <c r="P20" i="12" s="1"/>
  <c r="O41" i="20"/>
  <c r="O77" i="20" s="1"/>
  <c r="O19" i="12"/>
  <c r="O20" i="12" s="1"/>
  <c r="Q35" i="21"/>
  <c r="Q41" i="19"/>
  <c r="Q37" i="21"/>
  <c r="J37" i="21"/>
  <c r="J41" i="19"/>
  <c r="J35" i="21"/>
  <c r="O35" i="21"/>
  <c r="O41" i="19"/>
  <c r="O37" i="21"/>
  <c r="I37" i="21"/>
  <c r="I35" i="21"/>
  <c r="I41" i="19"/>
  <c r="K33" i="19"/>
  <c r="K39" i="19" s="1"/>
  <c r="G34" i="12" l="1"/>
  <c r="G36" i="12" s="1"/>
  <c r="G39" i="12" s="1"/>
  <c r="G41" i="12" s="1"/>
  <c r="I25" i="12" s="1"/>
  <c r="J78" i="20"/>
  <c r="J79" i="20" s="1"/>
  <c r="I81" i="20"/>
  <c r="K41" i="19"/>
  <c r="K35" i="21"/>
  <c r="K37" i="21"/>
  <c r="Q64" i="21"/>
  <c r="Q30" i="21"/>
  <c r="Q46" i="21"/>
  <c r="Q55" i="21"/>
  <c r="Q62" i="21" s="1"/>
  <c r="Q42" i="21"/>
  <c r="Q73" i="19"/>
  <c r="I42" i="21"/>
  <c r="I46" i="21"/>
  <c r="I64" i="21"/>
  <c r="I55" i="21"/>
  <c r="I62" i="21" s="1"/>
  <c r="I30" i="21"/>
  <c r="I73" i="19"/>
  <c r="P64" i="21"/>
  <c r="P30" i="21"/>
  <c r="P55" i="21"/>
  <c r="P62" i="21" s="1"/>
  <c r="P46" i="21"/>
  <c r="P42" i="21"/>
  <c r="P73" i="19"/>
  <c r="O30" i="21"/>
  <c r="O55" i="21"/>
  <c r="O62" i="21" s="1"/>
  <c r="O64" i="21"/>
  <c r="O66" i="21" s="1"/>
  <c r="O68" i="21" s="1"/>
  <c r="O42" i="21"/>
  <c r="O46" i="21"/>
  <c r="O73" i="19"/>
  <c r="J55" i="21"/>
  <c r="J62" i="21" s="1"/>
  <c r="J46" i="21"/>
  <c r="J42" i="21"/>
  <c r="J30" i="21"/>
  <c r="J64" i="21"/>
  <c r="J73" i="19"/>
  <c r="H66" i="21"/>
  <c r="H68" i="21" s="1"/>
  <c r="N64" i="21"/>
  <c r="N30" i="21"/>
  <c r="N46" i="21"/>
  <c r="N55" i="21"/>
  <c r="N62" i="21" s="1"/>
  <c r="N42" i="21"/>
  <c r="N73" i="19"/>
  <c r="M55" i="21"/>
  <c r="M62" i="21" s="1"/>
  <c r="M30" i="21"/>
  <c r="M46" i="21"/>
  <c r="M42" i="21"/>
  <c r="M64" i="21"/>
  <c r="M73" i="19"/>
  <c r="L30" i="21"/>
  <c r="L55" i="21"/>
  <c r="L62" i="21" s="1"/>
  <c r="L46" i="21"/>
  <c r="L42" i="21"/>
  <c r="L64" i="21"/>
  <c r="L73" i="19"/>
  <c r="G42" i="12" l="1"/>
  <c r="L66" i="21"/>
  <c r="L68" i="21" s="1"/>
  <c r="P66" i="21"/>
  <c r="P68" i="21" s="1"/>
  <c r="Q66" i="21"/>
  <c r="Q68" i="21" s="1"/>
  <c r="K46" i="21"/>
  <c r="K42" i="21"/>
  <c r="K55" i="21"/>
  <c r="K62" i="21" s="1"/>
  <c r="K30" i="21"/>
  <c r="K64" i="21"/>
  <c r="K73" i="19"/>
  <c r="N66" i="21"/>
  <c r="N68" i="21" s="1"/>
  <c r="I66" i="21"/>
  <c r="I68" i="21" s="1"/>
  <c r="M66" i="21"/>
  <c r="M68" i="21" s="1"/>
  <c r="J66" i="21"/>
  <c r="J68" i="21" s="1"/>
  <c r="K78" i="20"/>
  <c r="K79" i="20" s="1"/>
  <c r="J81" i="20"/>
  <c r="K66" i="21" l="1"/>
  <c r="K68" i="21" s="1"/>
  <c r="L78" i="20"/>
  <c r="L79" i="20" s="1"/>
  <c r="K81" i="20"/>
  <c r="M78" i="20" l="1"/>
  <c r="M79" i="20" s="1"/>
  <c r="L81" i="20"/>
  <c r="N78" i="20" l="1"/>
  <c r="N79" i="20" s="1"/>
  <c r="M81" i="20"/>
  <c r="N81" i="20" l="1"/>
  <c r="O78" i="20"/>
  <c r="O79" i="20" s="1"/>
  <c r="O81" i="20" l="1"/>
  <c r="P78" i="20"/>
  <c r="P79" i="20" s="1"/>
  <c r="P81" i="20" l="1"/>
  <c r="Q78" i="20"/>
  <c r="Q79" i="20" s="1"/>
  <c r="Q81"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Vikram Pratap Singh</author>
  </authors>
  <commentList>
    <comment ref="G18" authorId="0" shapeId="0" xr:uid="{87515BC2-BF6C-4B2A-9A32-0814D532216C}">
      <text>
        <r>
          <rPr>
            <b/>
            <sz val="9"/>
            <color indexed="81"/>
            <rFont val="Tahoma"/>
            <family val="2"/>
          </rPr>
          <t>Vikram Pratap Singh:</t>
        </r>
        <r>
          <rPr>
            <sz val="9"/>
            <color indexed="81"/>
            <rFont val="Tahoma"/>
            <family val="2"/>
          </rPr>
          <t xml:space="preserve">
Because of the large rise in capex in the last year, the average capex over the preceding three years has been considered.</t>
        </r>
      </text>
    </comment>
    <comment ref="G19" authorId="0" shapeId="0" xr:uid="{1851E8FD-5FA3-4639-B583-E8528C032EF1}">
      <text>
        <r>
          <rPr>
            <b/>
            <sz val="9"/>
            <color indexed="81"/>
            <rFont val="Tahoma"/>
            <family val="2"/>
          </rPr>
          <t>Vikram Pratap Singh:</t>
        </r>
        <r>
          <rPr>
            <sz val="9"/>
            <color indexed="81"/>
            <rFont val="Tahoma"/>
            <family val="2"/>
          </rPr>
          <t xml:space="preserve">
To align it with the audited balance statement, adjustments have been made.</t>
        </r>
      </text>
    </comment>
    <comment ref="G97" authorId="0" shapeId="0" xr:uid="{2D232FA7-E61A-484E-A6BA-9909ADDA007A}">
      <text>
        <r>
          <rPr>
            <b/>
            <sz val="9"/>
            <color indexed="81"/>
            <rFont val="Tahoma"/>
            <family val="2"/>
          </rPr>
          <t>Vikram Pratap Singh:</t>
        </r>
        <r>
          <rPr>
            <sz val="9"/>
            <color indexed="81"/>
            <rFont val="Tahoma"/>
            <family val="2"/>
          </rPr>
          <t xml:space="preserve">
Since capex has not increased in recent years, it is anticipated that it will increase by 4% of gross closing block in the next years.</t>
        </r>
      </text>
    </comment>
    <comment ref="G134" authorId="0" shapeId="0" xr:uid="{468E9341-10DC-4A1C-866E-080DD975158E}">
      <text>
        <r>
          <rPr>
            <b/>
            <sz val="9"/>
            <color indexed="81"/>
            <rFont val="Tahoma"/>
            <family val="2"/>
          </rPr>
          <t>Vikram Pratap Singh:</t>
        </r>
        <r>
          <rPr>
            <sz val="9"/>
            <color indexed="81"/>
            <rFont val="Tahoma"/>
            <family val="2"/>
          </rPr>
          <t xml:space="preserve">
An average of prior years was used to fulfil audited statistics.</t>
        </r>
      </text>
    </comment>
    <comment ref="G148" authorId="0" shapeId="0" xr:uid="{A9C6B97D-E595-4E71-A5FE-0366449DEC61}">
      <text>
        <r>
          <rPr>
            <b/>
            <sz val="9"/>
            <color indexed="81"/>
            <rFont val="Tahoma"/>
            <family val="2"/>
          </rPr>
          <t>Vikram Pratap Singh:</t>
        </r>
        <r>
          <rPr>
            <sz val="9"/>
            <color indexed="81"/>
            <rFont val="Tahoma"/>
            <family val="2"/>
          </rPr>
          <t xml:space="preserve">
As in prior years, addition in software capital expenditures were allocated as 4% of the gross closing block. </t>
        </r>
      </text>
    </comment>
    <comment ref="G154" authorId="0" shapeId="0" xr:uid="{20C6632B-6E5D-43A8-99DD-449C8A06B51D}">
      <text>
        <r>
          <rPr>
            <b/>
            <sz val="9"/>
            <color indexed="81"/>
            <rFont val="Tahoma"/>
            <family val="2"/>
          </rPr>
          <t>Vikram Pratap Singh:</t>
        </r>
        <r>
          <rPr>
            <sz val="9"/>
            <color indexed="81"/>
            <rFont val="Tahoma"/>
            <family val="2"/>
          </rPr>
          <t xml:space="preserve">
modified to conform to audited figures.</t>
        </r>
      </text>
    </comment>
    <comment ref="G160" authorId="0" shapeId="0" xr:uid="{69AA4B8F-70F6-4E32-B750-12326064B6B6}">
      <text>
        <r>
          <rPr>
            <b/>
            <sz val="9"/>
            <color indexed="81"/>
            <rFont val="Tahoma"/>
            <family val="2"/>
          </rPr>
          <t>Vikram Pratap Singh:</t>
        </r>
        <r>
          <rPr>
            <sz val="9"/>
            <color indexed="81"/>
            <rFont val="Tahoma"/>
            <family val="2"/>
          </rPr>
          <t xml:space="preserve">
:
As in prior years, addition in licenses capital expenditures were allocated as 4% of the gross closing block. </t>
        </r>
      </text>
    </comment>
    <comment ref="G191" authorId="0" shapeId="0" xr:uid="{90080AEE-AD36-4580-B3DB-B19C0631840F}">
      <text>
        <r>
          <rPr>
            <b/>
            <sz val="9"/>
            <color indexed="81"/>
            <rFont val="Tahoma"/>
            <family val="2"/>
          </rPr>
          <t>Vikram Pratap Singh:</t>
        </r>
        <r>
          <rPr>
            <sz val="9"/>
            <color indexed="81"/>
            <rFont val="Tahoma"/>
            <family val="2"/>
          </rPr>
          <t xml:space="preserve">
modified to conform to audited figures.
</t>
        </r>
      </text>
    </comment>
    <comment ref="G192" authorId="0" shapeId="0" xr:uid="{1555E03D-E94B-471C-BD1A-037E6B0D90BC}">
      <text>
        <r>
          <rPr>
            <b/>
            <sz val="9"/>
            <color indexed="81"/>
            <rFont val="Tahoma"/>
            <family val="2"/>
          </rPr>
          <t>Vikram Pratap Singh:</t>
        </r>
        <r>
          <rPr>
            <sz val="9"/>
            <color indexed="81"/>
            <rFont val="Tahoma"/>
            <family val="2"/>
          </rPr>
          <t xml:space="preserve">
modified to conform to audited figures.</t>
        </r>
      </text>
    </comment>
    <comment ref="G203" authorId="0" shapeId="0" xr:uid="{4CFED673-F16E-4CFC-AC03-38140CDCE5CB}">
      <text>
        <r>
          <rPr>
            <b/>
            <sz val="9"/>
            <color indexed="81"/>
            <rFont val="Tahoma"/>
            <family val="2"/>
          </rPr>
          <t>Vikram Pratap Singh:</t>
        </r>
        <r>
          <rPr>
            <sz val="9"/>
            <color indexed="81"/>
            <rFont val="Tahoma"/>
            <family val="2"/>
          </rPr>
          <t xml:space="preserve">
modified to conform to audited figures.</t>
        </r>
      </text>
    </comment>
    <comment ref="H225" authorId="0" shapeId="0" xr:uid="{ABDC95D2-21AF-4AB1-94FA-D8B087581479}">
      <text>
        <r>
          <rPr>
            <b/>
            <sz val="9"/>
            <color indexed="81"/>
            <rFont val="Tahoma"/>
            <family val="2"/>
          </rPr>
          <t>Vikram Pratap Singh:</t>
        </r>
        <r>
          <rPr>
            <sz val="9"/>
            <color indexed="81"/>
            <rFont val="Tahoma"/>
            <family val="2"/>
          </rPr>
          <t xml:space="preserve">
Exceptional increase in the most recent year.</t>
        </r>
      </text>
    </comment>
  </commentList>
</comments>
</file>

<file path=xl/sharedStrings.xml><?xml version="1.0" encoding="utf-8"?>
<sst xmlns="http://schemas.openxmlformats.org/spreadsheetml/2006/main" count="950" uniqueCount="371">
  <si>
    <t>Particulars</t>
  </si>
  <si>
    <t>Audited</t>
  </si>
  <si>
    <t>Revenue from operations</t>
  </si>
  <si>
    <t>Cost of Materials Consumed</t>
  </si>
  <si>
    <t>Purchase of Stock-in-Trade</t>
  </si>
  <si>
    <t>Changes in Inventories of finished goods, work-in-progress and Stock-in-Trade</t>
  </si>
  <si>
    <t>Expenses of Catering Services</t>
  </si>
  <si>
    <t>Expenses of Tourism &amp; Train Operations</t>
  </si>
  <si>
    <t>Manufacturing &amp; Direct Expenses</t>
  </si>
  <si>
    <t>Employee benefit expense</t>
  </si>
  <si>
    <t>Finance costs</t>
  </si>
  <si>
    <t>Depreciation and amortization expense</t>
  </si>
  <si>
    <t>Impairment Loss</t>
  </si>
  <si>
    <t>Corporate Social Responsibility Expenses</t>
  </si>
  <si>
    <t>Other Expenses</t>
  </si>
  <si>
    <t>EBITDA</t>
  </si>
  <si>
    <t>EBIT</t>
  </si>
  <si>
    <t>Other Income</t>
  </si>
  <si>
    <t>Exceptional Items</t>
  </si>
  <si>
    <t>Pre-Tax Income</t>
  </si>
  <si>
    <t>Tax expense:</t>
  </si>
  <si>
    <t>(1) Current tax</t>
  </si>
  <si>
    <t>(2) Deferred tax</t>
  </si>
  <si>
    <t>For the year</t>
  </si>
  <si>
    <t>For Earlier years</t>
  </si>
  <si>
    <t>ASSETS</t>
  </si>
  <si>
    <t>Non-current assets</t>
  </si>
  <si>
    <t>Property, Plant and Equipment</t>
  </si>
  <si>
    <t>Capital work-in-progress</t>
  </si>
  <si>
    <t>Investment Property</t>
  </si>
  <si>
    <t>Other Intangible Assets</t>
  </si>
  <si>
    <t>Right-of-use Assets</t>
  </si>
  <si>
    <t>Financial Assets:</t>
  </si>
  <si>
    <t>Investments</t>
  </si>
  <si>
    <t>Loans</t>
  </si>
  <si>
    <t>Other Financial Assets</t>
  </si>
  <si>
    <t>Deferred Tax Assets (Net)</t>
  </si>
  <si>
    <t>Other Non-Current Assets</t>
  </si>
  <si>
    <t>Total Non-current Assets</t>
  </si>
  <si>
    <t>Current assets</t>
  </si>
  <si>
    <t>Inventories</t>
  </si>
  <si>
    <t>Trade Receivables</t>
  </si>
  <si>
    <t>Cash and Cash Equivalents</t>
  </si>
  <si>
    <t>Bank Balances other than (ii) above</t>
  </si>
  <si>
    <t>Others</t>
  </si>
  <si>
    <t>Current Tax Assets (Net)</t>
  </si>
  <si>
    <t>Other Current Assets</t>
  </si>
  <si>
    <t>Total Current Assets</t>
  </si>
  <si>
    <t>Total Assets</t>
  </si>
  <si>
    <t>EQUITY AND LIABILITIES</t>
  </si>
  <si>
    <t>Equity</t>
  </si>
  <si>
    <t>Equity Share Capital</t>
  </si>
  <si>
    <t>Other Equity</t>
  </si>
  <si>
    <t>Liabilities</t>
  </si>
  <si>
    <t>Non-current liabilities</t>
  </si>
  <si>
    <t>Financial Liabilities:</t>
  </si>
  <si>
    <t>Borrowings</t>
  </si>
  <si>
    <t>Lease Liabilities</t>
  </si>
  <si>
    <t>Other Financial Liabilities</t>
  </si>
  <si>
    <t>Provisions</t>
  </si>
  <si>
    <t>Other Non-Current Liabilities</t>
  </si>
  <si>
    <t>Current liabilities</t>
  </si>
  <si>
    <t>Total Non-current liabilities</t>
  </si>
  <si>
    <t>Trade payables:-</t>
  </si>
  <si>
    <t>Other Current Liabilities</t>
  </si>
  <si>
    <t>Current Tax Liability (Net)</t>
  </si>
  <si>
    <t>Total Current liabilities</t>
  </si>
  <si>
    <t>Total Equity</t>
  </si>
  <si>
    <t>Total Equity &amp; Liabilities</t>
  </si>
  <si>
    <t>Check</t>
  </si>
  <si>
    <t>Common Sizing Statement</t>
  </si>
  <si>
    <t>Forecasted</t>
  </si>
  <si>
    <t>Property, Plant &amp; Equipment</t>
  </si>
  <si>
    <t>Freehold Land</t>
  </si>
  <si>
    <t>Opening Gross Block</t>
  </si>
  <si>
    <t>Additions</t>
  </si>
  <si>
    <t>Disposals/ Adjustments</t>
  </si>
  <si>
    <t>Closing Gross Block</t>
  </si>
  <si>
    <t>Accumulated Depreciation</t>
  </si>
  <si>
    <t>Depreciation for the year</t>
  </si>
  <si>
    <t>Net Closing Block</t>
  </si>
  <si>
    <t>Buildings</t>
  </si>
  <si>
    <t>Plant &amp; Machinary</t>
  </si>
  <si>
    <t>Electrical Installation &amp; Equipment</t>
  </si>
  <si>
    <t>EDP Assets</t>
  </si>
  <si>
    <t>Office Equipment</t>
  </si>
  <si>
    <t>Furniture &amp; Fixtures</t>
  </si>
  <si>
    <t>Luxury Tourist Trains</t>
  </si>
  <si>
    <t>Land @ Gurgaon</t>
  </si>
  <si>
    <t>Building @ Gurgaon</t>
  </si>
  <si>
    <t>Software</t>
  </si>
  <si>
    <t>Licenses</t>
  </si>
  <si>
    <t>Right of Use Assets</t>
  </si>
  <si>
    <t>Land</t>
  </si>
  <si>
    <t>Building</t>
  </si>
  <si>
    <t>Vehicles</t>
  </si>
  <si>
    <t>Impairment</t>
  </si>
  <si>
    <t>Total Fixed Assets- Net Block</t>
  </si>
  <si>
    <t>Total Right to Use Assets</t>
  </si>
  <si>
    <t>Total Other Intangible Assets</t>
  </si>
  <si>
    <t>Total Investment Property</t>
  </si>
  <si>
    <t>Total PPE</t>
  </si>
  <si>
    <t>Increase in Fixed Assets</t>
  </si>
  <si>
    <t>Capital Work in Progress</t>
  </si>
  <si>
    <t>N/A</t>
  </si>
  <si>
    <t>Fixed Asset Schedule (₹ in Lakhs)</t>
  </si>
  <si>
    <t>Balance Sheet Input (₹ in Lakhs)</t>
  </si>
  <si>
    <t>Income Statement Input (₹ in Lakhs)</t>
  </si>
  <si>
    <t>Total CapEx</t>
  </si>
  <si>
    <t>Revenue from Operation</t>
  </si>
  <si>
    <t>Other Operating Income</t>
  </si>
  <si>
    <t>Sale of Products (Railneer, Food &amp; Beverages)</t>
  </si>
  <si>
    <t>Sale of Services:</t>
  </si>
  <si>
    <t>Internet Ticketing</t>
  </si>
  <si>
    <t>Income From Catering Services</t>
  </si>
  <si>
    <t>Tourism &amp; Train Operations</t>
  </si>
  <si>
    <t>Railneer (License Fee)</t>
  </si>
  <si>
    <t>Revenue from Sale of Products &amp; Services)</t>
  </si>
  <si>
    <t>Revenue from Sale of Products &amp; Services:</t>
  </si>
  <si>
    <t>Scenario:</t>
  </si>
  <si>
    <t>Transaction Date</t>
  </si>
  <si>
    <t>Best Case</t>
  </si>
  <si>
    <t>Worst Case</t>
  </si>
  <si>
    <t>Base Case</t>
  </si>
  <si>
    <t>Revenue Std. Dev.</t>
  </si>
  <si>
    <t>Scenario Manager</t>
  </si>
  <si>
    <t>General Assumptions</t>
  </si>
  <si>
    <t>Revenue Build Up (₹ in Lakhs)</t>
  </si>
  <si>
    <t>Expenses:</t>
  </si>
  <si>
    <t>Tax Rate</t>
  </si>
  <si>
    <t>Addition in F. Assets (Growth)</t>
  </si>
  <si>
    <t>Addition in Depreciation (Growth)</t>
  </si>
  <si>
    <t>Trade Recievables</t>
  </si>
  <si>
    <t>Inventory</t>
  </si>
  <si>
    <t>Trade Payables</t>
  </si>
  <si>
    <t>Net Working Capital</t>
  </si>
  <si>
    <t>Days in a year</t>
  </si>
  <si>
    <t>Cost Build Up (₹ in Lakhs)</t>
  </si>
  <si>
    <t>Working Capital Schedule (₹ in Lakhs)</t>
  </si>
  <si>
    <t>Assets</t>
  </si>
  <si>
    <t>Non-current Assets</t>
  </si>
  <si>
    <t>Current Assets</t>
  </si>
  <si>
    <t>Non-current Liabilities</t>
  </si>
  <si>
    <t>Current Liabilities</t>
  </si>
  <si>
    <t>Income Statement (₹ in Lakhs)</t>
  </si>
  <si>
    <t>Other Comprehensive Income for the period</t>
  </si>
  <si>
    <t>Dividends paid</t>
  </si>
  <si>
    <t>per Share</t>
  </si>
  <si>
    <t>No. of Shares Outstanding</t>
  </si>
  <si>
    <t>Balance Sheet (₹ in Lakhs)</t>
  </si>
  <si>
    <t>Balance Sheet Items (₹ in Lakhs)</t>
  </si>
  <si>
    <t>Cash Flow Statement (₹ in Lakhs)</t>
  </si>
  <si>
    <t>Profit before tax</t>
  </si>
  <si>
    <t>Add:</t>
  </si>
  <si>
    <t>Depreciation &amp; Amortisation</t>
  </si>
  <si>
    <t>Increase/(decrease) in Current Liabilities</t>
  </si>
  <si>
    <t>Less:</t>
  </si>
  <si>
    <t>Taxes paid</t>
  </si>
  <si>
    <t>Increase/(decrease) in Current Assets</t>
  </si>
  <si>
    <t>Trade payables</t>
  </si>
  <si>
    <t>Cash from Operation</t>
  </si>
  <si>
    <t>Non- Current Assets</t>
  </si>
  <si>
    <t>Capital Expenditure on PPE, Other Intangible Assets, RoU, Investment Property</t>
  </si>
  <si>
    <t>Increase/ (Decrease) CWIP</t>
  </si>
  <si>
    <t>Cash from Investing activities</t>
  </si>
  <si>
    <t>Increase/ (Decrease) in Non-current liabilities</t>
  </si>
  <si>
    <t>Cash from Financing activities</t>
  </si>
  <si>
    <t>Net Change in Cash Flow</t>
  </si>
  <si>
    <t>Opening Cash Balance</t>
  </si>
  <si>
    <t>Closing Cash Balance</t>
  </si>
  <si>
    <t>Cash From Operating activities</t>
  </si>
  <si>
    <t>Cash From Investing activities</t>
  </si>
  <si>
    <t>Cash From Financing activities</t>
  </si>
  <si>
    <t>EBITDA Margin</t>
  </si>
  <si>
    <t>Operating Margin</t>
  </si>
  <si>
    <t>Pretax Margin</t>
  </si>
  <si>
    <t>Effective Tax Rate</t>
  </si>
  <si>
    <t>Net Margin</t>
  </si>
  <si>
    <t>Return on Equity</t>
  </si>
  <si>
    <t>Return on Capital Employed</t>
  </si>
  <si>
    <t>Return on Assets</t>
  </si>
  <si>
    <t>Current Ratio</t>
  </si>
  <si>
    <t>Quick Ratio</t>
  </si>
  <si>
    <t>Asset/ Equity</t>
  </si>
  <si>
    <t>Debt/ Equity</t>
  </si>
  <si>
    <t>Debt Ratio</t>
  </si>
  <si>
    <t>Interest Coverage</t>
  </si>
  <si>
    <t>Fixed Asset Turnover Ratio</t>
  </si>
  <si>
    <t>Total Asset Turnover Ratio</t>
  </si>
  <si>
    <t>Net Profit Margin</t>
  </si>
  <si>
    <t>Asset Turnover Ratio</t>
  </si>
  <si>
    <t>Financial Leverege</t>
  </si>
  <si>
    <t>RoE</t>
  </si>
  <si>
    <t>Profitability Ratios</t>
  </si>
  <si>
    <t>Ratios Analysis</t>
  </si>
  <si>
    <t>Liquidity Ratios</t>
  </si>
  <si>
    <t>Solvency Ratios</t>
  </si>
  <si>
    <t>Efficiency Ratios</t>
  </si>
  <si>
    <t>RoE Dupont Analysis</t>
  </si>
  <si>
    <t>EBITDA Margin:</t>
  </si>
  <si>
    <t>The EBITDA Margin shows significant fluctuations, peaking at 46.50% in 2022 and then stabilizing around 41.25% by 2034.</t>
  </si>
  <si>
    <t>The variability in the EBITDA margin reflects changes in the company’s operational efficiency and cost management. The initial peak may be due to exceptional performance or cost reductions, while the later stabilization indicates the company has found a consistent operational rhythm.</t>
  </si>
  <si>
    <t>Operating Margin:</t>
  </si>
  <si>
    <t>The Operating Margin experiences a substantial increase in 2022 to 43.89%, followed by stabilization around 40.98% by 2034.</t>
  </si>
  <si>
    <t>This significant increase and subsequent stabilization suggest improved operational efficiency and effective cost control measures. A consistently high operating margin indicates a robust core business, capable of generating substantial operating profit.</t>
  </si>
  <si>
    <t>Pretax Margin:</t>
  </si>
  <si>
    <t>The Pretax Margin peaks at 47.13% in 2022 and gradually stabilizes around 44.55% by 2034.</t>
  </si>
  <si>
    <t>A high pretax margin indicates strong earnings before tax, showcasing effective cost management and strong revenue generation capabilities. The gradual stabilization suggests a mature and steady business model.</t>
  </si>
  <si>
    <t>Effective Tax Rate:</t>
  </si>
  <si>
    <t>The Effective Tax Rate gradually increases from 25.51% in 2022 to 28.23% by 2034.</t>
  </si>
  <si>
    <t>The increasing tax burden over time could be due to changes in tax policies or higher taxable income. This gradual increase might also reflect a shift towards higher profitability, leading to higher taxes.</t>
  </si>
  <si>
    <t>Net Margin:</t>
  </si>
  <si>
    <t>The Net Margin peaks at 35.11% in 2022, then stabilizes around 31.97% by 2034.</t>
  </si>
  <si>
    <t>The strong net margin indicates that after all expenses, including taxes, the company retains a significant portion of its revenue as profit. This suggests effective cost control and strong overall profitability.</t>
  </si>
  <si>
    <t>Return on Equity (RoE):</t>
  </si>
  <si>
    <t>The RoE peaks at 40.59% in 2023, then gradually declines to 28.01% by 2034.</t>
  </si>
  <si>
    <t>High initial returns on equity indicate strong profitability and efficient use of shareholders' funds. However, the declining trend suggests the need for reinvestment in the business or improvements in operational efficiency to sustain high returns.</t>
  </si>
  <si>
    <t>Return on Capital Employed (RoCE):</t>
  </si>
  <si>
    <t>The RoCE peaks at 37.29% in 2023, then gradually decreases to 26.28% by 2034.</t>
  </si>
  <si>
    <t>High initial returns on capital employed indicate efficient use of capital to generate profits. The declining trend may point to increasing capital costs or lower efficiency in capital utilization over time.</t>
  </si>
  <si>
    <t>Return on Assets (RoA):</t>
  </si>
  <si>
    <t>The RoA peaks at 19.77% in 2023, then stabilizes around 17.63% by 2034.</t>
  </si>
  <si>
    <t>A high RoA indicates efficient asset utilization to generate profits. The stability in later years suggests that the company maintains a steady performance in leveraging its assets for revenue generation.</t>
  </si>
  <si>
    <t>Current Ratio:</t>
  </si>
  <si>
    <t>The Current Ratio gradually increases from 1.61x in 2020 to 2.89x by 2034.</t>
  </si>
  <si>
    <t>An improving current ratio indicates a stronger liquidity position, suggesting the company is increasingly capable of covering its short-term liabilities with its short-term assets. This trend reflects a healthier short-term financial outlook.</t>
  </si>
  <si>
    <t>Quick Ratio:</t>
  </si>
  <si>
    <t>Similar to the Current Ratio, the Quick Ratio increases from 1.61x in 2020 to 2.88x by 2034.</t>
  </si>
  <si>
    <t>The quick ratio excludes inventory, providing a stricter measure of liquidity. Its increase indicates that the company’s liquid assets (excluding inventory) are also improving, suggesting robust financial health and the ability to meet short-term obligations without relying on inventory sales.</t>
  </si>
  <si>
    <t>Asset/Equity Ratio:</t>
  </si>
  <si>
    <t>The Asset/Equity Ratio gradually decreases from 2.47x in 2020 to 1.59x by 2034.</t>
  </si>
  <si>
    <t>The decreasing trend suggests a shift towards lower leverage and a stronger equity position. This indicates that the company is increasingly financing its assets with equity rather than debt, which enhances financial stability and reduces risk.</t>
  </si>
  <si>
    <t>Debt/Equity Ratio:</t>
  </si>
  <si>
    <t>The Debt/Equity Ratio remains relatively stable around 0.04-0.08x, with a slight decrease over time.</t>
  </si>
  <si>
    <t>A low and stable debt/equity ratio suggests a conservative approach to debt, minimizing financial risk and indicating strong reliance on equity financing. This enhances the company’s long-term financial stability.</t>
  </si>
  <si>
    <t>Debt Ratio:</t>
  </si>
  <si>
    <t>The Debt Ratio remains consistently low around 0.02-0.03x.</t>
  </si>
  <si>
    <t>The low debt ratio indicates minimal reliance on debt, which reduces financial risk and interest obligations. This reflects a strong balance sheet with limited financial leverage.</t>
  </si>
  <si>
    <t>Interest Coverage:</t>
  </si>
  <si>
    <t>The Interest Coverage ratio increases significantly from 17.08x in 2021 to 144.05x by 2034.</t>
  </si>
  <si>
    <t>A high and increasing interest coverage ratio suggests that the company’s earnings are more than sufficient to cover its interest expenses. This indicates strong earnings performance and lower financial risk, ensuring that the company can easily meet its interest obligations.</t>
  </si>
  <si>
    <t>Fixed Asset Turnover Ratio:</t>
  </si>
  <si>
    <t>The Fixed Asset Turnover Ratio increases significantly from 2.31x in 2021 to 35.51x by 2034.</t>
  </si>
  <si>
    <t>This improvement indicates that the company is generating significantly more revenue from its fixed assets over time. Higher turnover reflects better utilization of fixed assets and suggests that the company is effectively managing its investments in property, plant, and equipment.</t>
  </si>
  <si>
    <t>Total Asset Turnover Ratio:</t>
  </si>
  <si>
    <t>The Total Asset Turnover Ratio remains relatively stable around 0.55-0.70x, with slight fluctuations.</t>
  </si>
  <si>
    <t>The stable ratio indicates consistent efficiency in using total assets to generate revenue. This suggests that the company has maintained a balanced approach in managing its assets to support revenue growth.</t>
  </si>
  <si>
    <t>Financial Leverage:</t>
  </si>
  <si>
    <t>The Financial Leverage decreases from 2.47x in 2020 to 1.59x by 2034.</t>
  </si>
  <si>
    <t>The decreasing leverage indicates a reduction in the company’s reliance on debt, which reduces financial risk and interest expenses. Lower financial leverage suggests a stronger equity base and enhances the sustainability of the return on equity.</t>
  </si>
  <si>
    <t>Analysis</t>
  </si>
  <si>
    <t>Observation</t>
  </si>
  <si>
    <t>Ratios Interpretation</t>
  </si>
  <si>
    <t>Ratios</t>
  </si>
  <si>
    <t>Date</t>
  </si>
  <si>
    <t>Total Returns Index</t>
  </si>
  <si>
    <t>YearFrac</t>
  </si>
  <si>
    <t>Rate</t>
  </si>
  <si>
    <t>Nifty 50: Total Returns Index</t>
  </si>
  <si>
    <t>Sensex</t>
  </si>
  <si>
    <t>IRCTC</t>
  </si>
  <si>
    <t>% Change</t>
  </si>
  <si>
    <t>Company Beta</t>
  </si>
  <si>
    <t>Covariance</t>
  </si>
  <si>
    <t>Variance</t>
  </si>
  <si>
    <t>Beta</t>
  </si>
  <si>
    <t>Sensex &amp; IRCTC 5-Y (M)</t>
  </si>
  <si>
    <t>Operating Income</t>
  </si>
  <si>
    <t>Tax</t>
  </si>
  <si>
    <t>NOPAT</t>
  </si>
  <si>
    <t>Add: Depreciation &amp; Amortization Expense</t>
  </si>
  <si>
    <t>Less: CapEx</t>
  </si>
  <si>
    <t>Less: Change in NWC</t>
  </si>
  <si>
    <t>Unlevered FCFF</t>
  </si>
  <si>
    <t>Cost of Equity</t>
  </si>
  <si>
    <t>Risk Free Rate</t>
  </si>
  <si>
    <t>Equity Market Rate</t>
  </si>
  <si>
    <t>Equity Market Premium</t>
  </si>
  <si>
    <t>India 10-Year Bond Yield</t>
  </si>
  <si>
    <t>Ke</t>
  </si>
  <si>
    <t>Cost of Debt</t>
  </si>
  <si>
    <t>Pre-tax Cost of Debt</t>
  </si>
  <si>
    <t>Tax rate</t>
  </si>
  <si>
    <t>Kd</t>
  </si>
  <si>
    <t>CMP</t>
  </si>
  <si>
    <t>Market Cap.</t>
  </si>
  <si>
    <t>Total Debt</t>
  </si>
  <si>
    <t>WACC</t>
  </si>
  <si>
    <t>Terminal Value</t>
  </si>
  <si>
    <t>Perp. Growth Rate</t>
  </si>
  <si>
    <t>Intrinsic Value</t>
  </si>
  <si>
    <t>Sum of PV of F. Cash Flow</t>
  </si>
  <si>
    <t>PV of Terminal Value</t>
  </si>
  <si>
    <t>Add: Cash</t>
  </si>
  <si>
    <t>Less: Debt</t>
  </si>
  <si>
    <t>₹/ Share</t>
  </si>
  <si>
    <t>TP Upside</t>
  </si>
  <si>
    <t>Sensitivity Analysis</t>
  </si>
  <si>
    <t>DCF Analysis</t>
  </si>
  <si>
    <t>Items</t>
  </si>
  <si>
    <t>Sheet</t>
  </si>
  <si>
    <t>Reference</t>
  </si>
  <si>
    <t>Assumptions</t>
  </si>
  <si>
    <t>Revenue_Build_Up</t>
  </si>
  <si>
    <t>G16:Q17</t>
  </si>
  <si>
    <t>"Other operating revenue" contains Scrap Sale–Rail Neer &amp; Scrap Sale–Catering. It has been forecasted using average of % of "Revenue from Operation" of previous years.</t>
  </si>
  <si>
    <t>H21:Q21 H59:Q61</t>
  </si>
  <si>
    <t>"Sale of Products (Railneer, Food &amp; Beverages)" has been anticipated using several scenarios. Base scenario has been established by seeing the CAGR growth from FY 2020 to FY 2024. Best and worst case has been done by considering standard deviation (4.20%) of revenue from operation.</t>
  </si>
  <si>
    <t>"Income From Catering Services" has been planned through several scenarios. The baseline scenario is based on the CAGR growth from FY 2020 to FY 2024. The best and worst case scenarios were calculated by calculating the standard deviation (4.20%) of revenue from operations.</t>
  </si>
  <si>
    <t>H26:Q26 H38:Q40</t>
  </si>
  <si>
    <t>The tourism business is booming and anticipated to expand further. "Revenue from Tourism &amp; Train Operations" was anticipated using the prior year's CAGR increase. In both the best and worst-case scenarios, the standard deviation (4.2%) of revenue from operations was taken.</t>
  </si>
  <si>
    <t>H27:Q27 H52:Q54</t>
  </si>
  <si>
    <t>"Railneer (Licence Fee)" was calculated using the average percentage of revenue from product sales (Railneer and Catering).</t>
  </si>
  <si>
    <t>G28:Q29</t>
  </si>
  <si>
    <t>Other sources of income include interest income from FDRs and TDRs (gross), interest income from others, and dividends from mutual funds.  Thus, it has been anticipated as a percentage of the most recent year's revenue from operations.</t>
  </si>
  <si>
    <t>H31:Q32</t>
  </si>
  <si>
    <t>The cost of material consumed, the acquisition of stock-in-trade, and changes in inventories of finished goods, work-in-progress, and stock-in-trade were calculated using the previous year's average percentage of corresponding expenses to revenue from operations.</t>
  </si>
  <si>
    <t>Cost_Build_Up</t>
  </si>
  <si>
    <t>H16:Q17 H19:Q20 H22:Q23</t>
  </si>
  <si>
    <t>Cost of Material Consumed, Purchase of Stock-in-trade and Change in Inventory, WIP &amp; SIT</t>
  </si>
  <si>
    <t>Expenses for Catering Services and Tourism &amp; Train Operations have been forecasted by calculating the average of percentage of these expenses relative to the Revenue from Catering Services and Revenue from Tourism &amp; Train Operations, respectively, based on previous years' data.</t>
  </si>
  <si>
    <t>Expenses of Catering Services &amp; Expenses of Tourism &amp; Train Operations</t>
  </si>
  <si>
    <t>Manufacturing and Direct Expenses have been forecasted by averaging the percentage obtained by dividing these expenses by the combined revenue from Internet Ticketing and product sales (Railneer &amp; Catering).</t>
  </si>
  <si>
    <t>C35:Q36</t>
  </si>
  <si>
    <t>C29:Q30 C32:Q33</t>
  </si>
  <si>
    <t>H38:Q39</t>
  </si>
  <si>
    <t>Corporate Social Responsibility (CSR) expenses and other expenses have been forecasted by averaging the percentage from previous years, calculated by dividing these expenses by the revenue from operations.</t>
  </si>
  <si>
    <t>H44:Q45 H47:Q48</t>
  </si>
  <si>
    <t>Finance costs have been forecasted by taking the average percentage rates of finance costs on borrowings, lease liabilities, and the unwinding of discounts on security deposits from previous years.</t>
  </si>
  <si>
    <t>CSR Expense &amp; Other Expenses</t>
  </si>
  <si>
    <t>Finance Costs</t>
  </si>
  <si>
    <t>H50:Q51</t>
  </si>
  <si>
    <t>H53:Q53</t>
  </si>
  <si>
    <t>The tax rate has been forecasted based on the assumption that it increases by 0.5% every two years.</t>
  </si>
  <si>
    <t>Additions to Fixed Assets</t>
  </si>
  <si>
    <t>Fixed_Asset_Schedule</t>
  </si>
  <si>
    <t>Additions to Fixed Assets have been forecasted based on the assumption that they increase by 4% every three years.</t>
  </si>
  <si>
    <t>Depreciation for the Year</t>
  </si>
  <si>
    <t>Depreciation for the year have been forecasted based on the assumption that they increase by 4% every three years.</t>
  </si>
  <si>
    <t>Capital WIP</t>
  </si>
  <si>
    <t>Capital WIP have been forecasted based on the assumption that they increase by 4% every three years.</t>
  </si>
  <si>
    <t>H224:Q225</t>
  </si>
  <si>
    <t>Trade Receivables, Inventory &amp; Trade Payables</t>
  </si>
  <si>
    <t>Working_Capital</t>
  </si>
  <si>
    <t>H14:Q16</t>
  </si>
  <si>
    <t>Balance sheet items have been forecasted by averaging the percentage of each item relative to revenue from operations, excluding the COVID year.</t>
  </si>
  <si>
    <t>BS Items</t>
  </si>
  <si>
    <t>BS_Items</t>
  </si>
  <si>
    <t>H16:Q85</t>
  </si>
  <si>
    <t>Dividends Paid</t>
  </si>
  <si>
    <t>Income_Statement</t>
  </si>
  <si>
    <t>Dividends paid have been forecasted by averaging the percentage of dividends paid relative to net profit + other comprehensive income over the last three years, which includes the period after COVID and post stock split.</t>
  </si>
  <si>
    <t>Employee benefit expenses have been forecasted by analyzing the CAGR growth over the past three years (post COVID year), as these expenses are independent of revenue.</t>
  </si>
  <si>
    <t>Trade Receivables, Inventory, and Trade Payables have been increased by 5% annually.</t>
  </si>
  <si>
    <t>Profit for the period</t>
  </si>
  <si>
    <t>micro enterprises and small enterprises</t>
  </si>
  <si>
    <t>micro enterprises and small enterprises
creditors other than micro enterprises</t>
  </si>
  <si>
    <t>Discount Rate</t>
  </si>
  <si>
    <t>Growth Rate</t>
  </si>
  <si>
    <t>IRCTC | 542830 | INE335Y01020</t>
  </si>
  <si>
    <t>Trend</t>
  </si>
  <si>
    <t>Standard Error</t>
  </si>
  <si>
    <t>Intercept</t>
  </si>
  <si>
    <t>Coefficients</t>
  </si>
  <si>
    <t>t Stat</t>
  </si>
  <si>
    <t>P-value</t>
  </si>
  <si>
    <t>Lower 95%</t>
  </si>
  <si>
    <t>Upper 95%</t>
  </si>
  <si>
    <t>Lower 95.0%</t>
  </si>
  <si>
    <t>Upper 95.0%</t>
  </si>
  <si>
    <t>X Variable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</si>
</sst>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quot;₹&quot;\ #,##0.00;[Red]&quot;₹&quot;\ \-#,##0.00"/>
    <numFmt numFmtId="165" formatCode="#,##0;\(#,##0\);&quot;-&quot;"/>
    <numFmt numFmtId="166" formatCode="0.0%"/>
    <numFmt numFmtId="167" formatCode="&quot;CAGR: &quot;0.00%"/>
    <numFmt numFmtId="168" formatCode="0.00%&quot; /3 years&quot;"/>
    <numFmt numFmtId="169" formatCode="#,##0.00;\(#,##0.00\);&quot;-&quot;"/>
    <numFmt numFmtId="170" formatCode="#,##0.00&quot; x&quot;;\(#,##0.00\)&quot; x&quot;;&quot;-&quot;&quot; x&quot;"/>
    <numFmt numFmtId="171" formatCode="dd/mmm/yyyy"/>
    <numFmt numFmtId="172" formatCode="#,##0.00&quot; yrs&quot;"/>
    <numFmt numFmtId="173" formatCode=";;;"/>
  </numFmts>
  <fonts count="26" x14ac:knownFonts="1">
    <font>
      <sz val="11"/>
      <color theme="1"/>
      <name val="Cambria"/>
      <family val="2"/>
    </font>
    <font>
      <b/>
      <sz val="16"/>
      <color theme="0"/>
      <name val="Century Gothic"/>
      <family val="2"/>
    </font>
    <font>
      <sz val="11"/>
      <color theme="1"/>
      <name val="Century Gothic"/>
      <family val="2"/>
    </font>
    <font>
      <sz val="14"/>
      <color theme="1"/>
      <name val="Century Gothic"/>
      <family val="2"/>
    </font>
    <font>
      <b/>
      <sz val="14"/>
      <color theme="1"/>
      <name val="Century Gothic"/>
      <family val="2"/>
    </font>
    <font>
      <i/>
      <sz val="14"/>
      <color theme="1"/>
      <name val="Century Gothic"/>
      <family val="2"/>
    </font>
    <font>
      <b/>
      <sz val="11"/>
      <color theme="1"/>
      <name val="Century Gothic"/>
      <family val="2"/>
    </font>
    <font>
      <sz val="11"/>
      <color rgb="FF0000FF"/>
      <name val="Century Gothic"/>
      <family val="2"/>
    </font>
    <font>
      <b/>
      <sz val="11"/>
      <color rgb="FF0000FF"/>
      <name val="Century Gothic"/>
      <family val="2"/>
    </font>
    <font>
      <u/>
      <sz val="11"/>
      <color theme="1"/>
      <name val="Century Gothic"/>
      <family val="2"/>
    </font>
    <font>
      <i/>
      <sz val="11"/>
      <color theme="1"/>
      <name val="Century Gothic"/>
      <family val="2"/>
    </font>
    <font>
      <b/>
      <sz val="11"/>
      <color rgb="FF00B050"/>
      <name val="Century Gothic"/>
      <family val="2"/>
    </font>
    <font>
      <sz val="11"/>
      <color rgb="FF00B050"/>
      <name val="Century Gothic"/>
      <family val="2"/>
    </font>
    <font>
      <b/>
      <sz val="13"/>
      <color theme="0"/>
      <name val="Century Gothic"/>
      <family val="2"/>
    </font>
    <font>
      <b/>
      <sz val="14"/>
      <name val="Century Gothic"/>
      <family val="2"/>
    </font>
    <font>
      <sz val="11"/>
      <name val="Century Gothic"/>
      <family val="2"/>
    </font>
    <font>
      <sz val="9"/>
      <color indexed="81"/>
      <name val="Tahoma"/>
      <family val="2"/>
    </font>
    <font>
      <b/>
      <sz val="9"/>
      <color indexed="81"/>
      <name val="Tahoma"/>
      <family val="2"/>
    </font>
    <font>
      <b/>
      <sz val="11"/>
      <color rgb="FFFF0000"/>
      <name val="Century Gothic"/>
      <family val="2"/>
    </font>
    <font>
      <b/>
      <sz val="14"/>
      <color theme="0"/>
      <name val="Century Gothic"/>
      <family val="2"/>
    </font>
    <font>
      <b/>
      <i/>
      <sz val="14"/>
      <color theme="1"/>
      <name val="Century Gothic"/>
      <family val="2"/>
    </font>
    <font>
      <b/>
      <sz val="12"/>
      <color theme="0"/>
      <name val="Century Gothic"/>
      <family val="2"/>
    </font>
    <font>
      <sz val="12"/>
      <color theme="0"/>
      <name val="Century Gothic"/>
      <family val="2"/>
    </font>
    <font>
      <b/>
      <sz val="11"/>
      <name val="Century Gothic"/>
      <family val="2"/>
    </font>
    <font>
      <b/>
      <sz val="11"/>
      <color theme="0"/>
      <name val="Century Gothic"/>
      <family val="2"/>
    </font>
    <font>
      <i/>
      <sz val="11"/>
      <color theme="1"/>
      <name val="Cambria"/>
      <family val="2"/>
    </font>
  </fonts>
  <fills count="12">
    <fill>
      <patternFill patternType="none"/>
    </fill>
    <fill>
      <patternFill patternType="gray125"/>
    </fill>
    <fill>
      <patternFill patternType="solid">
        <fgColor rgb="FF00206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249977111117893"/>
        <bgColor indexed="64"/>
      </patternFill>
    </fill>
  </fills>
  <borders count="25">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double">
        <color auto="1"/>
      </top>
      <bottom style="double">
        <color auto="1"/>
      </bottom>
      <diagonal/>
    </border>
    <border>
      <left style="dashed">
        <color auto="1"/>
      </left>
      <right style="dashed">
        <color auto="1"/>
      </right>
      <top style="dashed">
        <color auto="1"/>
      </top>
      <bottom style="dashed">
        <color auto="1"/>
      </bottom>
      <diagonal/>
    </border>
    <border>
      <left/>
      <right style="dashed">
        <color auto="1"/>
      </right>
      <top style="dashed">
        <color auto="1"/>
      </top>
      <bottom style="dashed">
        <color auto="1"/>
      </bottom>
      <diagonal/>
    </border>
    <border>
      <left style="dotted">
        <color auto="1"/>
      </left>
      <right style="dotted">
        <color auto="1"/>
      </right>
      <top style="dotted">
        <color auto="1"/>
      </top>
      <bottom style="dotted">
        <color auto="1"/>
      </bottom>
      <diagonal/>
    </border>
    <border>
      <left style="dashed">
        <color auto="1"/>
      </left>
      <right style="dashed">
        <color auto="1"/>
      </right>
      <top style="dashed">
        <color auto="1"/>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dashed">
        <color auto="1"/>
      </top>
      <bottom/>
      <diagonal/>
    </border>
    <border>
      <left style="double">
        <color indexed="64"/>
      </left>
      <right style="double">
        <color indexed="64"/>
      </right>
      <top/>
      <bottom/>
      <diagonal/>
    </border>
    <border>
      <left style="thin">
        <color auto="1"/>
      </left>
      <right style="double">
        <color indexed="64"/>
      </right>
      <top style="thin">
        <color auto="1"/>
      </top>
      <bottom style="thin">
        <color auto="1"/>
      </bottom>
      <diagonal/>
    </border>
    <border>
      <left style="double">
        <color indexed="64"/>
      </left>
      <right style="double">
        <color indexed="64"/>
      </right>
      <top style="thin">
        <color auto="1"/>
      </top>
      <bottom style="thin">
        <color auto="1"/>
      </bottom>
      <diagonal/>
    </border>
    <border>
      <left style="double">
        <color indexed="64"/>
      </left>
      <right style="thin">
        <color auto="1"/>
      </right>
      <top style="thin">
        <color auto="1"/>
      </top>
      <bottom style="thin">
        <color auto="1"/>
      </bottom>
      <diagonal/>
    </border>
    <border>
      <left style="thin">
        <color auto="1"/>
      </left>
      <right style="double">
        <color indexed="64"/>
      </right>
      <top/>
      <bottom style="thin">
        <color auto="1"/>
      </bottom>
      <diagonal/>
    </border>
    <border>
      <left style="double">
        <color indexed="64"/>
      </left>
      <right style="double">
        <color indexed="64"/>
      </right>
      <top/>
      <bottom style="thin">
        <color auto="1"/>
      </bottom>
      <diagonal/>
    </border>
    <border>
      <left style="double">
        <color indexed="64"/>
      </left>
      <right style="thin">
        <color auto="1"/>
      </right>
      <top/>
      <bottom style="thin">
        <color auto="1"/>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right/>
      <top/>
      <bottom style="medium">
        <color indexed="64"/>
      </bottom>
      <diagonal/>
    </border>
    <border>
      <left/>
      <right/>
      <top style="medium">
        <color indexed="64"/>
      </top>
      <bottom style="thin">
        <color indexed="64"/>
      </bottom>
      <diagonal/>
    </border>
    <border>
      <left/>
      <right style="medium">
        <color indexed="64"/>
      </right>
      <top/>
      <bottom/>
      <diagonal/>
    </border>
  </borders>
  <cellStyleXfs count="1">
    <xf numFmtId="0" fontId="0" fillId="0" borderId="0"/>
  </cellStyleXfs>
  <cellXfs count="170">
    <xf numFmtId="0" fontId="0" fillId="0" borderId="0" xfId="0"/>
    <xf numFmtId="0" fontId="2" fillId="0" borderId="0" xfId="0" applyFont="1"/>
    <xf numFmtId="0" fontId="3" fillId="0" borderId="0" xfId="0" applyFont="1" applyAlignment="1">
      <alignment horizontal="center"/>
    </xf>
    <xf numFmtId="0" fontId="2" fillId="0" borderId="0" xfId="0" applyFont="1" applyAlignment="1">
      <alignment horizontal="center"/>
    </xf>
    <xf numFmtId="0" fontId="5" fillId="0" borderId="0" xfId="0" applyFont="1" applyAlignment="1">
      <alignment horizontal="center"/>
    </xf>
    <xf numFmtId="0" fontId="4" fillId="0" borderId="0" xfId="0" applyFont="1" applyAlignment="1">
      <alignment horizontal="center"/>
    </xf>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indent="1"/>
    </xf>
    <xf numFmtId="4" fontId="2" fillId="0" borderId="0" xfId="0" applyNumberFormat="1" applyFont="1" applyAlignment="1">
      <alignment horizontal="center"/>
    </xf>
    <xf numFmtId="0" fontId="1" fillId="2" borderId="0" xfId="0" applyFont="1" applyFill="1" applyAlignment="1">
      <alignment horizontal="centerContinuous"/>
    </xf>
    <xf numFmtId="0" fontId="6" fillId="0" borderId="0" xfId="0" applyFont="1" applyAlignment="1">
      <alignment horizontal="right"/>
    </xf>
    <xf numFmtId="165" fontId="7" fillId="0" borderId="0" xfId="0" applyNumberFormat="1" applyFont="1" applyAlignment="1">
      <alignment horizontal="center"/>
    </xf>
    <xf numFmtId="165" fontId="2" fillId="0" borderId="0" xfId="0" applyNumberFormat="1" applyFont="1" applyAlignment="1">
      <alignment horizontal="center"/>
    </xf>
    <xf numFmtId="165" fontId="7" fillId="0" borderId="0" xfId="0" applyNumberFormat="1" applyFont="1" applyAlignment="1">
      <alignment horizontal="center" vertical="center"/>
    </xf>
    <xf numFmtId="0" fontId="6" fillId="0" borderId="0" xfId="0" applyFont="1" applyAlignment="1">
      <alignment horizontal="left"/>
    </xf>
    <xf numFmtId="165" fontId="8" fillId="0" borderId="0" xfId="0" applyNumberFormat="1" applyFont="1" applyAlignment="1">
      <alignment horizontal="center"/>
    </xf>
    <xf numFmtId="165" fontId="6" fillId="0" borderId="1" xfId="0" applyNumberFormat="1" applyFont="1" applyBorder="1" applyAlignment="1">
      <alignment horizontal="center"/>
    </xf>
    <xf numFmtId="0" fontId="6" fillId="0" borderId="0" xfId="0" applyFont="1" applyAlignment="1">
      <alignment horizontal="center"/>
    </xf>
    <xf numFmtId="0" fontId="9" fillId="0" borderId="0" xfId="0" applyFont="1" applyAlignment="1">
      <alignment horizontal="left"/>
    </xf>
    <xf numFmtId="0" fontId="9" fillId="0" borderId="0" xfId="0" applyFont="1" applyAlignment="1">
      <alignment horizontal="left" indent="1"/>
    </xf>
    <xf numFmtId="0" fontId="2" fillId="0" borderId="0" xfId="0" applyFont="1" applyAlignment="1">
      <alignment horizontal="left" indent="2"/>
    </xf>
    <xf numFmtId="0" fontId="10" fillId="0" borderId="0" xfId="0" applyFont="1" applyAlignment="1">
      <alignment horizontal="left"/>
    </xf>
    <xf numFmtId="165" fontId="10" fillId="0" borderId="0" xfId="0" applyNumberFormat="1" applyFont="1" applyAlignment="1">
      <alignment horizontal="center"/>
    </xf>
    <xf numFmtId="166" fontId="2" fillId="0" borderId="0" xfId="0" applyNumberFormat="1" applyFont="1" applyAlignment="1">
      <alignment horizontal="center"/>
    </xf>
    <xf numFmtId="0" fontId="10" fillId="0" borderId="0" xfId="0" applyFont="1" applyAlignment="1">
      <alignment horizontal="center"/>
    </xf>
    <xf numFmtId="0" fontId="13" fillId="2" borderId="0" xfId="0" applyFont="1" applyFill="1" applyAlignment="1">
      <alignment horizontal="centerContinuous"/>
    </xf>
    <xf numFmtId="0" fontId="14" fillId="0" borderId="0" xfId="0" applyFont="1" applyAlignment="1">
      <alignment horizontal="center"/>
    </xf>
    <xf numFmtId="0" fontId="3" fillId="0" borderId="0" xfId="0" applyFont="1" applyAlignment="1">
      <alignment horizontal="left" vertical="center"/>
    </xf>
    <xf numFmtId="165" fontId="6" fillId="0" borderId="0" xfId="0" applyNumberFormat="1" applyFont="1" applyAlignment="1">
      <alignment horizontal="center"/>
    </xf>
    <xf numFmtId="165" fontId="6" fillId="0" borderId="3" xfId="0" applyNumberFormat="1" applyFont="1" applyBorder="1" applyAlignment="1">
      <alignment horizontal="center"/>
    </xf>
    <xf numFmtId="165" fontId="6" fillId="0" borderId="4" xfId="0" applyNumberFormat="1" applyFont="1" applyBorder="1" applyAlignment="1">
      <alignment horizontal="center"/>
    </xf>
    <xf numFmtId="0" fontId="2" fillId="3" borderId="0" xfId="0" applyFont="1" applyFill="1" applyAlignment="1">
      <alignment horizontal="left"/>
    </xf>
    <xf numFmtId="165" fontId="2" fillId="3" borderId="0" xfId="0" applyNumberFormat="1" applyFont="1" applyFill="1" applyAlignment="1">
      <alignment horizontal="center"/>
    </xf>
    <xf numFmtId="10" fontId="2" fillId="0" borderId="0" xfId="0" applyNumberFormat="1" applyFont="1" applyAlignment="1">
      <alignment horizontal="center"/>
    </xf>
    <xf numFmtId="0" fontId="4" fillId="4" borderId="0" xfId="0" applyFont="1" applyFill="1" applyAlignment="1">
      <alignment horizontal="center"/>
    </xf>
    <xf numFmtId="0" fontId="5" fillId="4" borderId="0" xfId="0" applyFont="1" applyFill="1" applyAlignment="1">
      <alignment horizontal="center"/>
    </xf>
    <xf numFmtId="0" fontId="2" fillId="4" borderId="0" xfId="0" applyFont="1" applyFill="1" applyAlignment="1">
      <alignment horizontal="center"/>
    </xf>
    <xf numFmtId="165" fontId="6" fillId="4" borderId="0" xfId="0" applyNumberFormat="1" applyFont="1" applyFill="1" applyAlignment="1">
      <alignment horizontal="center"/>
    </xf>
    <xf numFmtId="165" fontId="2" fillId="4" borderId="0" xfId="0" applyNumberFormat="1" applyFont="1" applyFill="1" applyAlignment="1">
      <alignment horizontal="center"/>
    </xf>
    <xf numFmtId="10" fontId="2" fillId="4" borderId="0" xfId="0" applyNumberFormat="1" applyFont="1" applyFill="1" applyAlignment="1">
      <alignment horizontal="center"/>
    </xf>
    <xf numFmtId="10" fontId="2" fillId="5" borderId="5" xfId="0" applyNumberFormat="1" applyFont="1" applyFill="1" applyBorder="1" applyAlignment="1">
      <alignment horizontal="center"/>
    </xf>
    <xf numFmtId="10" fontId="2" fillId="3" borderId="0" xfId="0" applyNumberFormat="1" applyFont="1" applyFill="1" applyAlignment="1">
      <alignment horizontal="center"/>
    </xf>
    <xf numFmtId="0" fontId="3" fillId="6" borderId="0" xfId="0" applyFont="1" applyFill="1" applyAlignment="1">
      <alignment horizontal="centerContinuous"/>
    </xf>
    <xf numFmtId="0" fontId="3" fillId="7" borderId="0" xfId="0" applyFont="1" applyFill="1" applyAlignment="1">
      <alignment horizontal="center"/>
    </xf>
    <xf numFmtId="0" fontId="3" fillId="7" borderId="0" xfId="0" applyFont="1" applyFill="1" applyAlignment="1">
      <alignment horizontal="center" vertical="center"/>
    </xf>
    <xf numFmtId="0" fontId="4" fillId="6" borderId="0" xfId="0" applyFont="1" applyFill="1" applyAlignment="1">
      <alignment horizontal="centerContinuous" vertical="center"/>
    </xf>
    <xf numFmtId="0" fontId="6" fillId="0" borderId="2" xfId="0" applyFont="1" applyBorder="1" applyAlignment="1">
      <alignment horizontal="left"/>
    </xf>
    <xf numFmtId="0" fontId="6" fillId="0" borderId="2" xfId="0" applyFont="1" applyBorder="1" applyAlignment="1">
      <alignment horizontal="center"/>
    </xf>
    <xf numFmtId="165" fontId="15" fillId="0" borderId="0" xfId="0" applyNumberFormat="1" applyFont="1" applyAlignment="1">
      <alignment horizontal="center"/>
    </xf>
    <xf numFmtId="166" fontId="2" fillId="0" borderId="5" xfId="0" applyNumberFormat="1" applyFont="1" applyBorder="1" applyAlignment="1">
      <alignment horizontal="center"/>
    </xf>
    <xf numFmtId="166" fontId="2" fillId="4" borderId="5" xfId="0" applyNumberFormat="1" applyFont="1" applyFill="1" applyBorder="1" applyAlignment="1">
      <alignment horizontal="center"/>
    </xf>
    <xf numFmtId="10" fontId="10" fillId="0" borderId="0" xfId="0" applyNumberFormat="1" applyFont="1" applyAlignment="1">
      <alignment horizontal="center"/>
    </xf>
    <xf numFmtId="10" fontId="10" fillId="4" borderId="0" xfId="0" applyNumberFormat="1" applyFont="1" applyFill="1" applyAlignment="1">
      <alignment horizontal="center"/>
    </xf>
    <xf numFmtId="10" fontId="2" fillId="5" borderId="6" xfId="0" applyNumberFormat="1" applyFont="1" applyFill="1" applyBorder="1" applyAlignment="1">
      <alignment horizontal="center"/>
    </xf>
    <xf numFmtId="10" fontId="11" fillId="0" borderId="0" xfId="0" applyNumberFormat="1" applyFont="1" applyAlignment="1">
      <alignment horizontal="center"/>
    </xf>
    <xf numFmtId="10" fontId="12" fillId="0" borderId="0" xfId="0" applyNumberFormat="1" applyFont="1" applyAlignment="1">
      <alignment horizontal="center"/>
    </xf>
    <xf numFmtId="10" fontId="12" fillId="0" borderId="0" xfId="0" applyNumberFormat="1" applyFont="1" applyAlignment="1">
      <alignment horizontal="center" vertical="center"/>
    </xf>
    <xf numFmtId="10" fontId="6" fillId="0" borderId="1" xfId="0" applyNumberFormat="1" applyFont="1" applyBorder="1" applyAlignment="1">
      <alignment horizontal="center"/>
    </xf>
    <xf numFmtId="165" fontId="12" fillId="0" borderId="0" xfId="0" applyNumberFormat="1" applyFont="1" applyAlignment="1">
      <alignment horizontal="center"/>
    </xf>
    <xf numFmtId="165" fontId="11" fillId="0" borderId="0" xfId="0" applyNumberFormat="1" applyFont="1" applyAlignment="1">
      <alignment horizontal="center"/>
    </xf>
    <xf numFmtId="10" fontId="2" fillId="8" borderId="5" xfId="0" applyNumberFormat="1" applyFont="1" applyFill="1" applyBorder="1" applyAlignment="1">
      <alignment horizontal="center"/>
    </xf>
    <xf numFmtId="10" fontId="2" fillId="0" borderId="5" xfId="0" applyNumberFormat="1" applyFont="1" applyBorder="1" applyAlignment="1">
      <alignment horizontal="center"/>
    </xf>
    <xf numFmtId="165" fontId="12" fillId="0" borderId="0" xfId="0" applyNumberFormat="1" applyFont="1" applyAlignment="1">
      <alignment horizontal="center" vertical="center"/>
    </xf>
    <xf numFmtId="165" fontId="11" fillId="4" borderId="0" xfId="0" applyNumberFormat="1" applyFont="1" applyFill="1" applyAlignment="1">
      <alignment horizontal="center"/>
    </xf>
    <xf numFmtId="165" fontId="2" fillId="4" borderId="0" xfId="0" applyNumberFormat="1" applyFont="1" applyFill="1" applyAlignment="1">
      <alignment horizontal="center" vertical="center"/>
    </xf>
    <xf numFmtId="165" fontId="12" fillId="4" borderId="0" xfId="0" applyNumberFormat="1" applyFont="1" applyFill="1" applyAlignment="1">
      <alignment horizontal="center"/>
    </xf>
    <xf numFmtId="10" fontId="2" fillId="0" borderId="6" xfId="0" applyNumberFormat="1" applyFont="1" applyBorder="1" applyAlignment="1">
      <alignment horizontal="center"/>
    </xf>
    <xf numFmtId="167" fontId="2" fillId="5" borderId="7" xfId="0" applyNumberFormat="1" applyFont="1" applyFill="1" applyBorder="1" applyAlignment="1">
      <alignment horizontal="left"/>
    </xf>
    <xf numFmtId="10" fontId="2" fillId="4" borderId="5" xfId="0" applyNumberFormat="1" applyFont="1" applyFill="1" applyBorder="1" applyAlignment="1">
      <alignment horizontal="center"/>
    </xf>
    <xf numFmtId="165" fontId="2" fillId="7" borderId="5" xfId="0" applyNumberFormat="1" applyFont="1" applyFill="1" applyBorder="1" applyAlignment="1">
      <alignment horizontal="center"/>
    </xf>
    <xf numFmtId="165" fontId="7" fillId="7" borderId="5" xfId="0" applyNumberFormat="1" applyFont="1" applyFill="1" applyBorder="1" applyAlignment="1">
      <alignment horizontal="center"/>
    </xf>
    <xf numFmtId="165" fontId="7" fillId="7" borderId="8" xfId="0" applyNumberFormat="1" applyFont="1" applyFill="1" applyBorder="1" applyAlignment="1">
      <alignment horizontal="center"/>
    </xf>
    <xf numFmtId="165" fontId="2" fillId="7" borderId="8" xfId="0" applyNumberFormat="1" applyFont="1" applyFill="1" applyBorder="1" applyAlignment="1">
      <alignment horizontal="center"/>
    </xf>
    <xf numFmtId="165" fontId="6" fillId="4" borderId="4" xfId="0" applyNumberFormat="1" applyFont="1" applyFill="1" applyBorder="1" applyAlignment="1">
      <alignment horizontal="center"/>
    </xf>
    <xf numFmtId="165" fontId="6" fillId="4" borderId="3" xfId="0" applyNumberFormat="1" applyFont="1" applyFill="1" applyBorder="1" applyAlignment="1">
      <alignment horizontal="center"/>
    </xf>
    <xf numFmtId="165" fontId="6" fillId="4" borderId="1" xfId="0" applyNumberFormat="1" applyFont="1" applyFill="1" applyBorder="1" applyAlignment="1">
      <alignment horizontal="center"/>
    </xf>
    <xf numFmtId="4" fontId="2" fillId="4" borderId="0" xfId="0" applyNumberFormat="1" applyFont="1" applyFill="1" applyAlignment="1">
      <alignment horizontal="center"/>
    </xf>
    <xf numFmtId="0" fontId="14" fillId="4" borderId="0" xfId="0" applyFont="1" applyFill="1" applyAlignment="1">
      <alignment horizontal="center"/>
    </xf>
    <xf numFmtId="10" fontId="7" fillId="0" borderId="5" xfId="0" applyNumberFormat="1" applyFont="1" applyBorder="1" applyAlignment="1">
      <alignment horizontal="center"/>
    </xf>
    <xf numFmtId="164" fontId="2" fillId="0" borderId="0" xfId="0" applyNumberFormat="1" applyFont="1" applyAlignment="1">
      <alignment horizontal="center"/>
    </xf>
    <xf numFmtId="0" fontId="11" fillId="0" borderId="2" xfId="0" applyFont="1" applyBorder="1" applyAlignment="1">
      <alignment horizontal="left"/>
    </xf>
    <xf numFmtId="0" fontId="18" fillId="0" borderId="2" xfId="0" applyFont="1" applyBorder="1" applyAlignment="1">
      <alignment horizontal="left"/>
    </xf>
    <xf numFmtId="165" fontId="2" fillId="0" borderId="0" xfId="0" applyNumberFormat="1" applyFont="1" applyAlignment="1">
      <alignment horizontal="center" vertical="center"/>
    </xf>
    <xf numFmtId="0" fontId="19" fillId="2" borderId="0" xfId="0" applyFont="1" applyFill="1" applyAlignment="1">
      <alignment horizontal="centerContinuous"/>
    </xf>
    <xf numFmtId="165" fontId="6" fillId="0" borderId="9" xfId="0" applyNumberFormat="1" applyFont="1" applyBorder="1" applyAlignment="1">
      <alignment horizontal="center"/>
    </xf>
    <xf numFmtId="165" fontId="6" fillId="4" borderId="10" xfId="0" applyNumberFormat="1" applyFont="1" applyFill="1" applyBorder="1" applyAlignment="1">
      <alignment horizontal="center"/>
    </xf>
    <xf numFmtId="169" fontId="2" fillId="0" borderId="0" xfId="0" applyNumberFormat="1" applyFont="1" applyAlignment="1">
      <alignment horizontal="left"/>
    </xf>
    <xf numFmtId="0" fontId="19" fillId="2" borderId="0" xfId="0" applyFont="1" applyFill="1"/>
    <xf numFmtId="10" fontId="19" fillId="2" borderId="0" xfId="0" applyNumberFormat="1" applyFont="1" applyFill="1"/>
    <xf numFmtId="169" fontId="2" fillId="0" borderId="0" xfId="0" applyNumberFormat="1" applyFont="1" applyAlignment="1">
      <alignment horizontal="center"/>
    </xf>
    <xf numFmtId="170" fontId="2" fillId="0" borderId="0" xfId="0" applyNumberFormat="1" applyFont="1" applyAlignment="1">
      <alignment horizontal="center"/>
    </xf>
    <xf numFmtId="0" fontId="2" fillId="0" borderId="3" xfId="0" applyFont="1" applyBorder="1" applyAlignment="1">
      <alignment horizontal="left"/>
    </xf>
    <xf numFmtId="10" fontId="2" fillId="0" borderId="3" xfId="0" applyNumberFormat="1" applyFont="1" applyBorder="1" applyAlignment="1">
      <alignment horizontal="center"/>
    </xf>
    <xf numFmtId="170" fontId="2" fillId="4" borderId="0" xfId="0" applyNumberFormat="1" applyFont="1" applyFill="1" applyAlignment="1">
      <alignment horizontal="center"/>
    </xf>
    <xf numFmtId="169" fontId="2" fillId="4" borderId="0" xfId="0" applyNumberFormat="1" applyFont="1" applyFill="1" applyAlignment="1">
      <alignment horizontal="center"/>
    </xf>
    <xf numFmtId="10" fontId="2" fillId="4" borderId="3" xfId="0" applyNumberFormat="1" applyFont="1" applyFill="1" applyBorder="1" applyAlignment="1">
      <alignment horizontal="center"/>
    </xf>
    <xf numFmtId="0" fontId="4"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20" fillId="0" borderId="0" xfId="0" applyFont="1" applyAlignment="1">
      <alignment horizontal="center"/>
    </xf>
    <xf numFmtId="171" fontId="2" fillId="0" borderId="0" xfId="0" applyNumberFormat="1" applyFont="1" applyAlignment="1">
      <alignment horizontal="center"/>
    </xf>
    <xf numFmtId="0" fontId="20" fillId="0" borderId="0" xfId="0" applyFont="1" applyAlignment="1">
      <alignment horizontal="left"/>
    </xf>
    <xf numFmtId="0" fontId="1" fillId="0" borderId="0" xfId="0" applyFont="1"/>
    <xf numFmtId="0" fontId="2" fillId="8" borderId="11" xfId="0" applyFont="1" applyFill="1" applyBorder="1" applyAlignment="1">
      <alignment horizontal="center"/>
    </xf>
    <xf numFmtId="172" fontId="2" fillId="6" borderId="11" xfId="0" applyNumberFormat="1" applyFont="1" applyFill="1" applyBorder="1" applyAlignment="1">
      <alignment horizontal="center"/>
    </xf>
    <xf numFmtId="10" fontId="2" fillId="6" borderId="11" xfId="0" applyNumberFormat="1" applyFont="1" applyFill="1" applyBorder="1" applyAlignment="1">
      <alignment horizontal="center"/>
    </xf>
    <xf numFmtId="17" fontId="2" fillId="0" borderId="0" xfId="0" applyNumberFormat="1" applyFont="1" applyAlignment="1">
      <alignment horizontal="center"/>
    </xf>
    <xf numFmtId="0" fontId="5" fillId="0" borderId="0" xfId="0" applyFont="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xf>
    <xf numFmtId="0" fontId="2" fillId="7" borderId="11" xfId="0" applyFont="1" applyFill="1" applyBorder="1" applyAlignment="1">
      <alignment horizontal="center"/>
    </xf>
    <xf numFmtId="4" fontId="2" fillId="6" borderId="11" xfId="0" applyNumberFormat="1" applyFont="1" applyFill="1" applyBorder="1" applyAlignment="1">
      <alignment horizontal="center"/>
    </xf>
    <xf numFmtId="0" fontId="2" fillId="6" borderId="11" xfId="0" applyFont="1" applyFill="1" applyBorder="1" applyAlignment="1">
      <alignment horizontal="center"/>
    </xf>
    <xf numFmtId="0" fontId="21" fillId="2" borderId="0" xfId="0" applyFont="1" applyFill="1" applyAlignment="1">
      <alignment horizontal="centerContinuous"/>
    </xf>
    <xf numFmtId="165" fontId="22" fillId="2" borderId="0" xfId="0" applyNumberFormat="1" applyFont="1" applyFill="1" applyAlignment="1">
      <alignment horizontal="centerContinuous"/>
    </xf>
    <xf numFmtId="165" fontId="21" fillId="2" borderId="0" xfId="0" applyNumberFormat="1" applyFont="1" applyFill="1" applyAlignment="1">
      <alignment horizontal="centerContinuous"/>
    </xf>
    <xf numFmtId="165" fontId="2" fillId="0" borderId="0" xfId="0" applyNumberFormat="1" applyFont="1" applyAlignment="1">
      <alignment horizontal="left"/>
    </xf>
    <xf numFmtId="165" fontId="2" fillId="0" borderId="1" xfId="0" applyNumberFormat="1" applyFont="1" applyBorder="1" applyAlignment="1">
      <alignment horizontal="center"/>
    </xf>
    <xf numFmtId="4" fontId="2" fillId="0" borderId="1" xfId="0" applyNumberFormat="1" applyFont="1" applyBorder="1" applyAlignment="1">
      <alignment horizontal="center"/>
    </xf>
    <xf numFmtId="173" fontId="2" fillId="0" borderId="0" xfId="0" applyNumberFormat="1" applyFont="1" applyAlignment="1">
      <alignment horizontal="center"/>
    </xf>
    <xf numFmtId="0" fontId="7" fillId="0" borderId="0" xfId="0" applyFont="1" applyAlignment="1">
      <alignment horizontal="center"/>
    </xf>
    <xf numFmtId="10" fontId="7" fillId="0" borderId="0" xfId="0" applyNumberFormat="1" applyFont="1" applyAlignment="1">
      <alignment horizontal="center"/>
    </xf>
    <xf numFmtId="168" fontId="7" fillId="0" borderId="0" xfId="0" applyNumberFormat="1" applyFont="1" applyAlignment="1">
      <alignment horizontal="center"/>
    </xf>
    <xf numFmtId="4" fontId="7" fillId="0" borderId="0" xfId="0" applyNumberFormat="1" applyFont="1" applyAlignment="1">
      <alignment horizontal="center"/>
    </xf>
    <xf numFmtId="164" fontId="7" fillId="0" borderId="0" xfId="0" applyNumberFormat="1" applyFont="1" applyAlignment="1">
      <alignment horizontal="center"/>
    </xf>
    <xf numFmtId="14" fontId="7" fillId="0" borderId="0" xfId="0" applyNumberFormat="1" applyFont="1" applyAlignment="1">
      <alignment horizontal="center"/>
    </xf>
    <xf numFmtId="0" fontId="13" fillId="11" borderId="0" xfId="0" applyFont="1" applyFill="1" applyAlignment="1">
      <alignment horizontal="center"/>
    </xf>
    <xf numFmtId="0" fontId="13" fillId="11" borderId="0" xfId="0" applyFont="1" applyFill="1" applyAlignment="1">
      <alignment horizontal="centerContinuous"/>
    </xf>
    <xf numFmtId="165" fontId="2" fillId="4" borderId="12" xfId="0" applyNumberFormat="1" applyFont="1" applyFill="1" applyBorder="1" applyAlignment="1">
      <alignment horizontal="center"/>
    </xf>
    <xf numFmtId="165" fontId="15" fillId="4" borderId="0" xfId="0" applyNumberFormat="1" applyFont="1" applyFill="1" applyAlignment="1">
      <alignment horizontal="center"/>
    </xf>
    <xf numFmtId="165" fontId="23" fillId="0" borderId="3" xfId="0" applyNumberFormat="1" applyFont="1" applyBorder="1" applyAlignment="1">
      <alignment horizontal="center"/>
    </xf>
    <xf numFmtId="165" fontId="23" fillId="4" borderId="3" xfId="0" applyNumberFormat="1" applyFont="1" applyFill="1" applyBorder="1" applyAlignment="1">
      <alignment horizontal="center"/>
    </xf>
    <xf numFmtId="165" fontId="23" fillId="0" borderId="1" xfId="0" applyNumberFormat="1" applyFont="1" applyBorder="1" applyAlignment="1">
      <alignment horizontal="center"/>
    </xf>
    <xf numFmtId="165" fontId="23" fillId="4" borderId="1" xfId="0" applyNumberFormat="1" applyFont="1" applyFill="1" applyBorder="1" applyAlignment="1">
      <alignment horizontal="center"/>
    </xf>
    <xf numFmtId="165" fontId="23" fillId="0" borderId="0" xfId="0" applyNumberFormat="1" applyFont="1" applyAlignment="1">
      <alignment horizontal="center"/>
    </xf>
    <xf numFmtId="165" fontId="23" fillId="4" borderId="0" xfId="0" applyNumberFormat="1" applyFont="1" applyFill="1" applyAlignment="1">
      <alignment horizontal="center"/>
    </xf>
    <xf numFmtId="165" fontId="15" fillId="0" borderId="0" xfId="0" applyNumberFormat="1" applyFont="1" applyAlignment="1">
      <alignment horizontal="center" vertical="center"/>
    </xf>
    <xf numFmtId="165" fontId="15" fillId="4" borderId="0" xfId="0" applyNumberFormat="1" applyFont="1" applyFill="1" applyAlignment="1">
      <alignment horizontal="center" vertical="center"/>
    </xf>
    <xf numFmtId="0" fontId="2" fillId="0" borderId="0" xfId="0" applyFont="1" applyAlignment="1">
      <alignment horizontal="left" wrapText="1" indent="2"/>
    </xf>
    <xf numFmtId="165" fontId="2" fillId="0" borderId="0" xfId="0" applyNumberFormat="1" applyFont="1" applyAlignment="1">
      <alignment horizontal="centerContinuous"/>
    </xf>
    <xf numFmtId="0" fontId="2" fillId="3" borderId="0" xfId="0" applyFont="1" applyFill="1" applyAlignment="1">
      <alignment horizontal="center"/>
    </xf>
    <xf numFmtId="0" fontId="24" fillId="2" borderId="0" xfId="0" applyFont="1" applyFill="1" applyAlignment="1">
      <alignment horizontal="center"/>
    </xf>
    <xf numFmtId="0" fontId="0" fillId="0" borderId="22" xfId="0" applyBorder="1"/>
    <xf numFmtId="0" fontId="25" fillId="0" borderId="23" xfId="0" applyFont="1" applyBorder="1" applyAlignment="1">
      <alignment horizontal="center"/>
    </xf>
    <xf numFmtId="0" fontId="6" fillId="7" borderId="11" xfId="0" applyFont="1" applyFill="1" applyBorder="1" applyAlignment="1">
      <alignment horizontal="left"/>
    </xf>
    <xf numFmtId="10" fontId="6" fillId="6" borderId="11" xfId="0" applyNumberFormat="1" applyFont="1" applyFill="1" applyBorder="1" applyAlignment="1">
      <alignment horizontal="center"/>
    </xf>
    <xf numFmtId="169" fontId="2" fillId="9" borderId="0" xfId="0" applyNumberFormat="1" applyFont="1" applyFill="1" applyAlignment="1">
      <alignment horizontal="center"/>
    </xf>
    <xf numFmtId="169" fontId="2" fillId="10" borderId="0" xfId="0" applyNumberFormat="1" applyFont="1" applyFill="1" applyAlignment="1">
      <alignment horizontal="center"/>
    </xf>
    <xf numFmtId="165" fontId="6" fillId="0" borderId="0" xfId="0" applyNumberFormat="1" applyFont="1" applyAlignment="1">
      <alignment horizontal="centerContinuous"/>
    </xf>
    <xf numFmtId="10" fontId="6" fillId="0" borderId="24" xfId="0" applyNumberFormat="1" applyFont="1" applyBorder="1" applyAlignment="1">
      <alignment horizontal="center"/>
    </xf>
    <xf numFmtId="10" fontId="6" fillId="0" borderId="22" xfId="0" applyNumberFormat="1" applyFont="1" applyBorder="1" applyAlignment="1">
      <alignment horizontal="center"/>
    </xf>
    <xf numFmtId="0" fontId="2" fillId="6" borderId="7" xfId="0" applyFont="1" applyFill="1" applyBorder="1" applyAlignment="1">
      <alignment horizontal="center" vertical="center"/>
    </xf>
    <xf numFmtId="165" fontId="2" fillId="6" borderId="7" xfId="0" applyNumberFormat="1" applyFont="1" applyFill="1" applyBorder="1" applyAlignment="1">
      <alignment horizontal="center" vertical="center"/>
    </xf>
    <xf numFmtId="165" fontId="2" fillId="6" borderId="7" xfId="0" applyNumberFormat="1" applyFont="1" applyFill="1" applyBorder="1" applyAlignment="1">
      <alignment horizontal="center" vertical="center" wrapText="1"/>
    </xf>
    <xf numFmtId="0" fontId="2" fillId="6" borderId="7" xfId="0" applyFont="1" applyFill="1" applyBorder="1" applyAlignment="1">
      <alignment horizontal="center" vertical="center" wrapText="1"/>
    </xf>
    <xf numFmtId="0" fontId="3" fillId="0" borderId="0" xfId="0" applyFont="1" applyAlignment="1">
      <alignment horizontal="left" vertical="center"/>
    </xf>
    <xf numFmtId="0" fontId="4" fillId="0" borderId="0" xfId="0" applyFont="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4" fillId="8" borderId="20" xfId="0" applyFont="1" applyFill="1" applyBorder="1" applyAlignment="1">
      <alignment horizontal="center" vertical="center"/>
    </xf>
    <xf numFmtId="0" fontId="4" fillId="8" borderId="13" xfId="0" applyFont="1" applyFill="1" applyBorder="1" applyAlignment="1">
      <alignment horizontal="center" vertical="center"/>
    </xf>
    <xf numFmtId="0" fontId="4" fillId="8" borderId="21" xfId="0" applyFont="1" applyFill="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165" fontId="6" fillId="0" borderId="0" xfId="0" applyNumberFormat="1" applyFont="1" applyAlignment="1">
      <alignment horizontal="right" textRotation="90"/>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259080</xdr:colOff>
      <xdr:row>6</xdr:row>
      <xdr:rowOff>55605</xdr:rowOff>
    </xdr:to>
    <xdr:pic>
      <xdr:nvPicPr>
        <xdr:cNvPr id="2" name="Picture 1">
          <a:extLst>
            <a:ext uri="{FF2B5EF4-FFF2-40B4-BE49-F238E27FC236}">
              <a16:creationId xmlns:a16="http://schemas.microsoft.com/office/drawing/2014/main" id="{D377D330-5A1C-44BB-8FB8-C907B4402C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20640" cy="1107165"/>
        </a:xfrm>
        <a:prstGeom prst="rect">
          <a:avLst/>
        </a:prstGeom>
      </xdr:spPr>
    </xdr:pic>
    <xdr:clientData/>
  </xdr:twoCellAnchor>
  <xdr:twoCellAnchor editAs="oneCell">
    <xdr:from>
      <xdr:col>4</xdr:col>
      <xdr:colOff>495300</xdr:colOff>
      <xdr:row>10</xdr:row>
      <xdr:rowOff>15240</xdr:rowOff>
    </xdr:from>
    <xdr:to>
      <xdr:col>8</xdr:col>
      <xdr:colOff>960120</xdr:colOff>
      <xdr:row>28</xdr:row>
      <xdr:rowOff>42363</xdr:rowOff>
    </xdr:to>
    <xdr:pic>
      <xdr:nvPicPr>
        <xdr:cNvPr id="3" name="Picture 2">
          <a:extLst>
            <a:ext uri="{FF2B5EF4-FFF2-40B4-BE49-F238E27FC236}">
              <a16:creationId xmlns:a16="http://schemas.microsoft.com/office/drawing/2014/main" id="{0816757D-E9AF-CFDF-AADD-340845B95795}"/>
            </a:ext>
          </a:extLst>
        </xdr:cNvPr>
        <xdr:cNvPicPr>
          <a:picLocks noChangeAspect="1"/>
        </xdr:cNvPicPr>
      </xdr:nvPicPr>
      <xdr:blipFill>
        <a:blip xmlns:r="http://schemas.openxmlformats.org/officeDocument/2006/relationships" r:embed="rId2"/>
        <a:stretch>
          <a:fillRect/>
        </a:stretch>
      </xdr:blipFill>
      <xdr:spPr>
        <a:xfrm>
          <a:off x="6553200" y="1889760"/>
          <a:ext cx="5250180" cy="34180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617220</xdr:colOff>
      <xdr:row>6</xdr:row>
      <xdr:rowOff>55605</xdr:rowOff>
    </xdr:to>
    <xdr:pic>
      <xdr:nvPicPr>
        <xdr:cNvPr id="2" name="Picture 1">
          <a:extLst>
            <a:ext uri="{FF2B5EF4-FFF2-40B4-BE49-F238E27FC236}">
              <a16:creationId xmlns:a16="http://schemas.microsoft.com/office/drawing/2014/main" id="{620FA924-3BB5-48FE-9392-39A45F0AF1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20640" cy="11071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617220</xdr:colOff>
      <xdr:row>6</xdr:row>
      <xdr:rowOff>55605</xdr:rowOff>
    </xdr:to>
    <xdr:pic>
      <xdr:nvPicPr>
        <xdr:cNvPr id="2" name="Picture 1">
          <a:extLst>
            <a:ext uri="{FF2B5EF4-FFF2-40B4-BE49-F238E27FC236}">
              <a16:creationId xmlns:a16="http://schemas.microsoft.com/office/drawing/2014/main" id="{9F73B1A8-7729-490D-9084-AA1197BDB5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20640" cy="11071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617220</xdr:colOff>
      <xdr:row>6</xdr:row>
      <xdr:rowOff>55605</xdr:rowOff>
    </xdr:to>
    <xdr:pic>
      <xdr:nvPicPr>
        <xdr:cNvPr id="2" name="Picture 1">
          <a:extLst>
            <a:ext uri="{FF2B5EF4-FFF2-40B4-BE49-F238E27FC236}">
              <a16:creationId xmlns:a16="http://schemas.microsoft.com/office/drawing/2014/main" id="{EE54B8D9-D849-47D4-B2D2-98D3BE2BAC7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20640" cy="110716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617220</xdr:colOff>
      <xdr:row>6</xdr:row>
      <xdr:rowOff>55605</xdr:rowOff>
    </xdr:to>
    <xdr:pic>
      <xdr:nvPicPr>
        <xdr:cNvPr id="2" name="Picture 1">
          <a:extLst>
            <a:ext uri="{FF2B5EF4-FFF2-40B4-BE49-F238E27FC236}">
              <a16:creationId xmlns:a16="http://schemas.microsoft.com/office/drawing/2014/main" id="{FE75D83B-4B9C-40AD-AC0F-C90731B288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20640" cy="110716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617220</xdr:colOff>
      <xdr:row>6</xdr:row>
      <xdr:rowOff>55605</xdr:rowOff>
    </xdr:to>
    <xdr:pic>
      <xdr:nvPicPr>
        <xdr:cNvPr id="2" name="Picture 1">
          <a:extLst>
            <a:ext uri="{FF2B5EF4-FFF2-40B4-BE49-F238E27FC236}">
              <a16:creationId xmlns:a16="http://schemas.microsoft.com/office/drawing/2014/main" id="{7198492F-6CCE-41BD-ABE8-5A376A0501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20640" cy="110716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617220</xdr:colOff>
      <xdr:row>6</xdr:row>
      <xdr:rowOff>55605</xdr:rowOff>
    </xdr:to>
    <xdr:pic>
      <xdr:nvPicPr>
        <xdr:cNvPr id="2" name="Picture 1">
          <a:extLst>
            <a:ext uri="{FF2B5EF4-FFF2-40B4-BE49-F238E27FC236}">
              <a16:creationId xmlns:a16="http://schemas.microsoft.com/office/drawing/2014/main" id="{007611F7-9A71-4AD5-8E11-C0FA1B70D1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20640" cy="1107165"/>
        </a:xfrm>
        <a:prstGeom prst="rect">
          <a:avLst/>
        </a:prstGeom>
        <a:solidFill>
          <a:schemeClr val="accent5">
            <a:lumMod val="20000"/>
            <a:lumOff val="80000"/>
          </a:schemeClr>
        </a:solid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617220</xdr:colOff>
      <xdr:row>6</xdr:row>
      <xdr:rowOff>55605</xdr:rowOff>
    </xdr:to>
    <xdr:pic>
      <xdr:nvPicPr>
        <xdr:cNvPr id="2" name="Picture 1">
          <a:extLst>
            <a:ext uri="{FF2B5EF4-FFF2-40B4-BE49-F238E27FC236}">
              <a16:creationId xmlns:a16="http://schemas.microsoft.com/office/drawing/2014/main" id="{F6C0EAC3-9769-4812-B773-E79E0389F3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20640" cy="110716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617220</xdr:colOff>
      <xdr:row>6</xdr:row>
      <xdr:rowOff>55605</xdr:rowOff>
    </xdr:to>
    <xdr:pic>
      <xdr:nvPicPr>
        <xdr:cNvPr id="2" name="Picture 1">
          <a:extLst>
            <a:ext uri="{FF2B5EF4-FFF2-40B4-BE49-F238E27FC236}">
              <a16:creationId xmlns:a16="http://schemas.microsoft.com/office/drawing/2014/main" id="{D0DF237E-6A56-42FA-ACE6-47984B9145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20640" cy="110716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617220</xdr:colOff>
      <xdr:row>6</xdr:row>
      <xdr:rowOff>55605</xdr:rowOff>
    </xdr:to>
    <xdr:pic>
      <xdr:nvPicPr>
        <xdr:cNvPr id="2" name="Picture 1">
          <a:extLst>
            <a:ext uri="{FF2B5EF4-FFF2-40B4-BE49-F238E27FC236}">
              <a16:creationId xmlns:a16="http://schemas.microsoft.com/office/drawing/2014/main" id="{88A0A482-A31A-4FCC-A40E-C5C94F133A4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20640" cy="110716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617220</xdr:colOff>
      <xdr:row>6</xdr:row>
      <xdr:rowOff>55605</xdr:rowOff>
    </xdr:to>
    <xdr:pic>
      <xdr:nvPicPr>
        <xdr:cNvPr id="2" name="Picture 1">
          <a:extLst>
            <a:ext uri="{FF2B5EF4-FFF2-40B4-BE49-F238E27FC236}">
              <a16:creationId xmlns:a16="http://schemas.microsoft.com/office/drawing/2014/main" id="{60A5A5CC-033E-460B-85D5-35DBD26264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20640" cy="110716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617220</xdr:colOff>
      <xdr:row>6</xdr:row>
      <xdr:rowOff>55605</xdr:rowOff>
    </xdr:to>
    <xdr:pic>
      <xdr:nvPicPr>
        <xdr:cNvPr id="2" name="Picture 1">
          <a:extLst>
            <a:ext uri="{FF2B5EF4-FFF2-40B4-BE49-F238E27FC236}">
              <a16:creationId xmlns:a16="http://schemas.microsoft.com/office/drawing/2014/main" id="{6BA85176-38C0-40CA-AD73-743C0AC22F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20640" cy="110716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617220</xdr:colOff>
      <xdr:row>6</xdr:row>
      <xdr:rowOff>55605</xdr:rowOff>
    </xdr:to>
    <xdr:pic>
      <xdr:nvPicPr>
        <xdr:cNvPr id="2" name="Picture 1">
          <a:extLst>
            <a:ext uri="{FF2B5EF4-FFF2-40B4-BE49-F238E27FC236}">
              <a16:creationId xmlns:a16="http://schemas.microsoft.com/office/drawing/2014/main" id="{B4FBE4F7-123A-47C3-944A-8358465D9C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20640" cy="110716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129540</xdr:colOff>
      <xdr:row>6</xdr:row>
      <xdr:rowOff>55605</xdr:rowOff>
    </xdr:to>
    <xdr:pic>
      <xdr:nvPicPr>
        <xdr:cNvPr id="2" name="Picture 1">
          <a:extLst>
            <a:ext uri="{FF2B5EF4-FFF2-40B4-BE49-F238E27FC236}">
              <a16:creationId xmlns:a16="http://schemas.microsoft.com/office/drawing/2014/main" id="{D8F35F64-A50F-4C86-AB6E-FD654CAA7D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20640" cy="110716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640080</xdr:colOff>
      <xdr:row>6</xdr:row>
      <xdr:rowOff>55605</xdr:rowOff>
    </xdr:to>
    <xdr:pic>
      <xdr:nvPicPr>
        <xdr:cNvPr id="2" name="Picture 1">
          <a:extLst>
            <a:ext uri="{FF2B5EF4-FFF2-40B4-BE49-F238E27FC236}">
              <a16:creationId xmlns:a16="http://schemas.microsoft.com/office/drawing/2014/main" id="{5FF031B9-1AB2-47DB-9E9C-CDEF994F8F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20640" cy="110716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129540</xdr:colOff>
      <xdr:row>6</xdr:row>
      <xdr:rowOff>55605</xdr:rowOff>
    </xdr:to>
    <xdr:pic>
      <xdr:nvPicPr>
        <xdr:cNvPr id="2" name="Picture 1">
          <a:extLst>
            <a:ext uri="{FF2B5EF4-FFF2-40B4-BE49-F238E27FC236}">
              <a16:creationId xmlns:a16="http://schemas.microsoft.com/office/drawing/2014/main" id="{E53718D8-CFEF-4904-8346-D7F1EE6D5F4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20640" cy="110716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15240</xdr:colOff>
      <xdr:row>0</xdr:row>
      <xdr:rowOff>0</xdr:rowOff>
    </xdr:from>
    <xdr:to>
      <xdr:col>3</xdr:col>
      <xdr:colOff>632460</xdr:colOff>
      <xdr:row>6</xdr:row>
      <xdr:rowOff>55605</xdr:rowOff>
    </xdr:to>
    <xdr:pic>
      <xdr:nvPicPr>
        <xdr:cNvPr id="2" name="Picture 1">
          <a:extLst>
            <a:ext uri="{FF2B5EF4-FFF2-40B4-BE49-F238E27FC236}">
              <a16:creationId xmlns:a16="http://schemas.microsoft.com/office/drawing/2014/main" id="{B891AE1B-7A8A-4527-927E-C1F3367E9D4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240" y="0"/>
          <a:ext cx="5120640" cy="1107165"/>
        </a:xfrm>
        <a:prstGeom prst="rect">
          <a:avLst/>
        </a:prstGeom>
      </xdr:spPr>
    </xdr:pic>
    <xdr:clientData/>
  </xdr:twoCellAnchor>
  <xdr:twoCellAnchor>
    <xdr:from>
      <xdr:col>8</xdr:col>
      <xdr:colOff>22860</xdr:colOff>
      <xdr:row>24</xdr:row>
      <xdr:rowOff>152400</xdr:rowOff>
    </xdr:from>
    <xdr:to>
      <xdr:col>8</xdr:col>
      <xdr:colOff>403860</xdr:colOff>
      <xdr:row>30</xdr:row>
      <xdr:rowOff>45720</xdr:rowOff>
    </xdr:to>
    <xdr:sp macro="" textlink="">
      <xdr:nvSpPr>
        <xdr:cNvPr id="3" name="Left Brace 2">
          <a:extLst>
            <a:ext uri="{FF2B5EF4-FFF2-40B4-BE49-F238E27FC236}">
              <a16:creationId xmlns:a16="http://schemas.microsoft.com/office/drawing/2014/main" id="{1117F674-BD08-4662-96A5-D9D0A0E796BC}"/>
            </a:ext>
          </a:extLst>
        </xdr:cNvPr>
        <xdr:cNvSpPr/>
      </xdr:nvSpPr>
      <xdr:spPr>
        <a:xfrm>
          <a:off x="10507980" y="4366260"/>
          <a:ext cx="381000" cy="94488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11</xdr:col>
      <xdr:colOff>1135380</xdr:colOff>
      <xdr:row>23</xdr:row>
      <xdr:rowOff>83820</xdr:rowOff>
    </xdr:from>
    <xdr:to>
      <xdr:col>13</xdr:col>
      <xdr:colOff>891540</xdr:colOff>
      <xdr:row>23</xdr:row>
      <xdr:rowOff>91440</xdr:rowOff>
    </xdr:to>
    <xdr:cxnSp macro="">
      <xdr:nvCxnSpPr>
        <xdr:cNvPr id="5" name="Straight Arrow Connector 4">
          <a:extLst>
            <a:ext uri="{FF2B5EF4-FFF2-40B4-BE49-F238E27FC236}">
              <a16:creationId xmlns:a16="http://schemas.microsoft.com/office/drawing/2014/main" id="{34EEE5F7-7B3B-6D23-5AC0-9CF9C1FE13B4}"/>
            </a:ext>
          </a:extLst>
        </xdr:cNvPr>
        <xdr:cNvCxnSpPr/>
      </xdr:nvCxnSpPr>
      <xdr:spPr>
        <a:xfrm flipV="1">
          <a:off x="15209520" y="4122420"/>
          <a:ext cx="214884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236220</xdr:colOff>
      <xdr:row>23</xdr:row>
      <xdr:rowOff>91440</xdr:rowOff>
    </xdr:from>
    <xdr:to>
      <xdr:col>11</xdr:col>
      <xdr:colOff>15240</xdr:colOff>
      <xdr:row>23</xdr:row>
      <xdr:rowOff>114300</xdr:rowOff>
    </xdr:to>
    <xdr:cxnSp macro="">
      <xdr:nvCxnSpPr>
        <xdr:cNvPr id="6" name="Straight Arrow Connector 5">
          <a:extLst>
            <a:ext uri="{FF2B5EF4-FFF2-40B4-BE49-F238E27FC236}">
              <a16:creationId xmlns:a16="http://schemas.microsoft.com/office/drawing/2014/main" id="{3A4D82A5-71B4-4A27-BDC6-8335BEFBF0B7}"/>
            </a:ext>
          </a:extLst>
        </xdr:cNvPr>
        <xdr:cNvCxnSpPr/>
      </xdr:nvCxnSpPr>
      <xdr:spPr>
        <a:xfrm flipH="1">
          <a:off x="11917680" y="4130040"/>
          <a:ext cx="217170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5DC9B-09F8-47F5-9B46-E35C9E9A00E8}">
  <sheetPr>
    <pageSetUpPr fitToPage="1"/>
  </sheetPr>
  <dimension ref="A1:J92"/>
  <sheetViews>
    <sheetView showGridLines="0" tabSelected="1" workbookViewId="0"/>
  </sheetViews>
  <sheetFormatPr baseColWidth="10" defaultColWidth="15.6640625" defaultRowHeight="14" x14ac:dyDescent="0.15"/>
  <cols>
    <col min="1" max="1" width="2.6640625" style="3" customWidth="1"/>
    <col min="2" max="2" width="40.6640625" style="6" customWidth="1"/>
    <col min="3" max="3" width="20.33203125" style="3" bestFit="1" customWidth="1"/>
    <col min="4" max="16384" width="15.6640625" style="3"/>
  </cols>
  <sheetData>
    <row r="1" spans="1:10" s="1" customFormat="1" x14ac:dyDescent="0.15">
      <c r="B1" s="6"/>
    </row>
    <row r="2" spans="1:10" s="1" customFormat="1" x14ac:dyDescent="0.15">
      <c r="B2" s="6"/>
    </row>
    <row r="3" spans="1:10" s="1" customFormat="1" x14ac:dyDescent="0.15">
      <c r="B3" s="6"/>
    </row>
    <row r="4" spans="1:10" s="1" customFormat="1" x14ac:dyDescent="0.15">
      <c r="B4" s="6"/>
    </row>
    <row r="5" spans="1:10" s="1" customFormat="1" x14ac:dyDescent="0.15">
      <c r="B5" s="6"/>
    </row>
    <row r="6" spans="1:10" s="1" customFormat="1" x14ac:dyDescent="0.15">
      <c r="B6" s="6"/>
    </row>
    <row r="7" spans="1:10" s="1" customFormat="1" x14ac:dyDescent="0.15">
      <c r="B7" s="6"/>
    </row>
    <row r="8" spans="1:10" s="1" customFormat="1" ht="21" x14ac:dyDescent="0.25">
      <c r="A8" s="10" t="s">
        <v>359</v>
      </c>
      <c r="B8" s="10"/>
      <c r="C8" s="10"/>
      <c r="D8" s="10"/>
      <c r="E8" s="10"/>
      <c r="F8" s="10"/>
      <c r="G8" s="10"/>
      <c r="H8" s="10"/>
      <c r="I8" s="10"/>
      <c r="J8" s="10"/>
    </row>
    <row r="9" spans="1:10" s="1" customFormat="1" x14ac:dyDescent="0.15">
      <c r="B9" s="6"/>
    </row>
    <row r="10" spans="1:10" ht="18" x14ac:dyDescent="0.2">
      <c r="B10" s="156"/>
      <c r="C10" s="2"/>
      <c r="D10" s="2"/>
      <c r="E10" s="2"/>
      <c r="F10" s="2"/>
      <c r="G10" s="2"/>
    </row>
    <row r="11" spans="1:10" ht="18" x14ac:dyDescent="0.2">
      <c r="B11" s="156"/>
      <c r="C11" s="2"/>
      <c r="D11" s="2"/>
      <c r="E11" s="2"/>
      <c r="F11" s="2"/>
      <c r="G11" s="2"/>
    </row>
    <row r="12" spans="1:10" ht="18" x14ac:dyDescent="0.2">
      <c r="B12" s="46" t="s">
        <v>125</v>
      </c>
      <c r="C12" s="43"/>
      <c r="D12" s="2"/>
      <c r="E12" s="2"/>
      <c r="F12" s="2"/>
      <c r="G12" s="2"/>
    </row>
    <row r="13" spans="1:10" ht="18" x14ac:dyDescent="0.2">
      <c r="B13" s="45" t="s">
        <v>123</v>
      </c>
      <c r="C13" s="44">
        <f>IF(B13=Revenue_Build_Up!B39,1,IF(B13=Revenue_Build_Up!B40,2,3))</f>
        <v>2</v>
      </c>
      <c r="D13" s="2"/>
      <c r="E13" s="2"/>
      <c r="F13" s="2"/>
      <c r="G13" s="2"/>
    </row>
    <row r="14" spans="1:10" ht="18" x14ac:dyDescent="0.2">
      <c r="B14" s="28"/>
      <c r="C14" s="2"/>
      <c r="D14" s="2"/>
      <c r="E14" s="2"/>
      <c r="F14" s="2"/>
      <c r="G14" s="2"/>
    </row>
    <row r="15" spans="1:10" ht="18" x14ac:dyDescent="0.2">
      <c r="B15" s="28"/>
      <c r="C15" s="2"/>
      <c r="D15" s="2"/>
      <c r="E15" s="2"/>
      <c r="F15" s="2"/>
      <c r="G15" s="2"/>
    </row>
    <row r="16" spans="1:10" ht="18" x14ac:dyDescent="0.2">
      <c r="B16" s="28"/>
      <c r="C16" s="2"/>
      <c r="D16" s="2"/>
      <c r="E16" s="2"/>
      <c r="F16" s="2"/>
      <c r="G16" s="2"/>
    </row>
    <row r="17" spans="2:10" x14ac:dyDescent="0.15">
      <c r="B17" s="47" t="s">
        <v>126</v>
      </c>
      <c r="C17" s="48"/>
    </row>
    <row r="18" spans="2:10" x14ac:dyDescent="0.15">
      <c r="B18" s="6" t="s">
        <v>120</v>
      </c>
      <c r="C18" s="126">
        <v>45488</v>
      </c>
    </row>
    <row r="19" spans="2:10" x14ac:dyDescent="0.15">
      <c r="B19" s="6" t="s">
        <v>136</v>
      </c>
      <c r="C19" s="121">
        <v>360</v>
      </c>
    </row>
    <row r="20" spans="2:10" x14ac:dyDescent="0.15">
      <c r="B20" s="6" t="s">
        <v>278</v>
      </c>
      <c r="C20" s="122">
        <v>6.9860000000000005E-2</v>
      </c>
    </row>
    <row r="21" spans="2:10" x14ac:dyDescent="0.15">
      <c r="B21" s="6" t="s">
        <v>124</v>
      </c>
      <c r="C21" s="122">
        <v>4.2000000000000003E-2</v>
      </c>
    </row>
    <row r="22" spans="2:10" x14ac:dyDescent="0.15">
      <c r="B22" s="6" t="s">
        <v>130</v>
      </c>
      <c r="C22" s="123">
        <v>0.04</v>
      </c>
    </row>
    <row r="23" spans="2:10" x14ac:dyDescent="0.15">
      <c r="B23" s="6" t="s">
        <v>131</v>
      </c>
      <c r="C23" s="123">
        <v>0.04</v>
      </c>
    </row>
    <row r="24" spans="2:10" x14ac:dyDescent="0.15">
      <c r="B24" s="6" t="s">
        <v>148</v>
      </c>
      <c r="C24" s="124">
        <v>800000000</v>
      </c>
    </row>
    <row r="25" spans="2:10" x14ac:dyDescent="0.15">
      <c r="B25" s="6" t="s">
        <v>284</v>
      </c>
      <c r="C25" s="125">
        <v>1038.45</v>
      </c>
    </row>
    <row r="26" spans="2:10" x14ac:dyDescent="0.15">
      <c r="B26" s="6" t="s">
        <v>289</v>
      </c>
      <c r="C26" s="122">
        <v>0.06</v>
      </c>
    </row>
    <row r="32" spans="2:10" ht="17" x14ac:dyDescent="0.2">
      <c r="B32" s="127" t="s">
        <v>299</v>
      </c>
      <c r="C32" s="128" t="s">
        <v>300</v>
      </c>
      <c r="D32" s="127" t="s">
        <v>301</v>
      </c>
      <c r="E32" s="128" t="s">
        <v>302</v>
      </c>
      <c r="F32" s="128"/>
      <c r="G32" s="128"/>
      <c r="H32" s="128"/>
      <c r="I32" s="128"/>
      <c r="J32" s="128"/>
    </row>
    <row r="33" spans="2:10" x14ac:dyDescent="0.15">
      <c r="B33" s="152" t="s">
        <v>110</v>
      </c>
      <c r="C33" s="155" t="s">
        <v>303</v>
      </c>
      <c r="D33" s="152" t="s">
        <v>304</v>
      </c>
      <c r="E33" s="154" t="s">
        <v>305</v>
      </c>
      <c r="F33" s="154"/>
      <c r="G33" s="154"/>
      <c r="H33" s="154"/>
      <c r="I33" s="154"/>
      <c r="J33" s="154"/>
    </row>
    <row r="34" spans="2:10" x14ac:dyDescent="0.15">
      <c r="B34" s="152"/>
      <c r="C34" s="155"/>
      <c r="D34" s="152"/>
      <c r="E34" s="154"/>
      <c r="F34" s="154"/>
      <c r="G34" s="154"/>
      <c r="H34" s="154"/>
      <c r="I34" s="154"/>
      <c r="J34" s="154"/>
    </row>
    <row r="35" spans="2:10" x14ac:dyDescent="0.15">
      <c r="B35" s="152"/>
      <c r="C35" s="155"/>
      <c r="D35" s="152"/>
      <c r="E35" s="154"/>
      <c r="F35" s="154"/>
      <c r="G35" s="154"/>
      <c r="H35" s="154"/>
      <c r="I35" s="154"/>
      <c r="J35" s="154"/>
    </row>
    <row r="36" spans="2:10" x14ac:dyDescent="0.15">
      <c r="B36" s="152" t="s">
        <v>111</v>
      </c>
      <c r="C36" s="155" t="s">
        <v>303</v>
      </c>
      <c r="D36" s="155" t="s">
        <v>306</v>
      </c>
      <c r="E36" s="154" t="s">
        <v>307</v>
      </c>
      <c r="F36" s="154"/>
      <c r="G36" s="154"/>
      <c r="H36" s="154"/>
      <c r="I36" s="154"/>
      <c r="J36" s="154"/>
    </row>
    <row r="37" spans="2:10" x14ac:dyDescent="0.15">
      <c r="B37" s="152"/>
      <c r="C37" s="155"/>
      <c r="D37" s="155"/>
      <c r="E37" s="154"/>
      <c r="F37" s="154"/>
      <c r="G37" s="154"/>
      <c r="H37" s="154"/>
      <c r="I37" s="154"/>
      <c r="J37" s="154"/>
    </row>
    <row r="38" spans="2:10" x14ac:dyDescent="0.15">
      <c r="B38" s="152"/>
      <c r="C38" s="155"/>
      <c r="D38" s="155"/>
      <c r="E38" s="154"/>
      <c r="F38" s="154"/>
      <c r="G38" s="154"/>
      <c r="H38" s="154"/>
      <c r="I38" s="154"/>
      <c r="J38" s="154"/>
    </row>
    <row r="39" spans="2:10" x14ac:dyDescent="0.15">
      <c r="B39" s="152" t="s">
        <v>114</v>
      </c>
      <c r="C39" s="155" t="s">
        <v>303</v>
      </c>
      <c r="D39" s="155" t="s">
        <v>309</v>
      </c>
      <c r="E39" s="154" t="s">
        <v>308</v>
      </c>
      <c r="F39" s="154"/>
      <c r="G39" s="154"/>
      <c r="H39" s="154"/>
      <c r="I39" s="154"/>
      <c r="J39" s="154"/>
    </row>
    <row r="40" spans="2:10" x14ac:dyDescent="0.15">
      <c r="B40" s="152"/>
      <c r="C40" s="155"/>
      <c r="D40" s="155"/>
      <c r="E40" s="154"/>
      <c r="F40" s="154"/>
      <c r="G40" s="154"/>
      <c r="H40" s="154"/>
      <c r="I40" s="154"/>
      <c r="J40" s="154"/>
    </row>
    <row r="41" spans="2:10" x14ac:dyDescent="0.15">
      <c r="B41" s="152"/>
      <c r="C41" s="155"/>
      <c r="D41" s="155"/>
      <c r="E41" s="154"/>
      <c r="F41" s="154"/>
      <c r="G41" s="154"/>
      <c r="H41" s="154"/>
      <c r="I41" s="154"/>
      <c r="J41" s="154"/>
    </row>
    <row r="42" spans="2:10" x14ac:dyDescent="0.15">
      <c r="B42" s="152" t="s">
        <v>115</v>
      </c>
      <c r="C42" s="155" t="s">
        <v>303</v>
      </c>
      <c r="D42" s="155" t="s">
        <v>311</v>
      </c>
      <c r="E42" s="154" t="s">
        <v>310</v>
      </c>
      <c r="F42" s="154"/>
      <c r="G42" s="154"/>
      <c r="H42" s="154"/>
      <c r="I42" s="154"/>
      <c r="J42" s="154"/>
    </row>
    <row r="43" spans="2:10" x14ac:dyDescent="0.15">
      <c r="B43" s="152"/>
      <c r="C43" s="155"/>
      <c r="D43" s="155"/>
      <c r="E43" s="154"/>
      <c r="F43" s="154"/>
      <c r="G43" s="154"/>
      <c r="H43" s="154"/>
      <c r="I43" s="154"/>
      <c r="J43" s="154"/>
    </row>
    <row r="44" spans="2:10" x14ac:dyDescent="0.15">
      <c r="B44" s="152"/>
      <c r="C44" s="155"/>
      <c r="D44" s="155"/>
      <c r="E44" s="154"/>
      <c r="F44" s="154"/>
      <c r="G44" s="154"/>
      <c r="H44" s="154"/>
      <c r="I44" s="154"/>
      <c r="J44" s="154"/>
    </row>
    <row r="45" spans="2:10" x14ac:dyDescent="0.15">
      <c r="B45" s="152" t="s">
        <v>116</v>
      </c>
      <c r="C45" s="155" t="s">
        <v>303</v>
      </c>
      <c r="D45" s="152" t="s">
        <v>313</v>
      </c>
      <c r="E45" s="154" t="s">
        <v>312</v>
      </c>
      <c r="F45" s="154"/>
      <c r="G45" s="154"/>
      <c r="H45" s="154"/>
      <c r="I45" s="154"/>
      <c r="J45" s="154"/>
    </row>
    <row r="46" spans="2:10" x14ac:dyDescent="0.15">
      <c r="B46" s="152"/>
      <c r="C46" s="155"/>
      <c r="D46" s="152"/>
      <c r="E46" s="154"/>
      <c r="F46" s="154"/>
      <c r="G46" s="154"/>
      <c r="H46" s="154"/>
      <c r="I46" s="154"/>
      <c r="J46" s="154"/>
    </row>
    <row r="47" spans="2:10" x14ac:dyDescent="0.15">
      <c r="B47" s="152"/>
      <c r="C47" s="155"/>
      <c r="D47" s="152"/>
      <c r="E47" s="154"/>
      <c r="F47" s="154"/>
      <c r="G47" s="154"/>
      <c r="H47" s="154"/>
      <c r="I47" s="154"/>
      <c r="J47" s="154"/>
    </row>
    <row r="48" spans="2:10" x14ac:dyDescent="0.15">
      <c r="B48" s="152" t="s">
        <v>17</v>
      </c>
      <c r="C48" s="155" t="s">
        <v>303</v>
      </c>
      <c r="D48" s="152" t="s">
        <v>315</v>
      </c>
      <c r="E48" s="154" t="s">
        <v>314</v>
      </c>
      <c r="F48" s="154"/>
      <c r="G48" s="154"/>
      <c r="H48" s="154"/>
      <c r="I48" s="154"/>
      <c r="J48" s="154"/>
    </row>
    <row r="49" spans="2:10" x14ac:dyDescent="0.15">
      <c r="B49" s="152"/>
      <c r="C49" s="155"/>
      <c r="D49" s="152"/>
      <c r="E49" s="154"/>
      <c r="F49" s="154"/>
      <c r="G49" s="154"/>
      <c r="H49" s="154"/>
      <c r="I49" s="154"/>
      <c r="J49" s="154"/>
    </row>
    <row r="50" spans="2:10" x14ac:dyDescent="0.15">
      <c r="B50" s="152"/>
      <c r="C50" s="155"/>
      <c r="D50" s="152"/>
      <c r="E50" s="154"/>
      <c r="F50" s="154"/>
      <c r="G50" s="154"/>
      <c r="H50" s="154"/>
      <c r="I50" s="154"/>
      <c r="J50" s="154"/>
    </row>
    <row r="51" spans="2:10" x14ac:dyDescent="0.15">
      <c r="B51" s="155" t="s">
        <v>319</v>
      </c>
      <c r="C51" s="155" t="s">
        <v>317</v>
      </c>
      <c r="D51" s="155" t="s">
        <v>318</v>
      </c>
      <c r="E51" s="154" t="s">
        <v>316</v>
      </c>
      <c r="F51" s="154"/>
      <c r="G51" s="154"/>
      <c r="H51" s="154"/>
      <c r="I51" s="154"/>
      <c r="J51" s="154"/>
    </row>
    <row r="52" spans="2:10" x14ac:dyDescent="0.15">
      <c r="B52" s="155"/>
      <c r="C52" s="155"/>
      <c r="D52" s="155"/>
      <c r="E52" s="154"/>
      <c r="F52" s="154"/>
      <c r="G52" s="154"/>
      <c r="H52" s="154"/>
      <c r="I52" s="154"/>
      <c r="J52" s="154"/>
    </row>
    <row r="53" spans="2:10" x14ac:dyDescent="0.15">
      <c r="B53" s="155"/>
      <c r="C53" s="155"/>
      <c r="D53" s="155"/>
      <c r="E53" s="154"/>
      <c r="F53" s="154"/>
      <c r="G53" s="154"/>
      <c r="H53" s="154"/>
      <c r="I53" s="154"/>
      <c r="J53" s="154"/>
    </row>
    <row r="54" spans="2:10" x14ac:dyDescent="0.15">
      <c r="B54" s="155" t="s">
        <v>321</v>
      </c>
      <c r="C54" s="155" t="s">
        <v>317</v>
      </c>
      <c r="D54" s="155" t="s">
        <v>324</v>
      </c>
      <c r="E54" s="154" t="s">
        <v>320</v>
      </c>
      <c r="F54" s="154"/>
      <c r="G54" s="154"/>
      <c r="H54" s="154"/>
      <c r="I54" s="154"/>
      <c r="J54" s="154"/>
    </row>
    <row r="55" spans="2:10" x14ac:dyDescent="0.15">
      <c r="B55" s="155"/>
      <c r="C55" s="155"/>
      <c r="D55" s="155"/>
      <c r="E55" s="154"/>
      <c r="F55" s="154"/>
      <c r="G55" s="154"/>
      <c r="H55" s="154"/>
      <c r="I55" s="154"/>
      <c r="J55" s="154"/>
    </row>
    <row r="56" spans="2:10" x14ac:dyDescent="0.15">
      <c r="B56" s="155"/>
      <c r="C56" s="155"/>
      <c r="D56" s="155"/>
      <c r="E56" s="154"/>
      <c r="F56" s="154"/>
      <c r="G56" s="154"/>
      <c r="H56" s="154"/>
      <c r="I56" s="154"/>
      <c r="J56" s="154"/>
    </row>
    <row r="57" spans="2:10" x14ac:dyDescent="0.15">
      <c r="B57" s="152" t="s">
        <v>8</v>
      </c>
      <c r="C57" s="155" t="s">
        <v>317</v>
      </c>
      <c r="D57" s="152" t="s">
        <v>323</v>
      </c>
      <c r="E57" s="154" t="s">
        <v>322</v>
      </c>
      <c r="F57" s="154"/>
      <c r="G57" s="154"/>
      <c r="H57" s="154"/>
      <c r="I57" s="154"/>
      <c r="J57" s="154"/>
    </row>
    <row r="58" spans="2:10" x14ac:dyDescent="0.15">
      <c r="B58" s="152"/>
      <c r="C58" s="155"/>
      <c r="D58" s="152"/>
      <c r="E58" s="154"/>
      <c r="F58" s="154"/>
      <c r="G58" s="154"/>
      <c r="H58" s="154"/>
      <c r="I58" s="154"/>
      <c r="J58" s="154"/>
    </row>
    <row r="59" spans="2:10" x14ac:dyDescent="0.15">
      <c r="B59" s="152"/>
      <c r="C59" s="155"/>
      <c r="D59" s="152"/>
      <c r="E59" s="154"/>
      <c r="F59" s="154"/>
      <c r="G59" s="154"/>
      <c r="H59" s="154"/>
      <c r="I59" s="154"/>
      <c r="J59" s="154"/>
    </row>
    <row r="60" spans="2:10" x14ac:dyDescent="0.15">
      <c r="B60" s="152" t="s">
        <v>9</v>
      </c>
      <c r="C60" s="155" t="s">
        <v>317</v>
      </c>
      <c r="D60" s="152" t="s">
        <v>325</v>
      </c>
      <c r="E60" s="154" t="s">
        <v>352</v>
      </c>
      <c r="F60" s="154"/>
      <c r="G60" s="154"/>
      <c r="H60" s="154"/>
      <c r="I60" s="154"/>
      <c r="J60" s="154"/>
    </row>
    <row r="61" spans="2:10" x14ac:dyDescent="0.15">
      <c r="B61" s="152"/>
      <c r="C61" s="155"/>
      <c r="D61" s="152"/>
      <c r="E61" s="154"/>
      <c r="F61" s="154"/>
      <c r="G61" s="154"/>
      <c r="H61" s="154"/>
      <c r="I61" s="154"/>
      <c r="J61" s="154"/>
    </row>
    <row r="62" spans="2:10" x14ac:dyDescent="0.15">
      <c r="B62" s="152"/>
      <c r="C62" s="155"/>
      <c r="D62" s="152"/>
      <c r="E62" s="154"/>
      <c r="F62" s="154"/>
      <c r="G62" s="154"/>
      <c r="H62" s="154"/>
      <c r="I62" s="154"/>
      <c r="J62" s="154"/>
    </row>
    <row r="63" spans="2:10" x14ac:dyDescent="0.15">
      <c r="B63" s="152" t="s">
        <v>329</v>
      </c>
      <c r="C63" s="155" t="s">
        <v>317</v>
      </c>
      <c r="D63" s="154" t="s">
        <v>327</v>
      </c>
      <c r="E63" s="154" t="s">
        <v>326</v>
      </c>
      <c r="F63" s="154"/>
      <c r="G63" s="154"/>
      <c r="H63" s="154"/>
      <c r="I63" s="154"/>
      <c r="J63" s="154"/>
    </row>
    <row r="64" spans="2:10" x14ac:dyDescent="0.15">
      <c r="B64" s="152"/>
      <c r="C64" s="155"/>
      <c r="D64" s="154"/>
      <c r="E64" s="154"/>
      <c r="F64" s="154"/>
      <c r="G64" s="154"/>
      <c r="H64" s="154"/>
      <c r="I64" s="154"/>
      <c r="J64" s="154"/>
    </row>
    <row r="65" spans="2:10" x14ac:dyDescent="0.15">
      <c r="B65" s="152"/>
      <c r="C65" s="155"/>
      <c r="D65" s="154"/>
      <c r="E65" s="154"/>
      <c r="F65" s="154"/>
      <c r="G65" s="154"/>
      <c r="H65" s="154"/>
      <c r="I65" s="154"/>
      <c r="J65" s="154"/>
    </row>
    <row r="66" spans="2:10" x14ac:dyDescent="0.15">
      <c r="B66" s="155" t="s">
        <v>330</v>
      </c>
      <c r="C66" s="155" t="s">
        <v>317</v>
      </c>
      <c r="D66" s="154" t="s">
        <v>331</v>
      </c>
      <c r="E66" s="154" t="s">
        <v>328</v>
      </c>
      <c r="F66" s="154"/>
      <c r="G66" s="154"/>
      <c r="H66" s="154"/>
      <c r="I66" s="154"/>
      <c r="J66" s="154"/>
    </row>
    <row r="67" spans="2:10" x14ac:dyDescent="0.15">
      <c r="B67" s="155"/>
      <c r="C67" s="155"/>
      <c r="D67" s="154"/>
      <c r="E67" s="154"/>
      <c r="F67" s="154"/>
      <c r="G67" s="154"/>
      <c r="H67" s="154"/>
      <c r="I67" s="154"/>
      <c r="J67" s="154"/>
    </row>
    <row r="68" spans="2:10" x14ac:dyDescent="0.15">
      <c r="B68" s="155"/>
      <c r="C68" s="155"/>
      <c r="D68" s="154"/>
      <c r="E68" s="154"/>
      <c r="F68" s="154"/>
      <c r="G68" s="154"/>
      <c r="H68" s="154"/>
      <c r="I68" s="154"/>
      <c r="J68" s="154"/>
    </row>
    <row r="69" spans="2:10" x14ac:dyDescent="0.15">
      <c r="B69" s="155" t="s">
        <v>129</v>
      </c>
      <c r="C69" s="155" t="s">
        <v>317</v>
      </c>
      <c r="D69" s="153" t="s">
        <v>332</v>
      </c>
      <c r="E69" s="154" t="s">
        <v>333</v>
      </c>
      <c r="F69" s="154"/>
      <c r="G69" s="154"/>
      <c r="H69" s="154"/>
      <c r="I69" s="154"/>
      <c r="J69" s="154"/>
    </row>
    <row r="70" spans="2:10" x14ac:dyDescent="0.15">
      <c r="B70" s="155"/>
      <c r="C70" s="155"/>
      <c r="D70" s="153"/>
      <c r="E70" s="154"/>
      <c r="F70" s="154"/>
      <c r="G70" s="154"/>
      <c r="H70" s="154"/>
      <c r="I70" s="154"/>
      <c r="J70" s="154"/>
    </row>
    <row r="71" spans="2:10" x14ac:dyDescent="0.15">
      <c r="B71" s="155"/>
      <c r="C71" s="155"/>
      <c r="D71" s="153"/>
      <c r="E71" s="154"/>
      <c r="F71" s="154"/>
      <c r="G71" s="154"/>
      <c r="H71" s="154"/>
      <c r="I71" s="154"/>
      <c r="J71" s="154"/>
    </row>
    <row r="72" spans="2:10" x14ac:dyDescent="0.15">
      <c r="B72" s="152" t="s">
        <v>334</v>
      </c>
      <c r="C72" s="152" t="s">
        <v>335</v>
      </c>
      <c r="D72" s="153"/>
      <c r="E72" s="154" t="s">
        <v>336</v>
      </c>
      <c r="F72" s="154"/>
      <c r="G72" s="154"/>
      <c r="H72" s="154"/>
      <c r="I72" s="154"/>
      <c r="J72" s="154"/>
    </row>
    <row r="73" spans="2:10" x14ac:dyDescent="0.15">
      <c r="B73" s="152"/>
      <c r="C73" s="152"/>
      <c r="D73" s="153"/>
      <c r="E73" s="154"/>
      <c r="F73" s="154"/>
      <c r="G73" s="154"/>
      <c r="H73" s="154"/>
      <c r="I73" s="154"/>
      <c r="J73" s="154"/>
    </row>
    <row r="74" spans="2:10" x14ac:dyDescent="0.15">
      <c r="B74" s="152"/>
      <c r="C74" s="152"/>
      <c r="D74" s="153"/>
      <c r="E74" s="154"/>
      <c r="F74" s="154"/>
      <c r="G74" s="154"/>
      <c r="H74" s="154"/>
      <c r="I74" s="154"/>
      <c r="J74" s="154"/>
    </row>
    <row r="75" spans="2:10" x14ac:dyDescent="0.15">
      <c r="B75" s="155" t="s">
        <v>337</v>
      </c>
      <c r="C75" s="152" t="s">
        <v>335</v>
      </c>
      <c r="D75" s="153"/>
      <c r="E75" s="154" t="s">
        <v>338</v>
      </c>
      <c r="F75" s="154"/>
      <c r="G75" s="154"/>
      <c r="H75" s="154"/>
      <c r="I75" s="154"/>
      <c r="J75" s="154"/>
    </row>
    <row r="76" spans="2:10" x14ac:dyDescent="0.15">
      <c r="B76" s="155"/>
      <c r="C76" s="152"/>
      <c r="D76" s="153"/>
      <c r="E76" s="154"/>
      <c r="F76" s="154"/>
      <c r="G76" s="154"/>
      <c r="H76" s="154"/>
      <c r="I76" s="154"/>
      <c r="J76" s="154"/>
    </row>
    <row r="77" spans="2:10" x14ac:dyDescent="0.15">
      <c r="B77" s="155"/>
      <c r="C77" s="152"/>
      <c r="D77" s="153"/>
      <c r="E77" s="154"/>
      <c r="F77" s="154"/>
      <c r="G77" s="154"/>
      <c r="H77" s="154"/>
      <c r="I77" s="154"/>
      <c r="J77" s="154"/>
    </row>
    <row r="78" spans="2:10" x14ac:dyDescent="0.15">
      <c r="B78" s="152" t="s">
        <v>339</v>
      </c>
      <c r="C78" s="152" t="s">
        <v>335</v>
      </c>
      <c r="D78" s="153" t="s">
        <v>341</v>
      </c>
      <c r="E78" s="154" t="s">
        <v>340</v>
      </c>
      <c r="F78" s="154"/>
      <c r="G78" s="154"/>
      <c r="H78" s="154"/>
      <c r="I78" s="154"/>
      <c r="J78" s="154"/>
    </row>
    <row r="79" spans="2:10" x14ac:dyDescent="0.15">
      <c r="B79" s="152"/>
      <c r="C79" s="152"/>
      <c r="D79" s="153"/>
      <c r="E79" s="154"/>
      <c r="F79" s="154"/>
      <c r="G79" s="154"/>
      <c r="H79" s="154"/>
      <c r="I79" s="154"/>
      <c r="J79" s="154"/>
    </row>
    <row r="80" spans="2:10" x14ac:dyDescent="0.15">
      <c r="B80" s="152"/>
      <c r="C80" s="152"/>
      <c r="D80" s="153"/>
      <c r="E80" s="154"/>
      <c r="F80" s="154"/>
      <c r="G80" s="154"/>
      <c r="H80" s="154"/>
      <c r="I80" s="154"/>
      <c r="J80" s="154"/>
    </row>
    <row r="81" spans="1:10" x14ac:dyDescent="0.15">
      <c r="B81" s="155" t="s">
        <v>342</v>
      </c>
      <c r="C81" s="152" t="s">
        <v>343</v>
      </c>
      <c r="D81" s="154" t="s">
        <v>344</v>
      </c>
      <c r="E81" s="154" t="s">
        <v>353</v>
      </c>
      <c r="F81" s="154"/>
      <c r="G81" s="154"/>
      <c r="H81" s="154"/>
      <c r="I81" s="154"/>
      <c r="J81" s="154"/>
    </row>
    <row r="82" spans="1:10" x14ac:dyDescent="0.15">
      <c r="B82" s="155"/>
      <c r="C82" s="152"/>
      <c r="D82" s="154"/>
      <c r="E82" s="154"/>
      <c r="F82" s="154"/>
      <c r="G82" s="154"/>
      <c r="H82" s="154"/>
      <c r="I82" s="154"/>
      <c r="J82" s="154"/>
    </row>
    <row r="83" spans="1:10" x14ac:dyDescent="0.15">
      <c r="B83" s="155"/>
      <c r="C83" s="152"/>
      <c r="D83" s="154"/>
      <c r="E83" s="154"/>
      <c r="F83" s="154"/>
      <c r="G83" s="154"/>
      <c r="H83" s="154"/>
      <c r="I83" s="154"/>
      <c r="J83" s="154"/>
    </row>
    <row r="84" spans="1:10" x14ac:dyDescent="0.15">
      <c r="B84" s="152" t="s">
        <v>346</v>
      </c>
      <c r="C84" s="152" t="s">
        <v>347</v>
      </c>
      <c r="D84" s="154" t="s">
        <v>348</v>
      </c>
      <c r="E84" s="154" t="s">
        <v>345</v>
      </c>
      <c r="F84" s="154"/>
      <c r="G84" s="154"/>
      <c r="H84" s="154"/>
      <c r="I84" s="154"/>
      <c r="J84" s="154"/>
    </row>
    <row r="85" spans="1:10" x14ac:dyDescent="0.15">
      <c r="B85" s="152"/>
      <c r="C85" s="152"/>
      <c r="D85" s="154"/>
      <c r="E85" s="154"/>
      <c r="F85" s="154"/>
      <c r="G85" s="154"/>
      <c r="H85" s="154"/>
      <c r="I85" s="154"/>
      <c r="J85" s="154"/>
    </row>
    <row r="86" spans="1:10" x14ac:dyDescent="0.15">
      <c r="B86" s="152"/>
      <c r="C86" s="152"/>
      <c r="D86" s="154"/>
      <c r="E86" s="154"/>
      <c r="F86" s="154"/>
      <c r="G86" s="154"/>
      <c r="H86" s="154"/>
      <c r="I86" s="154"/>
      <c r="J86" s="154"/>
    </row>
    <row r="87" spans="1:10" x14ac:dyDescent="0.15">
      <c r="B87" s="152" t="s">
        <v>349</v>
      </c>
      <c r="C87" s="152" t="s">
        <v>350</v>
      </c>
      <c r="D87" s="153" t="s">
        <v>331</v>
      </c>
      <c r="E87" s="154" t="s">
        <v>351</v>
      </c>
      <c r="F87" s="154"/>
      <c r="G87" s="154"/>
      <c r="H87" s="154"/>
      <c r="I87" s="154"/>
      <c r="J87" s="154"/>
    </row>
    <row r="88" spans="1:10" x14ac:dyDescent="0.15">
      <c r="B88" s="152"/>
      <c r="C88" s="152"/>
      <c r="D88" s="153"/>
      <c r="E88" s="154"/>
      <c r="F88" s="154"/>
      <c r="G88" s="154"/>
      <c r="H88" s="154"/>
      <c r="I88" s="154"/>
      <c r="J88" s="154"/>
    </row>
    <row r="89" spans="1:10" x14ac:dyDescent="0.15">
      <c r="B89" s="152"/>
      <c r="C89" s="152"/>
      <c r="D89" s="153"/>
      <c r="E89" s="154"/>
      <c r="F89" s="154"/>
      <c r="G89" s="154"/>
      <c r="H89" s="154"/>
      <c r="I89" s="154"/>
      <c r="J89" s="154"/>
    </row>
    <row r="92" spans="1:10" ht="21" x14ac:dyDescent="0.25">
      <c r="A92" s="10"/>
      <c r="B92" s="10"/>
      <c r="C92" s="10"/>
      <c r="D92" s="10"/>
      <c r="E92" s="10"/>
      <c r="F92" s="10"/>
      <c r="G92" s="10"/>
      <c r="H92" s="10"/>
      <c r="I92" s="10"/>
      <c r="J92" s="10"/>
    </row>
  </sheetData>
  <mergeCells count="77">
    <mergeCell ref="B10:B11"/>
    <mergeCell ref="B33:B35"/>
    <mergeCell ref="C33:C35"/>
    <mergeCell ref="D33:D35"/>
    <mergeCell ref="E33:J35"/>
    <mergeCell ref="B36:B38"/>
    <mergeCell ref="C36:C38"/>
    <mergeCell ref="D36:D38"/>
    <mergeCell ref="E36:J38"/>
    <mergeCell ref="B39:B41"/>
    <mergeCell ref="C39:C41"/>
    <mergeCell ref="D39:D41"/>
    <mergeCell ref="E39:J41"/>
    <mergeCell ref="B42:B44"/>
    <mergeCell ref="C42:C44"/>
    <mergeCell ref="D42:D44"/>
    <mergeCell ref="E42:J44"/>
    <mergeCell ref="B45:B47"/>
    <mergeCell ref="C45:C47"/>
    <mergeCell ref="D45:D47"/>
    <mergeCell ref="E45:J47"/>
    <mergeCell ref="B48:B50"/>
    <mergeCell ref="C48:C50"/>
    <mergeCell ref="D48:D50"/>
    <mergeCell ref="E48:J50"/>
    <mergeCell ref="B51:B53"/>
    <mergeCell ref="C51:C53"/>
    <mergeCell ref="D51:D53"/>
    <mergeCell ref="E51:J53"/>
    <mergeCell ref="B54:B56"/>
    <mergeCell ref="C54:C56"/>
    <mergeCell ref="D54:D56"/>
    <mergeCell ref="E54:J56"/>
    <mergeCell ref="B57:B59"/>
    <mergeCell ref="C57:C59"/>
    <mergeCell ref="D57:D59"/>
    <mergeCell ref="E57:J59"/>
    <mergeCell ref="B60:B62"/>
    <mergeCell ref="C60:C62"/>
    <mergeCell ref="D60:D62"/>
    <mergeCell ref="E60:J62"/>
    <mergeCell ref="B63:B65"/>
    <mergeCell ref="C63:C65"/>
    <mergeCell ref="D63:D65"/>
    <mergeCell ref="E63:J65"/>
    <mergeCell ref="B66:B68"/>
    <mergeCell ref="C66:C68"/>
    <mergeCell ref="D66:D68"/>
    <mergeCell ref="E66:J68"/>
    <mergeCell ref="B69:B71"/>
    <mergeCell ref="C69:C71"/>
    <mergeCell ref="D69:D71"/>
    <mergeCell ref="E69:J71"/>
    <mergeCell ref="B87:B89"/>
    <mergeCell ref="C87:C89"/>
    <mergeCell ref="D87:D89"/>
    <mergeCell ref="E87:J89"/>
    <mergeCell ref="B78:B80"/>
    <mergeCell ref="C78:C80"/>
    <mergeCell ref="D78:D80"/>
    <mergeCell ref="E78:J80"/>
    <mergeCell ref="B81:B83"/>
    <mergeCell ref="C81:C83"/>
    <mergeCell ref="D81:D83"/>
    <mergeCell ref="E81:J83"/>
    <mergeCell ref="B84:B86"/>
    <mergeCell ref="C84:C86"/>
    <mergeCell ref="D84:D86"/>
    <mergeCell ref="E84:J86"/>
    <mergeCell ref="B72:B74"/>
    <mergeCell ref="C72:C74"/>
    <mergeCell ref="D72:D74"/>
    <mergeCell ref="E72:J74"/>
    <mergeCell ref="B75:B77"/>
    <mergeCell ref="C75:C77"/>
    <mergeCell ref="D75:D77"/>
    <mergeCell ref="E75:J77"/>
  </mergeCells>
  <pageMargins left="0.7" right="0.7" top="0.75" bottom="0.75" header="0.3" footer="0.3"/>
  <pageSetup scale="48"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15FDC5A-B499-4D3F-9455-9F920A681F98}">
          <x14:formula1>
            <xm:f>Revenue_Build_Up!$B$39:$B$41</xm:f>
          </x14:formula1>
          <xm:sqref>B13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CA819-3F6F-4025-A4EA-1AD1FD700BEB}">
  <sheetPr>
    <tabColor theme="9" tint="0.79998168889431442"/>
    <pageSetUpPr fitToPage="1"/>
  </sheetPr>
  <dimension ref="A1:G53"/>
  <sheetViews>
    <sheetView showGridLines="0" workbookViewId="0">
      <pane xSplit="2" ySplit="12" topLeftCell="C13" activePane="bottomRight" state="frozen"/>
      <selection pane="topRight" activeCell="C1" sqref="C1"/>
      <selection pane="bottomLeft" activeCell="A12" sqref="A12"/>
      <selection pane="bottomRight"/>
    </sheetView>
  </sheetViews>
  <sheetFormatPr baseColWidth="10" defaultColWidth="15.6640625" defaultRowHeight="14" x14ac:dyDescent="0.15"/>
  <cols>
    <col min="1" max="1" width="2.6640625" style="3" customWidth="1"/>
    <col min="2" max="2" width="40.6640625" style="6" customWidth="1"/>
    <col min="3" max="16384" width="15.6640625" style="3"/>
  </cols>
  <sheetData>
    <row r="1" spans="1:7" s="1" customFormat="1" x14ac:dyDescent="0.15"/>
    <row r="2" spans="1:7" s="1" customFormat="1" x14ac:dyDescent="0.15"/>
    <row r="3" spans="1:7" s="1" customFormat="1" x14ac:dyDescent="0.15"/>
    <row r="4" spans="1:7" s="1" customFormat="1" x14ac:dyDescent="0.15"/>
    <row r="5" spans="1:7" s="1" customFormat="1" x14ac:dyDescent="0.15"/>
    <row r="6" spans="1:7" s="1" customFormat="1" x14ac:dyDescent="0.15"/>
    <row r="7" spans="1:7" s="1" customFormat="1" x14ac:dyDescent="0.15">
      <c r="G7" s="11"/>
    </row>
    <row r="8" spans="1:7" s="1" customFormat="1" ht="21" x14ac:dyDescent="0.25">
      <c r="A8" s="10" t="s">
        <v>359</v>
      </c>
      <c r="B8" s="10"/>
      <c r="C8" s="10"/>
      <c r="D8" s="10"/>
      <c r="E8" s="10"/>
      <c r="F8" s="10"/>
      <c r="G8" s="10"/>
    </row>
    <row r="9" spans="1:7" s="1" customFormat="1" ht="21" x14ac:dyDescent="0.25">
      <c r="A9" s="10" t="s">
        <v>107</v>
      </c>
      <c r="B9" s="10"/>
      <c r="C9" s="10"/>
      <c r="D9" s="10"/>
      <c r="E9" s="10"/>
      <c r="F9" s="10"/>
      <c r="G9" s="10"/>
    </row>
    <row r="10" spans="1:7" s="1" customFormat="1" x14ac:dyDescent="0.15"/>
    <row r="11" spans="1:7" ht="18" x14ac:dyDescent="0.2">
      <c r="B11" s="157" t="s">
        <v>0</v>
      </c>
      <c r="C11" s="5">
        <v>2020</v>
      </c>
      <c r="D11" s="5">
        <v>2021</v>
      </c>
      <c r="E11" s="5">
        <v>2022</v>
      </c>
      <c r="F11" s="5">
        <v>2023</v>
      </c>
      <c r="G11" s="5">
        <v>2024</v>
      </c>
    </row>
    <row r="12" spans="1:7" ht="18" x14ac:dyDescent="0.2">
      <c r="B12" s="157"/>
      <c r="C12" s="4" t="s">
        <v>1</v>
      </c>
      <c r="D12" s="4" t="s">
        <v>1</v>
      </c>
      <c r="E12" s="4" t="s">
        <v>1</v>
      </c>
      <c r="F12" s="4" t="s">
        <v>1</v>
      </c>
      <c r="G12" s="4" t="s">
        <v>1</v>
      </c>
    </row>
    <row r="13" spans="1:7" x14ac:dyDescent="0.15">
      <c r="B13" s="3"/>
    </row>
    <row r="14" spans="1:7" x14ac:dyDescent="0.15">
      <c r="B14" s="15" t="s">
        <v>2</v>
      </c>
      <c r="C14" s="16">
        <v>226431.37</v>
      </c>
      <c r="D14" s="16">
        <v>77665.77</v>
      </c>
      <c r="E14" s="16">
        <v>187857.44</v>
      </c>
      <c r="F14" s="16">
        <v>354147.29</v>
      </c>
      <c r="G14" s="16">
        <v>427017.85</v>
      </c>
    </row>
    <row r="15" spans="1:7" x14ac:dyDescent="0.15">
      <c r="C15" s="13"/>
      <c r="D15" s="13"/>
      <c r="E15" s="13"/>
      <c r="F15" s="13"/>
      <c r="G15" s="13"/>
    </row>
    <row r="16" spans="1:7" x14ac:dyDescent="0.15">
      <c r="B16" s="15" t="s">
        <v>128</v>
      </c>
      <c r="C16" s="13"/>
      <c r="D16" s="13"/>
      <c r="E16" s="13"/>
      <c r="F16" s="13"/>
      <c r="G16" s="13"/>
    </row>
    <row r="17" spans="2:7" x14ac:dyDescent="0.15">
      <c r="B17" s="6" t="s">
        <v>3</v>
      </c>
      <c r="C17" s="12">
        <v>10992.97</v>
      </c>
      <c r="D17" s="12">
        <v>1273.5999999999999</v>
      </c>
      <c r="E17" s="12">
        <v>4012.81</v>
      </c>
      <c r="F17" s="12">
        <v>7567.38</v>
      </c>
      <c r="G17" s="12">
        <v>7198.98</v>
      </c>
    </row>
    <row r="18" spans="2:7" x14ac:dyDescent="0.15">
      <c r="B18" s="6" t="s">
        <v>4</v>
      </c>
      <c r="C18" s="12">
        <v>2877.33</v>
      </c>
      <c r="D18" s="12">
        <v>3215.5</v>
      </c>
      <c r="E18" s="12">
        <v>6579.63</v>
      </c>
      <c r="F18" s="12">
        <v>12068.58</v>
      </c>
      <c r="G18" s="12">
        <v>17495.900000000001</v>
      </c>
    </row>
    <row r="19" spans="2:7" ht="30" x14ac:dyDescent="0.15">
      <c r="B19" s="7" t="s">
        <v>5</v>
      </c>
      <c r="C19" s="14">
        <v>-69.58</v>
      </c>
      <c r="D19" s="14">
        <v>241.66</v>
      </c>
      <c r="E19" s="14">
        <v>-42.84</v>
      </c>
      <c r="F19" s="14">
        <v>-132.47999999999999</v>
      </c>
      <c r="G19" s="14">
        <v>-152.71</v>
      </c>
    </row>
    <row r="20" spans="2:7" x14ac:dyDescent="0.15">
      <c r="B20" s="6" t="s">
        <v>6</v>
      </c>
      <c r="C20" s="12">
        <v>67285.179999999993</v>
      </c>
      <c r="D20" s="12">
        <v>10896.22</v>
      </c>
      <c r="E20" s="12">
        <v>28334.32</v>
      </c>
      <c r="F20" s="12">
        <v>107289.98</v>
      </c>
      <c r="G20" s="12">
        <v>136704.01999999999</v>
      </c>
    </row>
    <row r="21" spans="2:7" x14ac:dyDescent="0.15">
      <c r="B21" s="6" t="s">
        <v>7</v>
      </c>
      <c r="C21" s="12">
        <v>28688.82</v>
      </c>
      <c r="D21" s="12">
        <v>7035.89</v>
      </c>
      <c r="E21" s="12">
        <v>16572.98</v>
      </c>
      <c r="F21" s="12">
        <v>44235.43</v>
      </c>
      <c r="G21" s="12">
        <v>55042.28</v>
      </c>
    </row>
    <row r="22" spans="2:7" x14ac:dyDescent="0.15">
      <c r="B22" s="6" t="s">
        <v>8</v>
      </c>
      <c r="C22" s="12">
        <v>9714.2800000000007</v>
      </c>
      <c r="D22" s="12">
        <v>6263.57</v>
      </c>
      <c r="E22" s="12">
        <v>9842.58</v>
      </c>
      <c r="F22" s="12">
        <v>14673.7</v>
      </c>
      <c r="G22" s="12">
        <v>17462.86</v>
      </c>
    </row>
    <row r="23" spans="2:7" x14ac:dyDescent="0.15">
      <c r="B23" s="6" t="s">
        <v>9</v>
      </c>
      <c r="C23" s="12">
        <v>24411.47</v>
      </c>
      <c r="D23" s="12">
        <v>20628.509999999998</v>
      </c>
      <c r="E23" s="12">
        <v>24045.05</v>
      </c>
      <c r="F23" s="12">
        <v>24552.41</v>
      </c>
      <c r="G23" s="12">
        <v>28904.81</v>
      </c>
    </row>
    <row r="24" spans="2:7" x14ac:dyDescent="0.15">
      <c r="B24" s="6" t="s">
        <v>12</v>
      </c>
      <c r="C24" s="12">
        <v>0</v>
      </c>
      <c r="D24" s="12">
        <v>122.97</v>
      </c>
      <c r="E24" s="12">
        <v>-122.97</v>
      </c>
      <c r="F24" s="12">
        <v>0</v>
      </c>
      <c r="G24" s="12">
        <v>0</v>
      </c>
    </row>
    <row r="25" spans="2:7" x14ac:dyDescent="0.15">
      <c r="B25" s="6" t="s">
        <v>13</v>
      </c>
      <c r="C25" s="12">
        <v>767</v>
      </c>
      <c r="D25" s="12">
        <v>1052.72</v>
      </c>
      <c r="E25" s="12">
        <v>990</v>
      </c>
      <c r="F25" s="12">
        <v>1253</v>
      </c>
      <c r="G25" s="12">
        <v>0</v>
      </c>
    </row>
    <row r="26" spans="2:7" x14ac:dyDescent="0.15">
      <c r="B26" s="6" t="s">
        <v>14</v>
      </c>
      <c r="C26" s="12">
        <v>11730.05</v>
      </c>
      <c r="D26" s="12">
        <v>8159.5</v>
      </c>
      <c r="E26" s="12">
        <v>10294.299999999999</v>
      </c>
      <c r="F26" s="12">
        <v>15017.17</v>
      </c>
      <c r="G26" s="12">
        <v>17766.080000000002</v>
      </c>
    </row>
    <row r="27" spans="2:7" x14ac:dyDescent="0.15">
      <c r="C27" s="13"/>
      <c r="D27" s="13"/>
      <c r="E27" s="13"/>
      <c r="F27" s="13"/>
      <c r="G27" s="13"/>
    </row>
    <row r="28" spans="2:7" x14ac:dyDescent="0.15">
      <c r="B28" s="15" t="s">
        <v>15</v>
      </c>
      <c r="C28" s="17">
        <f>C14-SUM(C17:C26)</f>
        <v>70033.850000000006</v>
      </c>
      <c r="D28" s="17">
        <f t="shared" ref="D28:G28" si="0">D14-SUM(D17:D26)</f>
        <v>18775.630000000005</v>
      </c>
      <c r="E28" s="17">
        <f t="shared" si="0"/>
        <v>87351.58</v>
      </c>
      <c r="F28" s="17">
        <f t="shared" si="0"/>
        <v>127622.11999999997</v>
      </c>
      <c r="G28" s="17">
        <f t="shared" si="0"/>
        <v>146595.62999999995</v>
      </c>
    </row>
    <row r="29" spans="2:7" x14ac:dyDescent="0.15">
      <c r="C29" s="13"/>
      <c r="D29" s="13"/>
      <c r="E29" s="13"/>
      <c r="F29" s="13"/>
      <c r="G29" s="13"/>
    </row>
    <row r="30" spans="2:7" x14ac:dyDescent="0.15">
      <c r="B30" s="6" t="s">
        <v>11</v>
      </c>
      <c r="C30" s="12">
        <v>4021.07</v>
      </c>
      <c r="D30" s="12">
        <v>4634.7299999999996</v>
      </c>
      <c r="E30" s="12">
        <v>4898.84</v>
      </c>
      <c r="F30" s="12">
        <v>5372.96</v>
      </c>
      <c r="G30" s="12">
        <v>5721.64</v>
      </c>
    </row>
    <row r="31" spans="2:7" x14ac:dyDescent="0.15">
      <c r="C31" s="13"/>
      <c r="D31" s="13"/>
      <c r="E31" s="13"/>
      <c r="F31" s="13"/>
      <c r="G31" s="13"/>
    </row>
    <row r="32" spans="2:7" x14ac:dyDescent="0.15">
      <c r="B32" s="15" t="s">
        <v>16</v>
      </c>
      <c r="C32" s="17">
        <f>C28-C30</f>
        <v>66012.78</v>
      </c>
      <c r="D32" s="17">
        <f t="shared" ref="D32:G32" si="1">D28-D30</f>
        <v>14140.900000000005</v>
      </c>
      <c r="E32" s="17">
        <f t="shared" si="1"/>
        <v>82452.740000000005</v>
      </c>
      <c r="F32" s="17">
        <f t="shared" si="1"/>
        <v>122249.15999999996</v>
      </c>
      <c r="G32" s="17">
        <f t="shared" si="1"/>
        <v>140873.98999999993</v>
      </c>
    </row>
    <row r="33" spans="2:7" x14ac:dyDescent="0.15">
      <c r="C33" s="13"/>
      <c r="D33" s="13"/>
      <c r="E33" s="13"/>
      <c r="F33" s="13"/>
      <c r="G33" s="13"/>
    </row>
    <row r="34" spans="2:7" x14ac:dyDescent="0.15">
      <c r="B34" s="6" t="s">
        <v>10</v>
      </c>
      <c r="C34" s="12">
        <v>975.6</v>
      </c>
      <c r="D34" s="12">
        <v>827.72</v>
      </c>
      <c r="E34" s="12">
        <v>1105</v>
      </c>
      <c r="F34" s="12">
        <v>1611.25</v>
      </c>
      <c r="G34" s="12">
        <v>1864.49</v>
      </c>
    </row>
    <row r="35" spans="2:7" x14ac:dyDescent="0.15">
      <c r="C35" s="13"/>
      <c r="D35" s="13"/>
      <c r="E35" s="13"/>
      <c r="F35" s="13"/>
      <c r="G35" s="13"/>
    </row>
    <row r="36" spans="2:7" x14ac:dyDescent="0.15">
      <c r="B36" s="6" t="s">
        <v>17</v>
      </c>
      <c r="C36" s="12">
        <v>7809.73</v>
      </c>
      <c r="D36" s="12">
        <v>8498.3799999999992</v>
      </c>
      <c r="E36" s="12">
        <v>7590.38</v>
      </c>
      <c r="F36" s="12">
        <v>12043.05</v>
      </c>
      <c r="G36" s="12">
        <v>16447.77</v>
      </c>
    </row>
    <row r="37" spans="2:7" x14ac:dyDescent="0.15">
      <c r="C37" s="13"/>
      <c r="D37" s="13"/>
      <c r="E37" s="13"/>
      <c r="F37" s="13"/>
      <c r="G37" s="13"/>
    </row>
    <row r="38" spans="2:7" x14ac:dyDescent="0.15">
      <c r="B38" s="6" t="s">
        <v>18</v>
      </c>
      <c r="C38" s="12">
        <v>111.4</v>
      </c>
      <c r="D38" s="12">
        <v>3939.81</v>
      </c>
      <c r="E38" s="12">
        <v>-400.45</v>
      </c>
      <c r="F38" s="12">
        <v>2720</v>
      </c>
      <c r="G38" s="12">
        <v>-5853.03</v>
      </c>
    </row>
    <row r="39" spans="2:7" x14ac:dyDescent="0.15">
      <c r="C39" s="13"/>
      <c r="D39" s="13"/>
      <c r="E39" s="13"/>
      <c r="F39" s="13"/>
      <c r="G39" s="13"/>
    </row>
    <row r="40" spans="2:7" x14ac:dyDescent="0.15">
      <c r="B40" s="15" t="s">
        <v>19</v>
      </c>
      <c r="C40" s="17">
        <f>C32-C34+C36+C38</f>
        <v>72958.31</v>
      </c>
      <c r="D40" s="17">
        <f t="shared" ref="D40:G40" si="2">D32-D34+D36+D38</f>
        <v>25751.370000000006</v>
      </c>
      <c r="E40" s="17">
        <f t="shared" si="2"/>
        <v>88537.670000000013</v>
      </c>
      <c r="F40" s="17">
        <f t="shared" si="2"/>
        <v>135400.95999999996</v>
      </c>
      <c r="G40" s="17">
        <f t="shared" si="2"/>
        <v>149604.23999999993</v>
      </c>
    </row>
    <row r="41" spans="2:7" x14ac:dyDescent="0.15">
      <c r="C41" s="13"/>
      <c r="D41" s="13"/>
      <c r="E41" s="13"/>
      <c r="F41" s="13"/>
      <c r="G41" s="13"/>
    </row>
    <row r="42" spans="2:7" x14ac:dyDescent="0.15">
      <c r="B42" s="15" t="s">
        <v>20</v>
      </c>
      <c r="C42" s="13"/>
      <c r="D42" s="13"/>
      <c r="E42" s="13"/>
      <c r="F42" s="13"/>
      <c r="G42" s="13"/>
    </row>
    <row r="43" spans="2:7" x14ac:dyDescent="0.15">
      <c r="B43" s="6" t="s">
        <v>21</v>
      </c>
      <c r="C43" s="13"/>
      <c r="D43" s="13"/>
      <c r="E43" s="13"/>
      <c r="F43" s="13"/>
      <c r="G43" s="13"/>
    </row>
    <row r="44" spans="2:7" x14ac:dyDescent="0.15">
      <c r="B44" s="8" t="s">
        <v>23</v>
      </c>
      <c r="C44" s="12">
        <v>19942.52</v>
      </c>
      <c r="D44" s="12">
        <v>7452.78</v>
      </c>
      <c r="E44" s="12">
        <v>23802.31</v>
      </c>
      <c r="F44" s="12">
        <v>37322.400000000001</v>
      </c>
      <c r="G44" s="12">
        <v>39276.54</v>
      </c>
    </row>
    <row r="45" spans="2:7" x14ac:dyDescent="0.15">
      <c r="B45" s="8" t="s">
        <v>24</v>
      </c>
      <c r="C45" s="12">
        <v>82.2</v>
      </c>
      <c r="D45" s="12">
        <v>270.72000000000003</v>
      </c>
      <c r="E45" s="12">
        <v>766.87</v>
      </c>
      <c r="F45" s="12">
        <v>1146.5</v>
      </c>
      <c r="G45" s="12">
        <v>303.69</v>
      </c>
    </row>
    <row r="46" spans="2:7" x14ac:dyDescent="0.15">
      <c r="B46" s="6" t="s">
        <v>22</v>
      </c>
      <c r="C46" s="13"/>
      <c r="D46" s="13"/>
      <c r="E46" s="13"/>
      <c r="F46" s="13"/>
      <c r="G46" s="13"/>
    </row>
    <row r="47" spans="2:7" x14ac:dyDescent="0.15">
      <c r="B47" s="8" t="s">
        <v>23</v>
      </c>
      <c r="C47" s="12">
        <v>1622.84</v>
      </c>
      <c r="D47" s="12">
        <v>-674.77</v>
      </c>
      <c r="E47" s="12">
        <v>-929.4</v>
      </c>
      <c r="F47" s="12">
        <v>-2797.54</v>
      </c>
      <c r="G47" s="12">
        <v>-1083.72</v>
      </c>
    </row>
    <row r="48" spans="2:7" x14ac:dyDescent="0.15">
      <c r="B48" s="8" t="s">
        <v>24</v>
      </c>
      <c r="C48" s="12">
        <v>0</v>
      </c>
      <c r="D48" s="12">
        <v>0</v>
      </c>
      <c r="E48" s="12">
        <v>-1057.4000000000001</v>
      </c>
      <c r="F48" s="12">
        <v>-858.51</v>
      </c>
      <c r="G48" s="12">
        <v>0</v>
      </c>
    </row>
    <row r="49" spans="1:7" x14ac:dyDescent="0.15">
      <c r="C49" s="13"/>
      <c r="D49" s="13"/>
      <c r="E49" s="13"/>
      <c r="F49" s="13"/>
      <c r="G49" s="13"/>
    </row>
    <row r="50" spans="1:7" x14ac:dyDescent="0.15">
      <c r="B50" s="15" t="s">
        <v>354</v>
      </c>
      <c r="C50" s="17">
        <f t="shared" ref="C50:G50" si="3">C40-SUM(C44:C45,C47:C48)</f>
        <v>51310.75</v>
      </c>
      <c r="D50" s="17">
        <f t="shared" si="3"/>
        <v>18702.640000000007</v>
      </c>
      <c r="E50" s="17">
        <f t="shared" si="3"/>
        <v>65955.290000000008</v>
      </c>
      <c r="F50" s="17">
        <f t="shared" si="3"/>
        <v>100588.10999999996</v>
      </c>
      <c r="G50" s="17">
        <f t="shared" si="3"/>
        <v>111107.72999999992</v>
      </c>
    </row>
    <row r="53" spans="1:7" ht="21" x14ac:dyDescent="0.25">
      <c r="A53" s="10"/>
      <c r="B53" s="10"/>
      <c r="C53" s="10"/>
      <c r="D53" s="10"/>
      <c r="E53" s="10"/>
      <c r="F53" s="10"/>
      <c r="G53" s="10"/>
    </row>
  </sheetData>
  <mergeCells count="1">
    <mergeCell ref="B11:B12"/>
  </mergeCells>
  <pageMargins left="0.7" right="0.7" top="0.75" bottom="0.75" header="0.3" footer="0.3"/>
  <pageSetup scale="6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8389A-82D2-40A3-93A1-BB684AA52E6C}">
  <sheetPr>
    <tabColor theme="9" tint="0.79998168889431442"/>
    <pageSetUpPr fitToPage="1"/>
  </sheetPr>
  <dimension ref="A1:G78"/>
  <sheetViews>
    <sheetView showGridLines="0" workbookViewId="0">
      <pane xSplit="2" ySplit="12" topLeftCell="C13" activePane="bottomRight" state="frozen"/>
      <selection pane="topRight" activeCell="C1" sqref="C1"/>
      <selection pane="bottomLeft" activeCell="A12" sqref="A12"/>
      <selection pane="bottomRight"/>
    </sheetView>
  </sheetViews>
  <sheetFormatPr baseColWidth="10" defaultColWidth="15.6640625" defaultRowHeight="14" x14ac:dyDescent="0.15"/>
  <cols>
    <col min="1" max="1" width="2.6640625" style="3" customWidth="1"/>
    <col min="2" max="2" width="40.6640625" style="6" customWidth="1"/>
    <col min="3" max="7" width="15.6640625" style="13"/>
    <col min="8" max="16384" width="15.6640625" style="3"/>
  </cols>
  <sheetData>
    <row r="1" spans="1:7" s="1" customFormat="1" x14ac:dyDescent="0.15"/>
    <row r="2" spans="1:7" s="1" customFormat="1" x14ac:dyDescent="0.15"/>
    <row r="3" spans="1:7" s="1" customFormat="1" x14ac:dyDescent="0.15"/>
    <row r="4" spans="1:7" s="1" customFormat="1" x14ac:dyDescent="0.15"/>
    <row r="5" spans="1:7" s="1" customFormat="1" x14ac:dyDescent="0.15"/>
    <row r="6" spans="1:7" s="1" customFormat="1" x14ac:dyDescent="0.15"/>
    <row r="7" spans="1:7" s="1" customFormat="1" x14ac:dyDescent="0.15">
      <c r="G7" s="11"/>
    </row>
    <row r="8" spans="1:7" s="1" customFormat="1" ht="21" x14ac:dyDescent="0.25">
      <c r="A8" s="10" t="s">
        <v>359</v>
      </c>
      <c r="B8" s="10"/>
      <c r="C8" s="10"/>
      <c r="D8" s="10"/>
      <c r="E8" s="10"/>
      <c r="F8" s="10"/>
      <c r="G8" s="10"/>
    </row>
    <row r="9" spans="1:7" s="1" customFormat="1" ht="21" x14ac:dyDescent="0.25">
      <c r="A9" s="10" t="s">
        <v>106</v>
      </c>
      <c r="B9" s="10"/>
      <c r="C9" s="10"/>
      <c r="D9" s="10"/>
      <c r="E9" s="10"/>
      <c r="F9" s="10"/>
      <c r="G9" s="10"/>
    </row>
    <row r="10" spans="1:7" s="1" customFormat="1" x14ac:dyDescent="0.15"/>
    <row r="11" spans="1:7" ht="18" x14ac:dyDescent="0.2">
      <c r="B11" s="157" t="s">
        <v>0</v>
      </c>
      <c r="C11" s="5">
        <v>2020</v>
      </c>
      <c r="D11" s="5">
        <v>2021</v>
      </c>
      <c r="E11" s="5">
        <v>2022</v>
      </c>
      <c r="F11" s="5">
        <v>2023</v>
      </c>
      <c r="G11" s="5">
        <v>2024</v>
      </c>
    </row>
    <row r="12" spans="1:7" ht="18" x14ac:dyDescent="0.2">
      <c r="B12" s="157"/>
      <c r="C12" s="4" t="s">
        <v>1</v>
      </c>
      <c r="D12" s="4" t="s">
        <v>1</v>
      </c>
      <c r="E12" s="4" t="s">
        <v>1</v>
      </c>
      <c r="F12" s="4" t="s">
        <v>1</v>
      </c>
      <c r="G12" s="4" t="s">
        <v>1</v>
      </c>
    </row>
    <row r="13" spans="1:7" x14ac:dyDescent="0.15">
      <c r="C13" s="3"/>
      <c r="D13" s="3"/>
      <c r="E13" s="3"/>
      <c r="F13" s="3"/>
      <c r="G13" s="3"/>
    </row>
    <row r="14" spans="1:7" x14ac:dyDescent="0.15">
      <c r="B14" s="18" t="s">
        <v>25</v>
      </c>
      <c r="C14" s="3"/>
      <c r="D14" s="3"/>
      <c r="E14" s="3"/>
      <c r="F14" s="3"/>
      <c r="G14" s="3"/>
    </row>
    <row r="15" spans="1:7" x14ac:dyDescent="0.15">
      <c r="B15" s="15" t="s">
        <v>26</v>
      </c>
      <c r="C15" s="3"/>
      <c r="D15" s="3"/>
      <c r="E15" s="3"/>
      <c r="F15" s="3"/>
      <c r="G15" s="3"/>
    </row>
    <row r="16" spans="1:7" x14ac:dyDescent="0.15">
      <c r="B16" s="6" t="s">
        <v>27</v>
      </c>
      <c r="C16" s="12">
        <v>15585.09</v>
      </c>
      <c r="D16" s="12">
        <v>19707.28</v>
      </c>
      <c r="E16" s="12">
        <v>20528.189999999999</v>
      </c>
      <c r="F16" s="12">
        <v>22368.66</v>
      </c>
      <c r="G16" s="12">
        <v>22590.99</v>
      </c>
    </row>
    <row r="17" spans="2:7" x14ac:dyDescent="0.15">
      <c r="B17" s="6" t="s">
        <v>28</v>
      </c>
      <c r="C17" s="12">
        <v>1620.79</v>
      </c>
      <c r="D17" s="12">
        <v>2430.31</v>
      </c>
      <c r="E17" s="12">
        <v>2616.96</v>
      </c>
      <c r="F17" s="12">
        <v>3379.07</v>
      </c>
      <c r="G17" s="12">
        <v>44251.83</v>
      </c>
    </row>
    <row r="18" spans="2:7" x14ac:dyDescent="0.15">
      <c r="B18" s="6" t="s">
        <v>29</v>
      </c>
      <c r="C18" s="12">
        <v>2738.82</v>
      </c>
      <c r="D18" s="12">
        <v>2733.56</v>
      </c>
      <c r="E18" s="12">
        <v>2695.95</v>
      </c>
      <c r="F18" s="12">
        <v>2658.39</v>
      </c>
      <c r="G18" s="12">
        <v>2620.73</v>
      </c>
    </row>
    <row r="19" spans="2:7" x14ac:dyDescent="0.15">
      <c r="B19" s="6" t="s">
        <v>30</v>
      </c>
      <c r="C19" s="12">
        <v>434.07</v>
      </c>
      <c r="D19" s="12">
        <v>669.25</v>
      </c>
      <c r="E19" s="12">
        <v>536.46</v>
      </c>
      <c r="F19" s="12">
        <v>273.25</v>
      </c>
      <c r="G19" s="12">
        <v>321.73</v>
      </c>
    </row>
    <row r="20" spans="2:7" x14ac:dyDescent="0.15">
      <c r="B20" s="6" t="s">
        <v>31</v>
      </c>
      <c r="C20" s="12">
        <v>9710.75</v>
      </c>
      <c r="D20" s="12">
        <v>8024.57</v>
      </c>
      <c r="E20" s="12">
        <v>9781.18</v>
      </c>
      <c r="F20" s="12">
        <v>9792.86</v>
      </c>
      <c r="G20" s="12">
        <v>8742.74</v>
      </c>
    </row>
    <row r="21" spans="2:7" x14ac:dyDescent="0.15">
      <c r="B21" s="19" t="s">
        <v>32</v>
      </c>
      <c r="C21" s="12"/>
      <c r="D21" s="12"/>
      <c r="E21" s="12"/>
      <c r="F21" s="12"/>
      <c r="G21" s="12"/>
    </row>
    <row r="22" spans="2:7" x14ac:dyDescent="0.15">
      <c r="B22" s="8" t="s">
        <v>33</v>
      </c>
      <c r="C22" s="12">
        <v>0.32</v>
      </c>
      <c r="D22" s="12">
        <v>0</v>
      </c>
      <c r="E22" s="12">
        <v>0</v>
      </c>
      <c r="F22" s="12">
        <v>0</v>
      </c>
      <c r="G22" s="12">
        <v>0</v>
      </c>
    </row>
    <row r="23" spans="2:7" x14ac:dyDescent="0.15">
      <c r="B23" s="8" t="s">
        <v>34</v>
      </c>
      <c r="C23" s="12">
        <v>18.14</v>
      </c>
      <c r="D23" s="12">
        <v>0</v>
      </c>
      <c r="E23" s="12">
        <v>0</v>
      </c>
      <c r="F23" s="12">
        <v>0</v>
      </c>
      <c r="G23" s="12">
        <v>0</v>
      </c>
    </row>
    <row r="24" spans="2:7" x14ac:dyDescent="0.15">
      <c r="B24" s="8" t="s">
        <v>35</v>
      </c>
      <c r="C24" s="12">
        <v>8.06</v>
      </c>
      <c r="D24" s="12">
        <v>27.28</v>
      </c>
      <c r="E24" s="12">
        <v>34.36</v>
      </c>
      <c r="F24" s="12">
        <v>94.4</v>
      </c>
      <c r="G24" s="12">
        <v>117.19</v>
      </c>
    </row>
    <row r="25" spans="2:7" x14ac:dyDescent="0.15">
      <c r="B25" s="6" t="s">
        <v>36</v>
      </c>
      <c r="C25" s="12">
        <v>6672.47</v>
      </c>
      <c r="D25" s="12">
        <v>7633.75</v>
      </c>
      <c r="E25" s="12">
        <v>9473.2199999999993</v>
      </c>
      <c r="F25" s="12">
        <v>13054.96</v>
      </c>
      <c r="G25" s="12">
        <v>14128.36</v>
      </c>
    </row>
    <row r="26" spans="2:7" x14ac:dyDescent="0.15">
      <c r="B26" s="6" t="s">
        <v>37</v>
      </c>
      <c r="C26" s="12">
        <v>2625.8</v>
      </c>
      <c r="D26" s="12">
        <v>3406.89</v>
      </c>
      <c r="E26" s="12">
        <v>4946.79</v>
      </c>
      <c r="F26" s="12">
        <v>22072.53</v>
      </c>
      <c r="G26" s="12">
        <v>1925.97</v>
      </c>
    </row>
    <row r="27" spans="2:7" x14ac:dyDescent="0.15">
      <c r="B27" s="15" t="s">
        <v>38</v>
      </c>
      <c r="C27" s="17">
        <f>SUM(C16:C26)</f>
        <v>39414.310000000005</v>
      </c>
      <c r="D27" s="17">
        <f>SUM(D16:D26)</f>
        <v>44632.89</v>
      </c>
      <c r="E27" s="17">
        <f>SUM(E16:E26)</f>
        <v>50613.11</v>
      </c>
      <c r="F27" s="17">
        <f>SUM(F16:F26)</f>
        <v>73694.12</v>
      </c>
      <c r="G27" s="17">
        <f t="shared" ref="G27" si="0">SUM(G16:G26)</f>
        <v>94699.540000000008</v>
      </c>
    </row>
    <row r="29" spans="2:7" x14ac:dyDescent="0.15">
      <c r="B29" s="15" t="s">
        <v>39</v>
      </c>
    </row>
    <row r="30" spans="2:7" x14ac:dyDescent="0.15">
      <c r="B30" s="6" t="s">
        <v>40</v>
      </c>
      <c r="C30" s="12">
        <v>976.3</v>
      </c>
      <c r="D30" s="12">
        <v>654.04</v>
      </c>
      <c r="E30" s="12">
        <v>792.79</v>
      </c>
      <c r="F30" s="12">
        <v>960.95</v>
      </c>
      <c r="G30" s="12">
        <v>1096.51</v>
      </c>
    </row>
    <row r="31" spans="2:7" x14ac:dyDescent="0.15">
      <c r="B31" s="19" t="s">
        <v>32</v>
      </c>
      <c r="C31" s="12"/>
      <c r="D31" s="12"/>
      <c r="E31" s="12"/>
      <c r="F31" s="12"/>
      <c r="G31" s="12"/>
    </row>
    <row r="32" spans="2:7" x14ac:dyDescent="0.15">
      <c r="B32" s="8" t="s">
        <v>41</v>
      </c>
      <c r="C32" s="12">
        <v>77792.639999999999</v>
      </c>
      <c r="D32" s="12">
        <v>52134.22</v>
      </c>
      <c r="E32" s="12">
        <v>57151.97</v>
      </c>
      <c r="F32" s="12">
        <v>114291.4</v>
      </c>
      <c r="G32" s="12">
        <v>137434.19</v>
      </c>
    </row>
    <row r="33" spans="2:7" x14ac:dyDescent="0.15">
      <c r="B33" s="8" t="s">
        <v>42</v>
      </c>
      <c r="C33" s="12">
        <v>59739.41</v>
      </c>
      <c r="D33" s="12">
        <v>34502.410000000003</v>
      </c>
      <c r="E33" s="12">
        <v>36820.379999999997</v>
      </c>
      <c r="F33" s="12">
        <v>42884.51</v>
      </c>
      <c r="G33" s="12">
        <v>70633.87</v>
      </c>
    </row>
    <row r="34" spans="2:7" x14ac:dyDescent="0.15">
      <c r="B34" s="8" t="s">
        <v>43</v>
      </c>
      <c r="C34" s="12">
        <v>69903.38</v>
      </c>
      <c r="D34" s="12">
        <v>111547.15</v>
      </c>
      <c r="E34" s="12">
        <v>136336.5</v>
      </c>
      <c r="F34" s="12">
        <v>150197.23000000001</v>
      </c>
      <c r="G34" s="12">
        <v>157130.73000000001</v>
      </c>
    </row>
    <row r="35" spans="2:7" x14ac:dyDescent="0.15">
      <c r="B35" s="8" t="s">
        <v>34</v>
      </c>
      <c r="C35" s="12">
        <v>1188.9100000000001</v>
      </c>
      <c r="D35" s="12"/>
      <c r="E35" s="12">
        <v>0</v>
      </c>
      <c r="F35" s="12">
        <v>0</v>
      </c>
      <c r="G35" s="12">
        <v>0</v>
      </c>
    </row>
    <row r="36" spans="2:7" x14ac:dyDescent="0.15">
      <c r="B36" s="8" t="s">
        <v>44</v>
      </c>
      <c r="C36" s="12">
        <v>14798.83</v>
      </c>
      <c r="D36" s="12">
        <v>11425.83</v>
      </c>
      <c r="E36" s="12">
        <v>15220.93</v>
      </c>
      <c r="F36" s="12">
        <v>21089.8</v>
      </c>
      <c r="G36" s="12">
        <v>25749.72</v>
      </c>
    </row>
    <row r="37" spans="2:7" x14ac:dyDescent="0.15">
      <c r="B37" s="6" t="s">
        <v>45</v>
      </c>
      <c r="C37" s="12">
        <v>4286.7299999999996</v>
      </c>
      <c r="D37" s="12">
        <v>3617.7</v>
      </c>
      <c r="E37" s="12">
        <v>6459.94</v>
      </c>
      <c r="F37" s="12">
        <v>10890.06</v>
      </c>
      <c r="G37" s="12">
        <v>16088.6</v>
      </c>
    </row>
    <row r="38" spans="2:7" x14ac:dyDescent="0.15">
      <c r="B38" s="6" t="s">
        <v>46</v>
      </c>
      <c r="C38" s="12">
        <v>56048.94</v>
      </c>
      <c r="D38" s="12">
        <v>56803.65</v>
      </c>
      <c r="E38" s="12">
        <v>85013.61</v>
      </c>
      <c r="F38" s="12">
        <v>94867.81</v>
      </c>
      <c r="G38" s="12">
        <v>106283.37</v>
      </c>
    </row>
    <row r="39" spans="2:7" x14ac:dyDescent="0.15">
      <c r="B39" s="15" t="s">
        <v>47</v>
      </c>
      <c r="C39" s="17">
        <f t="shared" ref="C39" si="1">SUM(C30:C38)</f>
        <v>284735.14</v>
      </c>
      <c r="D39" s="17">
        <f>SUM(D30:D38)</f>
        <v>270685</v>
      </c>
      <c r="E39" s="17">
        <f>SUM(E30:E38)</f>
        <v>337796.12</v>
      </c>
      <c r="F39" s="17">
        <f>SUM(F30:F38)</f>
        <v>435181.75999999995</v>
      </c>
      <c r="G39" s="17">
        <f>SUM(G30:G38)</f>
        <v>514416.99</v>
      </c>
    </row>
    <row r="41" spans="2:7" x14ac:dyDescent="0.15">
      <c r="B41" s="15" t="s">
        <v>48</v>
      </c>
      <c r="C41" s="17">
        <f t="shared" ref="C41:G41" si="2">SUM(C39,C27)</f>
        <v>324149.45</v>
      </c>
      <c r="D41" s="17">
        <f t="shared" si="2"/>
        <v>315317.89</v>
      </c>
      <c r="E41" s="17">
        <f t="shared" si="2"/>
        <v>388409.23</v>
      </c>
      <c r="F41" s="17">
        <f t="shared" si="2"/>
        <v>508875.87999999995</v>
      </c>
      <c r="G41" s="17">
        <f t="shared" si="2"/>
        <v>609116.53</v>
      </c>
    </row>
    <row r="44" spans="2:7" x14ac:dyDescent="0.15">
      <c r="B44" s="18" t="s">
        <v>49</v>
      </c>
    </row>
    <row r="45" spans="2:7" x14ac:dyDescent="0.15">
      <c r="B45" s="15" t="s">
        <v>50</v>
      </c>
    </row>
    <row r="46" spans="2:7" x14ac:dyDescent="0.15">
      <c r="B46" s="6" t="s">
        <v>51</v>
      </c>
      <c r="C46" s="12">
        <v>16000</v>
      </c>
      <c r="D46" s="12">
        <v>16000</v>
      </c>
      <c r="E46" s="12">
        <v>16000</v>
      </c>
      <c r="F46" s="12">
        <v>16000</v>
      </c>
      <c r="G46" s="12">
        <v>16000</v>
      </c>
    </row>
    <row r="47" spans="2:7" x14ac:dyDescent="0.15">
      <c r="B47" s="6" t="s">
        <v>52</v>
      </c>
      <c r="C47" s="12">
        <v>115382.17</v>
      </c>
      <c r="D47" s="12">
        <v>129581.14</v>
      </c>
      <c r="E47" s="12">
        <v>171031.36</v>
      </c>
      <c r="F47" s="12">
        <v>231840.41</v>
      </c>
      <c r="G47" s="12">
        <v>306978.84000000003</v>
      </c>
    </row>
    <row r="48" spans="2:7" x14ac:dyDescent="0.15">
      <c r="B48" s="15" t="s">
        <v>67</v>
      </c>
      <c r="C48" s="17">
        <f t="shared" ref="C48:G48" si="3">SUM(C46:C47)</f>
        <v>131382.16999999998</v>
      </c>
      <c r="D48" s="17">
        <f t="shared" si="3"/>
        <v>145581.14000000001</v>
      </c>
      <c r="E48" s="17">
        <f t="shared" si="3"/>
        <v>187031.36</v>
      </c>
      <c r="F48" s="17">
        <f t="shared" si="3"/>
        <v>247840.41</v>
      </c>
      <c r="G48" s="17">
        <f t="shared" si="3"/>
        <v>322978.84000000003</v>
      </c>
    </row>
    <row r="50" spans="2:7" x14ac:dyDescent="0.15">
      <c r="B50" s="18" t="s">
        <v>53</v>
      </c>
    </row>
    <row r="51" spans="2:7" x14ac:dyDescent="0.15">
      <c r="B51" s="15" t="s">
        <v>54</v>
      </c>
    </row>
    <row r="52" spans="2:7" x14ac:dyDescent="0.15">
      <c r="B52" s="19" t="s">
        <v>55</v>
      </c>
    </row>
    <row r="53" spans="2:7" x14ac:dyDescent="0.15">
      <c r="B53" s="8" t="s">
        <v>56</v>
      </c>
      <c r="C53" s="12">
        <v>0</v>
      </c>
      <c r="D53" s="12">
        <v>0</v>
      </c>
      <c r="E53" s="12">
        <v>0</v>
      </c>
      <c r="F53" s="12">
        <v>0</v>
      </c>
      <c r="G53" s="12">
        <v>0</v>
      </c>
    </row>
    <row r="54" spans="2:7" x14ac:dyDescent="0.15">
      <c r="B54" s="8" t="s">
        <v>57</v>
      </c>
      <c r="C54" s="12">
        <v>5683.16</v>
      </c>
      <c r="D54" s="12">
        <v>6070.25</v>
      </c>
      <c r="E54" s="12">
        <v>8342.74</v>
      </c>
      <c r="F54" s="12">
        <v>5945.11</v>
      </c>
      <c r="G54" s="12">
        <v>4179.74</v>
      </c>
    </row>
    <row r="55" spans="2:7" x14ac:dyDescent="0.15">
      <c r="B55" s="8" t="s">
        <v>58</v>
      </c>
      <c r="C55" s="12">
        <v>2388.3199999999997</v>
      </c>
      <c r="D55" s="12">
        <v>1941.36</v>
      </c>
      <c r="E55" s="12">
        <v>2218.9</v>
      </c>
      <c r="F55" s="12">
        <v>3743.64</v>
      </c>
      <c r="G55" s="12">
        <v>5428.56</v>
      </c>
    </row>
    <row r="56" spans="2:7" x14ac:dyDescent="0.15">
      <c r="B56" s="6" t="s">
        <v>59</v>
      </c>
      <c r="C56" s="12">
        <v>7229</v>
      </c>
      <c r="D56" s="12">
        <v>7036.08</v>
      </c>
      <c r="E56" s="12">
        <v>10330.66</v>
      </c>
      <c r="F56" s="12">
        <v>10544.37</v>
      </c>
      <c r="G56" s="12">
        <v>11609.51</v>
      </c>
    </row>
    <row r="57" spans="2:7" x14ac:dyDescent="0.15">
      <c r="B57" s="6" t="s">
        <v>60</v>
      </c>
      <c r="C57" s="12">
        <v>776.81</v>
      </c>
      <c r="D57" s="12">
        <v>863.16</v>
      </c>
      <c r="E57" s="12">
        <v>695.39</v>
      </c>
      <c r="F57" s="12">
        <v>1665.81</v>
      </c>
      <c r="G57" s="12">
        <v>1752.46</v>
      </c>
    </row>
    <row r="58" spans="2:7" x14ac:dyDescent="0.15">
      <c r="B58" s="15" t="s">
        <v>62</v>
      </c>
      <c r="C58" s="17">
        <f t="shared" ref="C58:G58" si="4">SUM(C53:C57)</f>
        <v>16077.289999999999</v>
      </c>
      <c r="D58" s="17">
        <f t="shared" si="4"/>
        <v>15910.849999999999</v>
      </c>
      <c r="E58" s="17">
        <f t="shared" si="4"/>
        <v>21587.69</v>
      </c>
      <c r="F58" s="17">
        <f t="shared" si="4"/>
        <v>21898.930000000004</v>
      </c>
      <c r="G58" s="17">
        <f t="shared" si="4"/>
        <v>22970.269999999997</v>
      </c>
    </row>
    <row r="60" spans="2:7" x14ac:dyDescent="0.15">
      <c r="B60" s="15" t="s">
        <v>61</v>
      </c>
    </row>
    <row r="61" spans="2:7" x14ac:dyDescent="0.15">
      <c r="B61" s="19" t="s">
        <v>55</v>
      </c>
    </row>
    <row r="62" spans="2:7" x14ac:dyDescent="0.15">
      <c r="B62" s="8" t="s">
        <v>56</v>
      </c>
      <c r="C62" s="12">
        <v>0</v>
      </c>
      <c r="D62" s="12">
        <v>0</v>
      </c>
      <c r="E62" s="12">
        <v>0</v>
      </c>
      <c r="F62" s="12">
        <v>0</v>
      </c>
      <c r="G62" s="12">
        <v>0</v>
      </c>
    </row>
    <row r="63" spans="2:7" x14ac:dyDescent="0.15">
      <c r="B63" s="8" t="s">
        <v>57</v>
      </c>
      <c r="C63" s="12">
        <v>2240.2800000000002</v>
      </c>
      <c r="D63" s="12">
        <v>1875.45</v>
      </c>
      <c r="E63" s="12">
        <v>2149.39</v>
      </c>
      <c r="F63" s="12">
        <v>2471.11</v>
      </c>
      <c r="G63" s="12">
        <v>1855.31</v>
      </c>
    </row>
    <row r="64" spans="2:7" x14ac:dyDescent="0.15">
      <c r="B64" s="20" t="s">
        <v>63</v>
      </c>
      <c r="C64" s="12"/>
      <c r="D64" s="12"/>
      <c r="E64" s="12"/>
      <c r="F64" s="12"/>
      <c r="G64" s="12"/>
    </row>
    <row r="65" spans="1:7" x14ac:dyDescent="0.15">
      <c r="B65" s="21" t="s">
        <v>355</v>
      </c>
      <c r="C65" s="12">
        <v>41.5</v>
      </c>
      <c r="D65" s="12">
        <v>39.36</v>
      </c>
      <c r="E65" s="12">
        <v>890.13</v>
      </c>
      <c r="F65" s="12">
        <v>85215.47</v>
      </c>
      <c r="G65" s="12">
        <v>99765.1</v>
      </c>
    </row>
    <row r="66" spans="1:7" ht="30" x14ac:dyDescent="0.15">
      <c r="B66" s="139" t="s">
        <v>356</v>
      </c>
      <c r="C66" s="14">
        <v>17005.18</v>
      </c>
      <c r="D66" s="14">
        <v>58190.36</v>
      </c>
      <c r="E66" s="14">
        <v>68198.8</v>
      </c>
      <c r="F66" s="14">
        <v>0</v>
      </c>
      <c r="G66" s="14">
        <v>0</v>
      </c>
    </row>
    <row r="67" spans="1:7" x14ac:dyDescent="0.15">
      <c r="B67" s="8" t="s">
        <v>58</v>
      </c>
      <c r="C67" s="12">
        <v>75677.759999999995</v>
      </c>
      <c r="D67" s="12">
        <v>27595.71</v>
      </c>
      <c r="E67" s="12">
        <v>32022.71</v>
      </c>
      <c r="F67" s="12">
        <v>35502.43</v>
      </c>
      <c r="G67" s="12">
        <v>55734.76</v>
      </c>
    </row>
    <row r="68" spans="1:7" x14ac:dyDescent="0.15">
      <c r="B68" s="6" t="s">
        <v>64</v>
      </c>
      <c r="C68" s="12">
        <v>80486.91</v>
      </c>
      <c r="D68" s="12">
        <v>64618.87</v>
      </c>
      <c r="E68" s="12">
        <v>73689.570000000007</v>
      </c>
      <c r="F68" s="12">
        <v>113189.73</v>
      </c>
      <c r="G68" s="12">
        <v>102771.53</v>
      </c>
    </row>
    <row r="69" spans="1:7" x14ac:dyDescent="0.15">
      <c r="B69" s="6" t="s">
        <v>59</v>
      </c>
      <c r="C69" s="12">
        <v>1133.78</v>
      </c>
      <c r="D69" s="12">
        <v>1044.54</v>
      </c>
      <c r="E69" s="12">
        <v>2839.58</v>
      </c>
      <c r="F69" s="12">
        <v>2757.8</v>
      </c>
      <c r="G69" s="12">
        <v>3040.72</v>
      </c>
    </row>
    <row r="70" spans="1:7" x14ac:dyDescent="0.15">
      <c r="B70" s="6" t="s">
        <v>65</v>
      </c>
      <c r="C70" s="12">
        <v>104.58</v>
      </c>
      <c r="D70" s="12">
        <v>461.61</v>
      </c>
      <c r="E70" s="12">
        <v>0</v>
      </c>
      <c r="F70" s="12">
        <v>0</v>
      </c>
      <c r="G70" s="12">
        <v>0</v>
      </c>
    </row>
    <row r="71" spans="1:7" x14ac:dyDescent="0.15">
      <c r="B71" s="15" t="s">
        <v>66</v>
      </c>
      <c r="C71" s="17">
        <f t="shared" ref="C71:F71" si="5">SUM(C62:C70)</f>
        <v>176689.99</v>
      </c>
      <c r="D71" s="17">
        <f>SUM(D62:D70)</f>
        <v>153825.9</v>
      </c>
      <c r="E71" s="17">
        <f t="shared" si="5"/>
        <v>179790.18</v>
      </c>
      <c r="F71" s="17">
        <f t="shared" si="5"/>
        <v>239136.53999999998</v>
      </c>
      <c r="G71" s="17">
        <f>SUM(G62:G70)</f>
        <v>263167.42</v>
      </c>
    </row>
    <row r="73" spans="1:7" x14ac:dyDescent="0.15">
      <c r="B73" s="15" t="s">
        <v>68</v>
      </c>
      <c r="C73" s="17">
        <f t="shared" ref="C73:G73" si="6">SUM(C71,C58,C48)</f>
        <v>324149.44999999995</v>
      </c>
      <c r="D73" s="17">
        <f t="shared" si="6"/>
        <v>315317.89</v>
      </c>
      <c r="E73" s="17">
        <f t="shared" si="6"/>
        <v>388409.23</v>
      </c>
      <c r="F73" s="17">
        <f t="shared" si="6"/>
        <v>508875.88</v>
      </c>
      <c r="G73" s="17">
        <f t="shared" si="6"/>
        <v>609116.53</v>
      </c>
    </row>
    <row r="75" spans="1:7" x14ac:dyDescent="0.15">
      <c r="B75" s="22" t="s">
        <v>69</v>
      </c>
      <c r="C75" s="23" t="str">
        <f t="shared" ref="C75:G75" si="7">IF(ROUND(C73,0)-ROUND(C41,0)&lt;&gt;0,"Error","Tallied")</f>
        <v>Tallied</v>
      </c>
      <c r="D75" s="23" t="str">
        <f t="shared" si="7"/>
        <v>Tallied</v>
      </c>
      <c r="E75" s="23" t="str">
        <f t="shared" si="7"/>
        <v>Tallied</v>
      </c>
      <c r="F75" s="23" t="str">
        <f t="shared" si="7"/>
        <v>Tallied</v>
      </c>
      <c r="G75" s="23" t="str">
        <f t="shared" si="7"/>
        <v>Tallied</v>
      </c>
    </row>
    <row r="78" spans="1:7" ht="21" x14ac:dyDescent="0.25">
      <c r="A78" s="10"/>
      <c r="B78" s="10"/>
      <c r="C78" s="10"/>
      <c r="D78" s="10"/>
      <c r="E78" s="10"/>
      <c r="F78" s="10"/>
      <c r="G78" s="10"/>
    </row>
  </sheetData>
  <mergeCells count="1">
    <mergeCell ref="B11:B12"/>
  </mergeCells>
  <pageMargins left="0.7" right="0.7" top="0.75" bottom="0.75" header="0.3" footer="0.3"/>
  <pageSetup scale="61"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40900-3CEF-4E96-9282-4E5231617FA7}">
  <sheetPr>
    <tabColor theme="9" tint="0.79998168889431442"/>
    <pageSetUpPr fitToPage="1"/>
  </sheetPr>
  <dimension ref="A1:G115"/>
  <sheetViews>
    <sheetView showGridLines="0" workbookViewId="0">
      <pane xSplit="2" ySplit="12" topLeftCell="C13" activePane="bottomRight" state="frozen"/>
      <selection pane="topRight" activeCell="C1" sqref="C1"/>
      <selection pane="bottomLeft" activeCell="A12" sqref="A12"/>
      <selection pane="bottomRight"/>
    </sheetView>
  </sheetViews>
  <sheetFormatPr baseColWidth="10" defaultColWidth="15.6640625" defaultRowHeight="14" x14ac:dyDescent="0.15"/>
  <cols>
    <col min="1" max="1" width="2.6640625" style="3" customWidth="1"/>
    <col min="2" max="2" width="40.6640625" style="6" customWidth="1"/>
    <col min="3" max="16384" width="15.6640625" style="3"/>
  </cols>
  <sheetData>
    <row r="1" spans="1:7" s="1" customFormat="1" x14ac:dyDescent="0.15"/>
    <row r="2" spans="1:7" s="1" customFormat="1" x14ac:dyDescent="0.15"/>
    <row r="3" spans="1:7" s="1" customFormat="1" x14ac:dyDescent="0.15"/>
    <row r="4" spans="1:7" s="1" customFormat="1" x14ac:dyDescent="0.15"/>
    <row r="5" spans="1:7" s="1" customFormat="1" x14ac:dyDescent="0.15"/>
    <row r="6" spans="1:7" s="1" customFormat="1" x14ac:dyDescent="0.15"/>
    <row r="7" spans="1:7" s="1" customFormat="1" x14ac:dyDescent="0.15"/>
    <row r="8" spans="1:7" s="1" customFormat="1" ht="21" x14ac:dyDescent="0.25">
      <c r="A8" s="10" t="s">
        <v>359</v>
      </c>
      <c r="B8" s="10"/>
      <c r="C8" s="10"/>
      <c r="D8" s="10"/>
      <c r="E8" s="10"/>
      <c r="F8" s="10"/>
      <c r="G8" s="10"/>
    </row>
    <row r="9" spans="1:7" s="1" customFormat="1" ht="21" x14ac:dyDescent="0.25">
      <c r="A9" s="10" t="s">
        <v>70</v>
      </c>
      <c r="B9" s="10"/>
      <c r="C9" s="10"/>
      <c r="D9" s="10"/>
      <c r="E9" s="10"/>
      <c r="F9" s="10"/>
      <c r="G9" s="10"/>
    </row>
    <row r="10" spans="1:7" s="1" customFormat="1" x14ac:dyDescent="0.15"/>
    <row r="11" spans="1:7" ht="18" x14ac:dyDescent="0.2">
      <c r="B11" s="157" t="s">
        <v>0</v>
      </c>
      <c r="C11" s="5">
        <v>2020</v>
      </c>
      <c r="D11" s="5">
        <v>2021</v>
      </c>
      <c r="E11" s="5">
        <v>2022</v>
      </c>
      <c r="F11" s="5">
        <v>2023</v>
      </c>
      <c r="G11" s="5">
        <v>2024</v>
      </c>
    </row>
    <row r="12" spans="1:7" ht="18" x14ac:dyDescent="0.2">
      <c r="B12" s="157"/>
      <c r="C12" s="4" t="s">
        <v>1</v>
      </c>
      <c r="D12" s="4" t="s">
        <v>1</v>
      </c>
      <c r="E12" s="4" t="s">
        <v>1</v>
      </c>
      <c r="F12" s="4" t="s">
        <v>1</v>
      </c>
      <c r="G12" s="4" t="s">
        <v>1</v>
      </c>
    </row>
    <row r="14" spans="1:7" x14ac:dyDescent="0.15">
      <c r="B14" s="15" t="s">
        <v>2</v>
      </c>
      <c r="C14" s="55">
        <f>'P&amp;L_Input'!C14/'P&amp;L_Input'!C$14</f>
        <v>1</v>
      </c>
      <c r="D14" s="55">
        <f>'P&amp;L_Input'!D14/'P&amp;L_Input'!D$14</f>
        <v>1</v>
      </c>
      <c r="E14" s="55">
        <f>'P&amp;L_Input'!E14/'P&amp;L_Input'!E$14</f>
        <v>1</v>
      </c>
      <c r="F14" s="55">
        <f>'P&amp;L_Input'!F14/'P&amp;L_Input'!F$14</f>
        <v>1</v>
      </c>
      <c r="G14" s="55">
        <f>'P&amp;L_Input'!G14/'P&amp;L_Input'!G$14</f>
        <v>1</v>
      </c>
    </row>
    <row r="15" spans="1:7" x14ac:dyDescent="0.15">
      <c r="C15" s="56"/>
      <c r="D15" s="56"/>
      <c r="E15" s="56"/>
      <c r="F15" s="56"/>
      <c r="G15" s="56"/>
    </row>
    <row r="16" spans="1:7" x14ac:dyDescent="0.15">
      <c r="B16" s="15" t="s">
        <v>128</v>
      </c>
      <c r="C16" s="56"/>
      <c r="D16" s="56"/>
      <c r="E16" s="56"/>
      <c r="F16" s="56"/>
      <c r="G16" s="56"/>
    </row>
    <row r="17" spans="2:7" x14ac:dyDescent="0.15">
      <c r="B17" s="6" t="s">
        <v>3</v>
      </c>
      <c r="C17" s="56">
        <f>'P&amp;L_Input'!C17/'P&amp;L_Input'!C$14</f>
        <v>4.8548794277047391E-2</v>
      </c>
      <c r="D17" s="56">
        <f>'P&amp;L_Input'!D17/'P&amp;L_Input'!D$14</f>
        <v>1.639847258322424E-2</v>
      </c>
      <c r="E17" s="56">
        <f>'P&amp;L_Input'!E17/'P&amp;L_Input'!E$14</f>
        <v>2.1360931991833806E-2</v>
      </c>
      <c r="F17" s="56">
        <f>'P&amp;L_Input'!F17/'P&amp;L_Input'!F$14</f>
        <v>2.1367889049779262E-2</v>
      </c>
      <c r="G17" s="56">
        <f>'P&amp;L_Input'!G17/'P&amp;L_Input'!G$14</f>
        <v>1.6858733188788243E-2</v>
      </c>
    </row>
    <row r="18" spans="2:7" x14ac:dyDescent="0.15">
      <c r="B18" s="6" t="s">
        <v>4</v>
      </c>
      <c r="C18" s="56">
        <f>'P&amp;L_Input'!C18/'P&amp;L_Input'!C$14</f>
        <v>1.270729404675686E-2</v>
      </c>
      <c r="D18" s="56">
        <f>'P&amp;L_Input'!D18/'P&amp;L_Input'!D$14</f>
        <v>4.1401765539696572E-2</v>
      </c>
      <c r="E18" s="56">
        <f>'P&amp;L_Input'!E18/'P&amp;L_Input'!E$14</f>
        <v>3.5024590987719199E-2</v>
      </c>
      <c r="F18" s="56">
        <f>'P&amp;L_Input'!F18/'P&amp;L_Input'!F$14</f>
        <v>3.4077855007728565E-2</v>
      </c>
      <c r="G18" s="56">
        <f>'P&amp;L_Input'!G18/'P&amp;L_Input'!G$14</f>
        <v>4.0972291907703628E-2</v>
      </c>
    </row>
    <row r="19" spans="2:7" ht="30" x14ac:dyDescent="0.15">
      <c r="B19" s="7" t="s">
        <v>5</v>
      </c>
      <c r="C19" s="57">
        <f>'P&amp;L_Input'!C19/'P&amp;L_Input'!C$14</f>
        <v>-3.0728957741146909E-4</v>
      </c>
      <c r="D19" s="57">
        <f>'P&amp;L_Input'!D19/'P&amp;L_Input'!D$14</f>
        <v>3.111538068830065E-3</v>
      </c>
      <c r="E19" s="57">
        <f>'P&amp;L_Input'!E19/'P&amp;L_Input'!E$14</f>
        <v>-2.280452666660421E-4</v>
      </c>
      <c r="F19" s="57">
        <f>'P&amp;L_Input'!F19/'P&amp;L_Input'!F$14</f>
        <v>-3.740816426973082E-4</v>
      </c>
      <c r="G19" s="57">
        <f>'P&amp;L_Input'!G19/'P&amp;L_Input'!G$14</f>
        <v>-3.5761971074511293E-4</v>
      </c>
    </row>
    <row r="20" spans="2:7" x14ac:dyDescent="0.15">
      <c r="B20" s="6" t="s">
        <v>6</v>
      </c>
      <c r="C20" s="56">
        <f>'P&amp;L_Input'!C20/'P&amp;L_Input'!C$14</f>
        <v>0.297154850937836</v>
      </c>
      <c r="D20" s="56">
        <f>'P&amp;L_Input'!D20/'P&amp;L_Input'!D$14</f>
        <v>0.14029629784137851</v>
      </c>
      <c r="E20" s="56">
        <f>'P&amp;L_Input'!E20/'P&amp;L_Input'!E$14</f>
        <v>0.15082884127453242</v>
      </c>
      <c r="F20" s="56">
        <f>'P&amp;L_Input'!F20/'P&amp;L_Input'!F$14</f>
        <v>0.30295298885387489</v>
      </c>
      <c r="G20" s="56">
        <f>'P&amp;L_Input'!G20/'P&amp;L_Input'!G$14</f>
        <v>0.32013654698509675</v>
      </c>
    </row>
    <row r="21" spans="2:7" x14ac:dyDescent="0.15">
      <c r="B21" s="6" t="s">
        <v>7</v>
      </c>
      <c r="C21" s="56">
        <f>'P&amp;L_Input'!C21/'P&amp;L_Input'!C$14</f>
        <v>0.12669984728706099</v>
      </c>
      <c r="D21" s="56">
        <f>'P&amp;L_Input'!D21/'P&amp;L_Input'!D$14</f>
        <v>9.0591904258465472E-2</v>
      </c>
      <c r="E21" s="56">
        <f>'P&amp;L_Input'!E21/'P&amp;L_Input'!E$14</f>
        <v>8.8221046768230199E-2</v>
      </c>
      <c r="F21" s="56">
        <f>'P&amp;L_Input'!F21/'P&amp;L_Input'!F$14</f>
        <v>0.12490687137546641</v>
      </c>
      <c r="G21" s="56">
        <f>'P&amp;L_Input'!G21/'P&amp;L_Input'!G$14</f>
        <v>0.12889924859113033</v>
      </c>
    </row>
    <row r="22" spans="2:7" x14ac:dyDescent="0.15">
      <c r="B22" s="6" t="s">
        <v>8</v>
      </c>
      <c r="C22" s="56">
        <f>'P&amp;L_Input'!C22/'P&amp;L_Input'!C$14</f>
        <v>4.2901652717112479E-2</v>
      </c>
      <c r="D22" s="56">
        <f>'P&amp;L_Input'!D22/'P&amp;L_Input'!D$14</f>
        <v>8.0647755117859501E-2</v>
      </c>
      <c r="E22" s="56">
        <f>'P&amp;L_Input'!E22/'P&amp;L_Input'!E$14</f>
        <v>5.2393879103217841E-2</v>
      </c>
      <c r="F22" s="56">
        <f>'P&amp;L_Input'!F22/'P&amp;L_Input'!F$14</f>
        <v>4.1433890401928533E-2</v>
      </c>
      <c r="G22" s="56">
        <f>'P&amp;L_Input'!G22/'P&amp;L_Input'!G$14</f>
        <v>4.0894918093002441E-2</v>
      </c>
    </row>
    <row r="23" spans="2:7" x14ac:dyDescent="0.15">
      <c r="B23" s="6" t="s">
        <v>9</v>
      </c>
      <c r="C23" s="56">
        <f>'P&amp;L_Input'!C23/'P&amp;L_Input'!C$14</f>
        <v>0.10780957603180161</v>
      </c>
      <c r="D23" s="56">
        <f>'P&amp;L_Input'!D23/'P&amp;L_Input'!D$14</f>
        <v>0.26560619948788244</v>
      </c>
      <c r="E23" s="56">
        <f>'P&amp;L_Input'!E23/'P&amp;L_Input'!E$14</f>
        <v>0.12799626142036216</v>
      </c>
      <c r="F23" s="56">
        <f>'P&amp;L_Input'!F23/'P&amp;L_Input'!F$14</f>
        <v>6.9328244753757678E-2</v>
      </c>
      <c r="G23" s="56">
        <f>'P&amp;L_Input'!G23/'P&amp;L_Input'!G$14</f>
        <v>6.7689933804874911E-2</v>
      </c>
    </row>
    <row r="24" spans="2:7" x14ac:dyDescent="0.15">
      <c r="B24" s="6" t="s">
        <v>12</v>
      </c>
      <c r="C24" s="56">
        <f>'P&amp;L_Input'!C24/'P&amp;L_Input'!C$14</f>
        <v>0</v>
      </c>
      <c r="D24" s="56">
        <f>'P&amp;L_Input'!D24/'P&amp;L_Input'!D$14</f>
        <v>1.5833230005960154E-3</v>
      </c>
      <c r="E24" s="56">
        <f>'P&amp;L_Input'!E24/'P&amp;L_Input'!E$14</f>
        <v>-6.5459212049307175E-4</v>
      </c>
      <c r="F24" s="56">
        <f>'P&amp;L_Input'!F24/'P&amp;L_Input'!F$14</f>
        <v>0</v>
      </c>
      <c r="G24" s="56">
        <f>'P&amp;L_Input'!G24/'P&amp;L_Input'!G$14</f>
        <v>0</v>
      </c>
    </row>
    <row r="25" spans="2:7" x14ac:dyDescent="0.15">
      <c r="B25" s="6" t="s">
        <v>13</v>
      </c>
      <c r="C25" s="56">
        <f>'P&amp;L_Input'!C25/'P&amp;L_Input'!C$14</f>
        <v>3.3873398372319171E-3</v>
      </c>
      <c r="D25" s="56">
        <f>'P&amp;L_Input'!D25/'P&amp;L_Input'!D$14</f>
        <v>1.3554491251422602E-2</v>
      </c>
      <c r="E25" s="56">
        <f>'P&amp;L_Input'!E25/'P&amp;L_Input'!E$14</f>
        <v>5.2699536414421485E-3</v>
      </c>
      <c r="F25" s="56">
        <f>'P&amp;L_Input'!F25/'P&amp;L_Input'!F$14</f>
        <v>3.5380759231561539E-3</v>
      </c>
      <c r="G25" s="56">
        <f>'P&amp;L_Input'!G25/'P&amp;L_Input'!G$14</f>
        <v>0</v>
      </c>
    </row>
    <row r="26" spans="2:7" x14ac:dyDescent="0.15">
      <c r="B26" s="6" t="s">
        <v>14</v>
      </c>
      <c r="C26" s="56">
        <f>'P&amp;L_Input'!C26/'P&amp;L_Input'!C$14</f>
        <v>5.1803996946182852E-2</v>
      </c>
      <c r="D26" s="56">
        <f>'P&amp;L_Input'!D26/'P&amp;L_Input'!D$14</f>
        <v>0.10505915282884595</v>
      </c>
      <c r="E26" s="56">
        <f>'P&amp;L_Input'!E26/'P&amp;L_Input'!E$14</f>
        <v>5.4798468455654455E-2</v>
      </c>
      <c r="F26" s="56">
        <f>'P&amp;L_Input'!F26/'P&amp;L_Input'!F$14</f>
        <v>4.2403741110090098E-2</v>
      </c>
      <c r="G26" s="56">
        <f>'P&amp;L_Input'!G26/'P&amp;L_Input'!G$14</f>
        <v>4.1605005505039198E-2</v>
      </c>
    </row>
    <row r="27" spans="2:7" x14ac:dyDescent="0.15">
      <c r="C27" s="34"/>
      <c r="D27" s="34"/>
      <c r="E27" s="34"/>
      <c r="F27" s="34"/>
      <c r="G27" s="34"/>
    </row>
    <row r="28" spans="2:7" x14ac:dyDescent="0.15">
      <c r="B28" s="15" t="s">
        <v>15</v>
      </c>
      <c r="C28" s="58">
        <f t="shared" ref="C28:G28" si="0">C14-SUM(C17:C26)</f>
        <v>0.30929393749638134</v>
      </c>
      <c r="D28" s="58">
        <f t="shared" si="0"/>
        <v>0.24174910002179861</v>
      </c>
      <c r="E28" s="58">
        <f t="shared" si="0"/>
        <v>0.46498866374416681</v>
      </c>
      <c r="F28" s="58">
        <f t="shared" si="0"/>
        <v>0.36036452516691564</v>
      </c>
      <c r="G28" s="58">
        <f t="shared" si="0"/>
        <v>0.3433009416351096</v>
      </c>
    </row>
    <row r="29" spans="2:7" x14ac:dyDescent="0.15">
      <c r="C29" s="34"/>
      <c r="D29" s="34"/>
      <c r="E29" s="34"/>
      <c r="F29" s="34"/>
      <c r="G29" s="34"/>
    </row>
    <row r="30" spans="2:7" x14ac:dyDescent="0.15">
      <c r="B30" s="6" t="s">
        <v>11</v>
      </c>
      <c r="C30" s="56">
        <f>'P&amp;L_Input'!C30/'P&amp;L_Input'!C$14</f>
        <v>1.7758449282005404E-2</v>
      </c>
      <c r="D30" s="56">
        <f>'P&amp;L_Input'!D30/'P&amp;L_Input'!D$14</f>
        <v>5.9675324148592092E-2</v>
      </c>
      <c r="E30" s="56">
        <f>'P&amp;L_Input'!E30/'P&amp;L_Input'!E$14</f>
        <v>2.6077434037214603E-2</v>
      </c>
      <c r="F30" s="56">
        <f>'P&amp;L_Input'!F30/'P&amp;L_Input'!F$14</f>
        <v>1.5171540632147715E-2</v>
      </c>
      <c r="G30" s="56">
        <f>'P&amp;L_Input'!G30/'P&amp;L_Input'!G$14</f>
        <v>1.339906516788467E-2</v>
      </c>
    </row>
    <row r="31" spans="2:7" x14ac:dyDescent="0.15">
      <c r="C31" s="34"/>
      <c r="D31" s="34"/>
      <c r="E31" s="34"/>
      <c r="F31" s="34"/>
      <c r="G31" s="34"/>
    </row>
    <row r="32" spans="2:7" x14ac:dyDescent="0.15">
      <c r="B32" s="15" t="s">
        <v>16</v>
      </c>
      <c r="C32" s="58">
        <f t="shared" ref="C32:G32" si="1">C28-C30</f>
        <v>0.29153548821437592</v>
      </c>
      <c r="D32" s="58">
        <f t="shared" si="1"/>
        <v>0.18207377587320653</v>
      </c>
      <c r="E32" s="58">
        <f t="shared" si="1"/>
        <v>0.43891122970695218</v>
      </c>
      <c r="F32" s="58">
        <f t="shared" si="1"/>
        <v>0.34519298453476793</v>
      </c>
      <c r="G32" s="58">
        <f t="shared" si="1"/>
        <v>0.32990187646722491</v>
      </c>
    </row>
    <row r="33" spans="2:7" x14ac:dyDescent="0.15">
      <c r="C33" s="34"/>
      <c r="D33" s="34"/>
      <c r="E33" s="34"/>
      <c r="F33" s="34"/>
      <c r="G33" s="34"/>
    </row>
    <row r="34" spans="2:7" x14ac:dyDescent="0.15">
      <c r="B34" s="6" t="s">
        <v>10</v>
      </c>
      <c r="C34" s="56">
        <f>'P&amp;L_Input'!C34/'P&amp;L_Input'!C$14</f>
        <v>4.3085902805781728E-3</v>
      </c>
      <c r="D34" s="56">
        <f>'P&amp;L_Input'!D34/'P&amp;L_Input'!D$14</f>
        <v>1.0657462096880002E-2</v>
      </c>
      <c r="E34" s="56">
        <f>'P&amp;L_Input'!E34/'P&amp;L_Input'!E$14</f>
        <v>5.8821199735288633E-3</v>
      </c>
      <c r="F34" s="56">
        <f>'P&amp;L_Input'!F34/'P&amp;L_Input'!F$14</f>
        <v>4.5496606793179193E-3</v>
      </c>
      <c r="G34" s="56">
        <f>'P&amp;L_Input'!G34/'P&amp;L_Input'!G$14</f>
        <v>4.3663045935901749E-3</v>
      </c>
    </row>
    <row r="35" spans="2:7" x14ac:dyDescent="0.15">
      <c r="C35" s="56"/>
      <c r="D35" s="56"/>
      <c r="E35" s="56"/>
      <c r="F35" s="56"/>
      <c r="G35" s="56"/>
    </row>
    <row r="36" spans="2:7" x14ac:dyDescent="0.15">
      <c r="B36" s="6" t="s">
        <v>17</v>
      </c>
      <c r="C36" s="56">
        <f>'P&amp;L_Input'!C36/'P&amp;L_Input'!C$14</f>
        <v>3.4490494846186728E-2</v>
      </c>
      <c r="D36" s="56">
        <f>'P&amp;L_Input'!D36/'P&amp;L_Input'!D$14</f>
        <v>0.10942246500614104</v>
      </c>
      <c r="E36" s="56">
        <f>'P&amp;L_Input'!E36/'P&amp;L_Input'!E$14</f>
        <v>4.0405000728211779E-2</v>
      </c>
      <c r="F36" s="56">
        <f>'P&amp;L_Input'!F36/'P&amp;L_Input'!F$14</f>
        <v>3.4005766357833769E-2</v>
      </c>
      <c r="G36" s="56">
        <f>'P&amp;L_Input'!G36/'P&amp;L_Input'!G$14</f>
        <v>3.851775751294706E-2</v>
      </c>
    </row>
    <row r="37" spans="2:7" x14ac:dyDescent="0.15">
      <c r="C37" s="56"/>
      <c r="D37" s="56"/>
      <c r="E37" s="56"/>
      <c r="F37" s="56"/>
      <c r="G37" s="56"/>
    </row>
    <row r="38" spans="2:7" x14ac:dyDescent="0.15">
      <c r="B38" s="6" t="s">
        <v>18</v>
      </c>
      <c r="C38" s="56">
        <f>'P&amp;L_Input'!C38/'P&amp;L_Input'!C$14</f>
        <v>4.919813010008287E-4</v>
      </c>
      <c r="D38" s="56">
        <f>'P&amp;L_Input'!D38/'P&amp;L_Input'!D$14</f>
        <v>5.0727753037148791E-2</v>
      </c>
      <c r="E38" s="56">
        <f>'P&amp;L_Input'!E38/'P&amp;L_Input'!E$14</f>
        <v>-2.1316696320358673E-3</v>
      </c>
      <c r="F38" s="56">
        <f>'P&amp;L_Input'!F38/'P&amp;L_Input'!F$14</f>
        <v>7.6804202003070534E-3</v>
      </c>
      <c r="G38" s="56">
        <f>'P&amp;L_Input'!G38/'P&amp;L_Input'!G$14</f>
        <v>-1.370675722338071E-2</v>
      </c>
    </row>
    <row r="39" spans="2:7" x14ac:dyDescent="0.15">
      <c r="C39" s="34"/>
      <c r="D39" s="34"/>
      <c r="E39" s="34"/>
      <c r="F39" s="34"/>
      <c r="G39" s="34"/>
    </row>
    <row r="40" spans="2:7" x14ac:dyDescent="0.15">
      <c r="B40" s="15" t="s">
        <v>19</v>
      </c>
      <c r="C40" s="58">
        <f t="shared" ref="C40:G40" si="2">C32-C34+C36+C38</f>
        <v>0.32220937408098527</v>
      </c>
      <c r="D40" s="58">
        <f t="shared" si="2"/>
        <v>0.33156653181961632</v>
      </c>
      <c r="E40" s="58">
        <f t="shared" si="2"/>
        <v>0.47130244082959921</v>
      </c>
      <c r="F40" s="58">
        <f t="shared" si="2"/>
        <v>0.38232951041359081</v>
      </c>
      <c r="G40" s="58">
        <f t="shared" si="2"/>
        <v>0.35034657216320109</v>
      </c>
    </row>
    <row r="41" spans="2:7" x14ac:dyDescent="0.15">
      <c r="C41" s="34"/>
      <c r="D41" s="34"/>
      <c r="E41" s="34"/>
      <c r="F41" s="34"/>
      <c r="G41" s="34"/>
    </row>
    <row r="42" spans="2:7" x14ac:dyDescent="0.15">
      <c r="B42" s="6" t="s">
        <v>20</v>
      </c>
      <c r="C42" s="34"/>
      <c r="D42" s="34"/>
      <c r="E42" s="34"/>
      <c r="F42" s="34"/>
      <c r="G42" s="34"/>
    </row>
    <row r="43" spans="2:7" x14ac:dyDescent="0.15">
      <c r="B43" s="6" t="s">
        <v>21</v>
      </c>
      <c r="C43" s="34"/>
      <c r="D43" s="34"/>
      <c r="E43" s="34"/>
      <c r="F43" s="34"/>
      <c r="G43" s="34"/>
    </row>
    <row r="44" spans="2:7" x14ac:dyDescent="0.15">
      <c r="B44" s="8" t="s">
        <v>23</v>
      </c>
      <c r="C44" s="56">
        <f>'P&amp;L_Input'!C44/'P&amp;L_Input'!C$14</f>
        <v>8.8073132269614413E-2</v>
      </c>
      <c r="D44" s="56">
        <f>'P&amp;L_Input'!D44/'P&amp;L_Input'!D$14</f>
        <v>9.5959648632853306E-2</v>
      </c>
      <c r="E44" s="56">
        <f>'P&amp;L_Input'!E44/'P&amp;L_Input'!E$14</f>
        <v>0.12670411137296453</v>
      </c>
      <c r="F44" s="56">
        <f>'P&amp;L_Input'!F44/'P&amp;L_Input'!F$14</f>
        <v>0.10538665988380147</v>
      </c>
      <c r="G44" s="56">
        <f>'P&amp;L_Input'!G44/'P&amp;L_Input'!G$14</f>
        <v>9.1978684263433017E-2</v>
      </c>
    </row>
    <row r="45" spans="2:7" x14ac:dyDescent="0.15">
      <c r="B45" s="8" t="s">
        <v>24</v>
      </c>
      <c r="C45" s="56">
        <f>'P&amp;L_Input'!C45/'P&amp;L_Input'!C$14</f>
        <v>3.6302390432915726E-4</v>
      </c>
      <c r="D45" s="56">
        <f>'P&amp;L_Input'!D45/'P&amp;L_Input'!D$14</f>
        <v>3.4857054787456559E-3</v>
      </c>
      <c r="E45" s="56">
        <f>'P&amp;L_Input'!E45/'P&amp;L_Input'!E$14</f>
        <v>4.0821912616290307E-3</v>
      </c>
      <c r="F45" s="56">
        <f>'P&amp;L_Input'!F45/'P&amp;L_Input'!F$14</f>
        <v>3.2373535881073663E-3</v>
      </c>
      <c r="G45" s="56">
        <f>'P&amp;L_Input'!G45/'P&amp;L_Input'!G$14</f>
        <v>7.1118806860181614E-4</v>
      </c>
    </row>
    <row r="46" spans="2:7" x14ac:dyDescent="0.15">
      <c r="B46" s="6" t="s">
        <v>22</v>
      </c>
      <c r="C46" s="56"/>
      <c r="D46" s="56"/>
      <c r="E46" s="56"/>
      <c r="F46" s="56"/>
      <c r="G46" s="56"/>
    </row>
    <row r="47" spans="2:7" x14ac:dyDescent="0.15">
      <c r="B47" s="8" t="s">
        <v>23</v>
      </c>
      <c r="C47" s="56">
        <f>'P&amp;L_Input'!C47/'P&amp;L_Input'!C$14</f>
        <v>7.1670281374881933E-3</v>
      </c>
      <c r="D47" s="56">
        <f>'P&amp;L_Input'!D47/'P&amp;L_Input'!D$14</f>
        <v>-8.6881260560475997E-3</v>
      </c>
      <c r="E47" s="56">
        <f>'P&amp;L_Input'!E47/'P&amp;L_Input'!E$14</f>
        <v>-4.9473686003599325E-3</v>
      </c>
      <c r="F47" s="56">
        <f>'P&amp;L_Input'!F47/'P&amp;L_Input'!F$14</f>
        <v>-7.8993686496937471E-3</v>
      </c>
      <c r="G47" s="56">
        <f>'P&amp;L_Input'!G47/'P&amp;L_Input'!G$14</f>
        <v>-2.5378798567788209E-3</v>
      </c>
    </row>
    <row r="48" spans="2:7" x14ac:dyDescent="0.15">
      <c r="B48" s="8" t="s">
        <v>24</v>
      </c>
      <c r="C48" s="56">
        <f>'P&amp;L_Input'!C48/'P&amp;L_Input'!C$14</f>
        <v>0</v>
      </c>
      <c r="D48" s="56">
        <f>'P&amp;L_Input'!D48/'P&amp;L_Input'!D$14</f>
        <v>0</v>
      </c>
      <c r="E48" s="56">
        <f>'P&amp;L_Input'!E48/'P&amp;L_Input'!E$14</f>
        <v>-5.6287363438999281E-3</v>
      </c>
      <c r="F48" s="56">
        <f>'P&amp;L_Input'!F48/'P&amp;L_Input'!F$14</f>
        <v>-2.4241608625608854E-3</v>
      </c>
      <c r="G48" s="56">
        <f>'P&amp;L_Input'!G48/'P&amp;L_Input'!G$14</f>
        <v>0</v>
      </c>
    </row>
    <row r="49" spans="2:7" x14ac:dyDescent="0.15">
      <c r="C49" s="34"/>
      <c r="D49" s="34"/>
      <c r="E49" s="34"/>
      <c r="F49" s="34"/>
      <c r="G49" s="34"/>
    </row>
    <row r="50" spans="2:7" x14ac:dyDescent="0.15">
      <c r="B50" s="15" t="s">
        <v>354</v>
      </c>
      <c r="C50" s="58">
        <f t="shared" ref="C50:G50" si="3">C40-SUM(C44:C45,C47:C48)</f>
        <v>0.22660618976955349</v>
      </c>
      <c r="D50" s="58">
        <f t="shared" si="3"/>
        <v>0.24080930376406495</v>
      </c>
      <c r="E50" s="58">
        <f t="shared" si="3"/>
        <v>0.35109224313926551</v>
      </c>
      <c r="F50" s="58">
        <f t="shared" si="3"/>
        <v>0.28402902645393657</v>
      </c>
      <c r="G50" s="58">
        <f t="shared" si="3"/>
        <v>0.26019457968794507</v>
      </c>
    </row>
    <row r="51" spans="2:7" x14ac:dyDescent="0.15">
      <c r="C51" s="34"/>
      <c r="D51" s="34"/>
      <c r="E51" s="34"/>
      <c r="F51" s="34"/>
      <c r="G51" s="34"/>
    </row>
    <row r="52" spans="2:7" x14ac:dyDescent="0.15">
      <c r="C52" s="34"/>
      <c r="D52" s="34"/>
      <c r="E52" s="34"/>
      <c r="F52" s="34"/>
      <c r="G52" s="34"/>
    </row>
    <row r="53" spans="2:7" x14ac:dyDescent="0.15">
      <c r="C53" s="34"/>
      <c r="D53" s="34"/>
      <c r="E53" s="34"/>
      <c r="F53" s="34"/>
      <c r="G53" s="34"/>
    </row>
    <row r="54" spans="2:7" x14ac:dyDescent="0.15">
      <c r="B54" s="18" t="s">
        <v>25</v>
      </c>
      <c r="C54" s="34"/>
      <c r="D54" s="34"/>
      <c r="E54" s="34"/>
      <c r="F54" s="34"/>
      <c r="G54" s="34"/>
    </row>
    <row r="55" spans="2:7" x14ac:dyDescent="0.15">
      <c r="B55" s="15" t="s">
        <v>26</v>
      </c>
      <c r="C55" s="34"/>
      <c r="D55" s="34"/>
      <c r="E55" s="34"/>
      <c r="F55" s="34"/>
      <c r="G55" s="34"/>
    </row>
    <row r="56" spans="2:7" x14ac:dyDescent="0.15">
      <c r="B56" s="6" t="s">
        <v>27</v>
      </c>
      <c r="C56" s="56">
        <f>BS_Input!C16/BS_Input!C$41</f>
        <v>4.8079952009790546E-2</v>
      </c>
      <c r="D56" s="56">
        <f>BS_Input!D16/BS_Input!D$41</f>
        <v>6.2499720520139211E-2</v>
      </c>
      <c r="E56" s="56">
        <f>BS_Input!E16/BS_Input!E$41</f>
        <v>5.2851962349092473E-2</v>
      </c>
      <c r="F56" s="56">
        <f>BS_Input!F16/BS_Input!F$41</f>
        <v>4.3957005783021197E-2</v>
      </c>
      <c r="G56" s="56">
        <f>BS_Input!G16/BS_Input!G$41</f>
        <v>3.7088124993094509E-2</v>
      </c>
    </row>
    <row r="57" spans="2:7" x14ac:dyDescent="0.15">
      <c r="B57" s="6" t="s">
        <v>28</v>
      </c>
      <c r="C57" s="56">
        <f>BS_Input!C17/BS_Input!C$41</f>
        <v>5.0001318836110937E-3</v>
      </c>
      <c r="D57" s="56">
        <f>BS_Input!D17/BS_Input!D$41</f>
        <v>7.7074916364561485E-3</v>
      </c>
      <c r="E57" s="56">
        <f>BS_Input!E17/BS_Input!E$41</f>
        <v>6.7376359722450471E-3</v>
      </c>
      <c r="F57" s="56">
        <f>BS_Input!F17/BS_Input!F$41</f>
        <v>6.6402636336389152E-3</v>
      </c>
      <c r="G57" s="56">
        <f>BS_Input!G17/BS_Input!G$41</f>
        <v>7.2649202279898725E-2</v>
      </c>
    </row>
    <row r="58" spans="2:7" x14ac:dyDescent="0.15">
      <c r="B58" s="6" t="s">
        <v>29</v>
      </c>
      <c r="C58" s="56">
        <f>BS_Input!C18/BS_Input!C$41</f>
        <v>8.4492508008265944E-3</v>
      </c>
      <c r="D58" s="56">
        <f>BS_Input!D18/BS_Input!D$41</f>
        <v>8.6692194978217063E-3</v>
      </c>
      <c r="E58" s="56">
        <f>BS_Input!E18/BS_Input!E$41</f>
        <v>6.9410039509102293E-3</v>
      </c>
      <c r="F58" s="56">
        <f>BS_Input!F18/BS_Input!F$41</f>
        <v>5.2240440242520437E-3</v>
      </c>
      <c r="G58" s="56">
        <f>BS_Input!G18/BS_Input!G$41</f>
        <v>4.3025100632222207E-3</v>
      </c>
    </row>
    <row r="59" spans="2:7" x14ac:dyDescent="0.15">
      <c r="B59" s="6" t="s">
        <v>30</v>
      </c>
      <c r="C59" s="56">
        <f>BS_Input!C19/BS_Input!C$41</f>
        <v>1.3391045395881435E-3</v>
      </c>
      <c r="D59" s="56">
        <f>BS_Input!D19/BS_Input!D$41</f>
        <v>2.1224612406229152E-3</v>
      </c>
      <c r="E59" s="56">
        <f>BS_Input!E19/BS_Input!E$41</f>
        <v>1.3811721209611833E-3</v>
      </c>
      <c r="F59" s="56">
        <f>BS_Input!F19/BS_Input!F$41</f>
        <v>5.3696787515258144E-4</v>
      </c>
      <c r="G59" s="56">
        <f>BS_Input!G19/BS_Input!G$41</f>
        <v>5.2819121490595567E-4</v>
      </c>
    </row>
    <row r="60" spans="2:7" x14ac:dyDescent="0.15">
      <c r="B60" s="6" t="s">
        <v>31</v>
      </c>
      <c r="C60" s="56">
        <f>BS_Input!C20/BS_Input!C$41</f>
        <v>2.9957632197123888E-2</v>
      </c>
      <c r="D60" s="56">
        <f>BS_Input!D20/BS_Input!D$41</f>
        <v>2.544914276827109E-2</v>
      </c>
      <c r="E60" s="56">
        <f>BS_Input!E20/BS_Input!E$41</f>
        <v>2.5182666230666045E-2</v>
      </c>
      <c r="F60" s="56">
        <f>BS_Input!F20/BS_Input!F$41</f>
        <v>1.9244103296858953E-2</v>
      </c>
      <c r="G60" s="56">
        <f>BS_Input!G20/BS_Input!G$41</f>
        <v>1.4353148485397366E-2</v>
      </c>
    </row>
    <row r="61" spans="2:7" x14ac:dyDescent="0.15">
      <c r="B61" s="19" t="s">
        <v>32</v>
      </c>
      <c r="C61" s="56"/>
      <c r="D61" s="56"/>
      <c r="E61" s="56"/>
      <c r="F61" s="56"/>
      <c r="G61" s="56"/>
    </row>
    <row r="62" spans="2:7" x14ac:dyDescent="0.15">
      <c r="B62" s="8" t="s">
        <v>33</v>
      </c>
      <c r="C62" s="56">
        <f>BS_Input!C22/BS_Input!C$41</f>
        <v>9.8719896023269508E-7</v>
      </c>
      <c r="D62" s="56">
        <f>BS_Input!D22/BS_Input!D$41</f>
        <v>0</v>
      </c>
      <c r="E62" s="56">
        <f>BS_Input!E22/BS_Input!E$41</f>
        <v>0</v>
      </c>
      <c r="F62" s="56">
        <f>BS_Input!F22/BS_Input!F$41</f>
        <v>0</v>
      </c>
      <c r="G62" s="56">
        <f>BS_Input!G22/BS_Input!G$41</f>
        <v>0</v>
      </c>
    </row>
    <row r="63" spans="2:7" x14ac:dyDescent="0.15">
      <c r="B63" s="8" t="s">
        <v>34</v>
      </c>
      <c r="C63" s="56">
        <f>BS_Input!C23/BS_Input!C$41</f>
        <v>5.5961841058190908E-5</v>
      </c>
      <c r="D63" s="56">
        <f>BS_Input!D23/BS_Input!D$41</f>
        <v>0</v>
      </c>
      <c r="E63" s="56">
        <f>BS_Input!E23/BS_Input!E$41</f>
        <v>0</v>
      </c>
      <c r="F63" s="56">
        <f>BS_Input!F23/BS_Input!F$41</f>
        <v>0</v>
      </c>
      <c r="G63" s="56">
        <f>BS_Input!G23/BS_Input!G$41</f>
        <v>0</v>
      </c>
    </row>
    <row r="64" spans="2:7" x14ac:dyDescent="0.15">
      <c r="B64" s="8" t="s">
        <v>35</v>
      </c>
      <c r="C64" s="56">
        <f>BS_Input!C24/BS_Input!C$41</f>
        <v>2.4865073810861008E-5</v>
      </c>
      <c r="D64" s="56">
        <f>BS_Input!D24/BS_Input!D$41</f>
        <v>8.6515864989455558E-5</v>
      </c>
      <c r="E64" s="56">
        <f>BS_Input!E24/BS_Input!E$41</f>
        <v>8.8463397226682804E-5</v>
      </c>
      <c r="F64" s="56">
        <f>BS_Input!F24/BS_Input!F$41</f>
        <v>1.8550692557878755E-4</v>
      </c>
      <c r="G64" s="56">
        <f>BS_Input!G24/BS_Input!G$41</f>
        <v>1.9239339966689131E-4</v>
      </c>
    </row>
    <row r="65" spans="2:7" x14ac:dyDescent="0.15">
      <c r="B65" s="6" t="s">
        <v>36</v>
      </c>
      <c r="C65" s="56">
        <f>BS_Input!C25/BS_Input!C$41</f>
        <v>2.0584548269324536E-2</v>
      </c>
      <c r="D65" s="56">
        <f>BS_Input!D25/BS_Input!D$41</f>
        <v>2.4209695174606173E-2</v>
      </c>
      <c r="E65" s="56">
        <f>BS_Input!E25/BS_Input!E$41</f>
        <v>2.4389791148886959E-2</v>
      </c>
      <c r="F65" s="56">
        <f>BS_Input!F25/BS_Input!F$41</f>
        <v>2.5654507342733557E-2</v>
      </c>
      <c r="G65" s="56">
        <f>BS_Input!G25/BS_Input!G$41</f>
        <v>2.3194839253500476E-2</v>
      </c>
    </row>
    <row r="66" spans="2:7" x14ac:dyDescent="0.15">
      <c r="B66" s="6" t="s">
        <v>37</v>
      </c>
      <c r="C66" s="56">
        <f>BS_Input!C26/BS_Input!C$41</f>
        <v>8.1005844680594099E-3</v>
      </c>
      <c r="D66" s="56">
        <f>BS_Input!D26/BS_Input!D$41</f>
        <v>1.0804620061360933E-2</v>
      </c>
      <c r="E66" s="56">
        <f>BS_Input!E26/BS_Input!E$41</f>
        <v>1.2736025866326607E-2</v>
      </c>
      <c r="F66" s="56">
        <f>BS_Input!F26/BS_Input!F$41</f>
        <v>4.3375076059804604E-2</v>
      </c>
      <c r="G66" s="56">
        <f>BS_Input!G26/BS_Input!G$41</f>
        <v>3.1619072954726739E-3</v>
      </c>
    </row>
    <row r="67" spans="2:7" x14ac:dyDescent="0.15">
      <c r="B67" s="15" t="s">
        <v>38</v>
      </c>
      <c r="C67" s="58">
        <f t="shared" ref="C67:G67" si="4">SUM(C56:C66)</f>
        <v>0.12159301828215348</v>
      </c>
      <c r="D67" s="58">
        <f t="shared" si="4"/>
        <v>0.14154886676426764</v>
      </c>
      <c r="E67" s="58">
        <f t="shared" si="4"/>
        <v>0.13030872103631522</v>
      </c>
      <c r="F67" s="58">
        <f t="shared" si="4"/>
        <v>0.14481747494104064</v>
      </c>
      <c r="G67" s="58">
        <f t="shared" si="4"/>
        <v>0.15547031698515879</v>
      </c>
    </row>
    <row r="68" spans="2:7" x14ac:dyDescent="0.15">
      <c r="C68" s="34"/>
      <c r="D68" s="34"/>
      <c r="E68" s="34"/>
      <c r="F68" s="34"/>
      <c r="G68" s="34"/>
    </row>
    <row r="69" spans="2:7" x14ac:dyDescent="0.15">
      <c r="B69" s="15" t="s">
        <v>39</v>
      </c>
      <c r="C69" s="34"/>
      <c r="D69" s="34"/>
      <c r="E69" s="34"/>
      <c r="F69" s="34"/>
      <c r="G69" s="34"/>
    </row>
    <row r="70" spans="2:7" x14ac:dyDescent="0.15">
      <c r="B70" s="6" t="s">
        <v>40</v>
      </c>
      <c r="C70" s="56">
        <f>BS_Input!C30/BS_Input!C$41</f>
        <v>3.0118823277349382E-3</v>
      </c>
      <c r="D70" s="56">
        <f>BS_Input!D30/BS_Input!D$41</f>
        <v>2.074224205927548E-3</v>
      </c>
      <c r="E70" s="56">
        <f>BS_Input!E30/BS_Input!E$41</f>
        <v>2.0411203925303216E-3</v>
      </c>
      <c r="F70" s="56">
        <f>BS_Input!F30/BS_Input!F$41</f>
        <v>1.8883779675311005E-3</v>
      </c>
      <c r="G70" s="56">
        <f>BS_Input!G30/BS_Input!G$41</f>
        <v>1.8001645760623176E-3</v>
      </c>
    </row>
    <row r="71" spans="2:7" x14ac:dyDescent="0.15">
      <c r="B71" s="19" t="s">
        <v>32</v>
      </c>
      <c r="C71" s="56"/>
      <c r="D71" s="56"/>
      <c r="E71" s="56"/>
      <c r="F71" s="56"/>
      <c r="G71" s="56"/>
    </row>
    <row r="72" spans="2:7" x14ac:dyDescent="0.15">
      <c r="B72" s="8" t="s">
        <v>41</v>
      </c>
      <c r="C72" s="56">
        <f>BS_Input!C32/BS_Input!C$41</f>
        <v>0.23999004163048865</v>
      </c>
      <c r="D72" s="56">
        <f>BS_Input!D32/BS_Input!D$41</f>
        <v>0.16533860479657528</v>
      </c>
      <c r="E72" s="56">
        <f>BS_Input!E32/BS_Input!E$41</f>
        <v>0.14714369686837772</v>
      </c>
      <c r="F72" s="56">
        <f>BS_Input!F32/BS_Input!F$41</f>
        <v>0.22459582875101097</v>
      </c>
      <c r="G72" s="56">
        <f>BS_Input!G32/BS_Input!G$41</f>
        <v>0.22562873150068674</v>
      </c>
    </row>
    <row r="73" spans="2:7" x14ac:dyDescent="0.15">
      <c r="B73" s="8" t="s">
        <v>42</v>
      </c>
      <c r="C73" s="56">
        <f>BS_Input!C33/BS_Input!C$41</f>
        <v>0.18429588574035835</v>
      </c>
      <c r="D73" s="56">
        <f>BS_Input!D33/BS_Input!D$41</f>
        <v>0.10942103538749419</v>
      </c>
      <c r="E73" s="56">
        <f>BS_Input!E33/BS_Input!E$41</f>
        <v>9.4797901687351763E-2</v>
      </c>
      <c r="F73" s="56">
        <f>BS_Input!F33/BS_Input!F$41</f>
        <v>8.4273025477253918E-2</v>
      </c>
      <c r="G73" s="56">
        <f>BS_Input!G33/BS_Input!G$41</f>
        <v>0.11596117741214475</v>
      </c>
    </row>
    <row r="74" spans="2:7" x14ac:dyDescent="0.15">
      <c r="B74" s="8" t="s">
        <v>43</v>
      </c>
      <c r="C74" s="56">
        <f>BS_Input!C34/BS_Input!C$41</f>
        <v>0.2156517001648468</v>
      </c>
      <c r="D74" s="56">
        <f>BS_Input!D34/BS_Input!D$41</f>
        <v>0.35376092996182357</v>
      </c>
      <c r="E74" s="56">
        <f>BS_Input!E34/BS_Input!E$41</f>
        <v>0.35101251327111871</v>
      </c>
      <c r="F74" s="56">
        <f>BS_Input!F34/BS_Input!F$41</f>
        <v>0.2951549403363351</v>
      </c>
      <c r="G74" s="56">
        <f>BS_Input!G34/BS_Input!G$41</f>
        <v>0.25796497428825321</v>
      </c>
    </row>
    <row r="75" spans="2:7" x14ac:dyDescent="0.15">
      <c r="B75" s="8" t="s">
        <v>34</v>
      </c>
      <c r="C75" s="56">
        <f>BS_Input!C35/BS_Input!C$41</f>
        <v>3.6677834869070424E-3</v>
      </c>
      <c r="D75" s="56">
        <f>BS_Input!D35/BS_Input!D$41</f>
        <v>0</v>
      </c>
      <c r="E75" s="56">
        <f>BS_Input!E35/BS_Input!E$41</f>
        <v>0</v>
      </c>
      <c r="F75" s="56">
        <f>BS_Input!F35/BS_Input!F$41</f>
        <v>0</v>
      </c>
      <c r="G75" s="56">
        <f>BS_Input!G35/BS_Input!G$41</f>
        <v>0</v>
      </c>
    </row>
    <row r="76" spans="2:7" x14ac:dyDescent="0.15">
      <c r="B76" s="8" t="s">
        <v>44</v>
      </c>
      <c r="C76" s="56">
        <f>BS_Input!C36/BS_Input!C$41</f>
        <v>4.5654342464563798E-2</v>
      </c>
      <c r="D76" s="56">
        <f>BS_Input!D36/BS_Input!D$41</f>
        <v>3.6235907832568581E-2</v>
      </c>
      <c r="E76" s="56">
        <f>BS_Input!E36/BS_Input!E$41</f>
        <v>3.9187868939159869E-2</v>
      </c>
      <c r="F76" s="56">
        <f>BS_Input!F36/BS_Input!F$41</f>
        <v>4.1443897871520266E-2</v>
      </c>
      <c r="G76" s="56">
        <f>BS_Input!G36/BS_Input!G$41</f>
        <v>4.2273881485370292E-2</v>
      </c>
    </row>
    <row r="77" spans="2:7" x14ac:dyDescent="0.15">
      <c r="B77" s="6" t="s">
        <v>45</v>
      </c>
      <c r="C77" s="56">
        <f>BS_Input!C37/BS_Input!C$41</f>
        <v>1.3224548121244689E-2</v>
      </c>
      <c r="D77" s="56">
        <f>BS_Input!D37/BS_Input!D$41</f>
        <v>1.1473183459397117E-2</v>
      </c>
      <c r="E77" s="56">
        <f>BS_Input!E37/BS_Input!E$41</f>
        <v>1.6631788075685019E-2</v>
      </c>
      <c r="F77" s="56">
        <f>BS_Input!F37/BS_Input!F$41</f>
        <v>2.1400228283564946E-2</v>
      </c>
      <c r="G77" s="56">
        <f>BS_Input!G37/BS_Input!G$41</f>
        <v>2.6413008361470668E-2</v>
      </c>
    </row>
    <row r="78" spans="2:7" x14ac:dyDescent="0.15">
      <c r="B78" s="6" t="s">
        <v>46</v>
      </c>
      <c r="C78" s="56">
        <f>BS_Input!C38/BS_Input!C$41</f>
        <v>0.17291079778170224</v>
      </c>
      <c r="D78" s="56">
        <f>BS_Input!D38/BS_Input!D$41</f>
        <v>0.18014724759194603</v>
      </c>
      <c r="E78" s="56">
        <f>BS_Input!E38/BS_Input!E$41</f>
        <v>0.21887638972946138</v>
      </c>
      <c r="F78" s="56">
        <f>BS_Input!F38/BS_Input!F$41</f>
        <v>0.18642622637174316</v>
      </c>
      <c r="G78" s="56">
        <f>BS_Input!G38/BS_Input!G$41</f>
        <v>0.17448774539085318</v>
      </c>
    </row>
    <row r="79" spans="2:7" x14ac:dyDescent="0.15">
      <c r="B79" s="15" t="s">
        <v>47</v>
      </c>
      <c r="C79" s="58">
        <f t="shared" ref="C79:G79" si="5">SUM(C70:C78)</f>
        <v>0.87840698171784659</v>
      </c>
      <c r="D79" s="58">
        <f t="shared" si="5"/>
        <v>0.8584511332357323</v>
      </c>
      <c r="E79" s="58">
        <f t="shared" si="5"/>
        <v>0.86969127896368481</v>
      </c>
      <c r="F79" s="58">
        <f t="shared" si="5"/>
        <v>0.85518252505895931</v>
      </c>
      <c r="G79" s="58">
        <f t="shared" si="5"/>
        <v>0.8445296830148411</v>
      </c>
    </row>
    <row r="80" spans="2:7" x14ac:dyDescent="0.15">
      <c r="C80" s="34"/>
      <c r="D80" s="34"/>
      <c r="E80" s="34"/>
      <c r="F80" s="34"/>
      <c r="G80" s="34"/>
    </row>
    <row r="81" spans="2:7" x14ac:dyDescent="0.15">
      <c r="B81" s="15" t="s">
        <v>48</v>
      </c>
      <c r="C81" s="58">
        <f t="shared" ref="C81:G81" si="6">SUM(C79,C67)</f>
        <v>1</v>
      </c>
      <c r="D81" s="58">
        <f t="shared" si="6"/>
        <v>1</v>
      </c>
      <c r="E81" s="58">
        <f t="shared" si="6"/>
        <v>1</v>
      </c>
      <c r="F81" s="58">
        <f t="shared" si="6"/>
        <v>1</v>
      </c>
      <c r="G81" s="58">
        <f t="shared" si="6"/>
        <v>0.99999999999999989</v>
      </c>
    </row>
    <row r="82" spans="2:7" x14ac:dyDescent="0.15">
      <c r="C82" s="34"/>
      <c r="D82" s="34"/>
      <c r="E82" s="34"/>
      <c r="F82" s="34"/>
      <c r="G82" s="34"/>
    </row>
    <row r="83" spans="2:7" x14ac:dyDescent="0.15">
      <c r="C83" s="34"/>
      <c r="D83" s="34"/>
      <c r="E83" s="34"/>
      <c r="F83" s="34"/>
      <c r="G83" s="34"/>
    </row>
    <row r="84" spans="2:7" x14ac:dyDescent="0.15">
      <c r="B84" s="18" t="s">
        <v>49</v>
      </c>
      <c r="C84" s="34"/>
      <c r="D84" s="34"/>
      <c r="E84" s="34"/>
      <c r="F84" s="34"/>
      <c r="G84" s="34"/>
    </row>
    <row r="85" spans="2:7" x14ac:dyDescent="0.15">
      <c r="B85" s="15" t="s">
        <v>50</v>
      </c>
      <c r="C85" s="34"/>
      <c r="D85" s="34"/>
      <c r="E85" s="34"/>
      <c r="F85" s="34"/>
      <c r="G85" s="34"/>
    </row>
    <row r="86" spans="2:7" x14ac:dyDescent="0.15">
      <c r="B86" s="6" t="s">
        <v>51</v>
      </c>
      <c r="C86" s="56">
        <f>BS_Input!C46/BS_Input!C$41</f>
        <v>4.9359948011634756E-2</v>
      </c>
      <c r="D86" s="56">
        <f>BS_Input!D46/BS_Input!D$41</f>
        <v>5.0742442809064842E-2</v>
      </c>
      <c r="E86" s="56">
        <f>BS_Input!E46/BS_Input!E$41</f>
        <v>4.1193665763298158E-2</v>
      </c>
      <c r="F86" s="56">
        <f>BS_Input!F46/BS_Input!F$41</f>
        <v>3.1441851793014834E-2</v>
      </c>
      <c r="G86" s="56">
        <f>BS_Input!G46/BS_Input!G$41</f>
        <v>2.6267551793414636E-2</v>
      </c>
    </row>
    <row r="87" spans="2:7" x14ac:dyDescent="0.15">
      <c r="B87" s="6" t="s">
        <v>52</v>
      </c>
      <c r="C87" s="56">
        <f>BS_Input!C47/BS_Input!C$41</f>
        <v>0.35595361954185017</v>
      </c>
      <c r="D87" s="56">
        <f>BS_Input!D47/BS_Input!D$41</f>
        <v>0.41095397409896406</v>
      </c>
      <c r="E87" s="56">
        <f>BS_Input!E47/BS_Input!E$41</f>
        <v>0.44033804243014513</v>
      </c>
      <c r="F87" s="56">
        <f>BS_Input!F47/BS_Input!F$41</f>
        <v>0.45559323817823716</v>
      </c>
      <c r="G87" s="56">
        <f>BS_Input!G47/BS_Input!G$41</f>
        <v>0.50397391119889656</v>
      </c>
    </row>
    <row r="88" spans="2:7" x14ac:dyDescent="0.15">
      <c r="B88" s="15" t="s">
        <v>67</v>
      </c>
      <c r="C88" s="58">
        <f t="shared" ref="C88:G88" si="7">SUM(C86:C87)</f>
        <v>0.40531356755348491</v>
      </c>
      <c r="D88" s="58">
        <f t="shared" si="7"/>
        <v>0.46169641690802887</v>
      </c>
      <c r="E88" s="58">
        <f t="shared" si="7"/>
        <v>0.48153170819344326</v>
      </c>
      <c r="F88" s="58">
        <f t="shared" si="7"/>
        <v>0.487035089971252</v>
      </c>
      <c r="G88" s="58">
        <f t="shared" si="7"/>
        <v>0.53024146299231123</v>
      </c>
    </row>
    <row r="89" spans="2:7" x14ac:dyDescent="0.15">
      <c r="C89" s="34"/>
      <c r="D89" s="34"/>
      <c r="E89" s="34"/>
      <c r="F89" s="34"/>
      <c r="G89" s="34"/>
    </row>
    <row r="90" spans="2:7" x14ac:dyDescent="0.15">
      <c r="B90" s="18" t="s">
        <v>53</v>
      </c>
      <c r="C90" s="34"/>
      <c r="D90" s="34"/>
      <c r="E90" s="34"/>
      <c r="F90" s="34"/>
      <c r="G90" s="34"/>
    </row>
    <row r="91" spans="2:7" x14ac:dyDescent="0.15">
      <c r="B91" s="15" t="s">
        <v>54</v>
      </c>
      <c r="C91" s="34"/>
      <c r="D91" s="34"/>
      <c r="E91" s="34"/>
      <c r="F91" s="34"/>
      <c r="G91" s="34"/>
    </row>
    <row r="92" spans="2:7" x14ac:dyDescent="0.15">
      <c r="B92" s="19" t="s">
        <v>55</v>
      </c>
      <c r="C92" s="34"/>
      <c r="D92" s="34"/>
      <c r="E92" s="34"/>
      <c r="F92" s="34"/>
      <c r="G92" s="34"/>
    </row>
    <row r="93" spans="2:7" x14ac:dyDescent="0.15">
      <c r="B93" s="8" t="s">
        <v>56</v>
      </c>
      <c r="C93" s="56">
        <f>BS_Input!C53/BS_Input!C$41</f>
        <v>0</v>
      </c>
      <c r="D93" s="56">
        <f>BS_Input!D53/BS_Input!D$41</f>
        <v>0</v>
      </c>
      <c r="E93" s="56">
        <f>BS_Input!E53/BS_Input!E$41</f>
        <v>0</v>
      </c>
      <c r="F93" s="56">
        <f>BS_Input!F53/BS_Input!F$41</f>
        <v>0</v>
      </c>
      <c r="G93" s="56">
        <f>BS_Input!G53/BS_Input!G$41</f>
        <v>0</v>
      </c>
    </row>
    <row r="94" spans="2:7" x14ac:dyDescent="0.15">
      <c r="B94" s="8" t="s">
        <v>57</v>
      </c>
      <c r="C94" s="56">
        <f>BS_Input!C54/BS_Input!C$41</f>
        <v>1.7532530133862634E-2</v>
      </c>
      <c r="D94" s="56">
        <f>BS_Input!D54/BS_Input!D$41</f>
        <v>1.9251207091357865E-2</v>
      </c>
      <c r="E94" s="56">
        <f>BS_Input!E54/BS_Input!E$41</f>
        <v>2.147925269438113E-2</v>
      </c>
      <c r="F94" s="56">
        <f>BS_Input!F54/BS_Input!F$41</f>
        <v>1.168282921957315E-2</v>
      </c>
      <c r="G94" s="56">
        <f>BS_Input!G54/BS_Input!G$41</f>
        <v>6.8619710583129297E-3</v>
      </c>
    </row>
    <row r="95" spans="2:7" x14ac:dyDescent="0.15">
      <c r="B95" s="8" t="s">
        <v>58</v>
      </c>
      <c r="C95" s="56">
        <f>BS_Input!C55/BS_Input!C$41</f>
        <v>7.3679594396967186E-3</v>
      </c>
      <c r="D95" s="56">
        <f>BS_Input!D55/BS_Input!D$41</f>
        <v>6.1568342982378822E-3</v>
      </c>
      <c r="E95" s="56">
        <f>BS_Input!E55/BS_Input!E$41</f>
        <v>5.7127890601363935E-3</v>
      </c>
      <c r="F95" s="56">
        <f>BS_Input!F55/BS_Input!F$41</f>
        <v>7.3566858779001284E-3</v>
      </c>
      <c r="G95" s="56">
        <f>BS_Input!G55/BS_Input!G$41</f>
        <v>8.9121863102286855E-3</v>
      </c>
    </row>
    <row r="96" spans="2:7" x14ac:dyDescent="0.15">
      <c r="B96" s="6" t="s">
        <v>59</v>
      </c>
      <c r="C96" s="56">
        <f>BS_Input!C56/BS_Input!C$41</f>
        <v>2.2301441511006728E-2</v>
      </c>
      <c r="D96" s="56">
        <f>BS_Input!D56/BS_Input!D$41</f>
        <v>2.2314242937500312E-2</v>
      </c>
      <c r="E96" s="56">
        <f>BS_Input!E56/BS_Input!E$41</f>
        <v>2.6597359697142109E-2</v>
      </c>
      <c r="F96" s="56">
        <f>BS_Input!F56/BS_Input!F$41</f>
        <v>2.0720907424419489E-2</v>
      </c>
      <c r="G96" s="56">
        <f>BS_Input!G56/BS_Input!G$41</f>
        <v>1.9059587826322822E-2</v>
      </c>
    </row>
    <row r="97" spans="2:7" x14ac:dyDescent="0.15">
      <c r="B97" s="6" t="s">
        <v>60</v>
      </c>
      <c r="C97" s="56">
        <f>BS_Input!C57/BS_Input!C$41</f>
        <v>2.3964563259323743E-3</v>
      </c>
      <c r="D97" s="56">
        <f>BS_Input!D57/BS_Input!D$41</f>
        <v>2.7374279334420257E-3</v>
      </c>
      <c r="E97" s="56">
        <f>BS_Input!E57/BS_Input!E$41</f>
        <v>1.7903539521962441E-3</v>
      </c>
      <c r="F97" s="56">
        <f>BS_Input!F57/BS_Input!F$41</f>
        <v>3.2735094459576276E-3</v>
      </c>
      <c r="G97" s="56">
        <f>BS_Input!G57/BS_Input!G$41</f>
        <v>2.8770521134929635E-3</v>
      </c>
    </row>
    <row r="98" spans="2:7" x14ac:dyDescent="0.15">
      <c r="B98" s="15" t="s">
        <v>62</v>
      </c>
      <c r="C98" s="58">
        <f t="shared" ref="C98:G98" si="8">SUM(C93:C97)</f>
        <v>4.9598387410498455E-2</v>
      </c>
      <c r="D98" s="58">
        <f t="shared" si="8"/>
        <v>5.0459712260538088E-2</v>
      </c>
      <c r="E98" s="58">
        <f t="shared" si="8"/>
        <v>5.5579755403855881E-2</v>
      </c>
      <c r="F98" s="58">
        <f t="shared" si="8"/>
        <v>4.3033931967850395E-2</v>
      </c>
      <c r="G98" s="58">
        <f t="shared" si="8"/>
        <v>3.7710797308357399E-2</v>
      </c>
    </row>
    <row r="99" spans="2:7" x14ac:dyDescent="0.15">
      <c r="C99" s="34"/>
      <c r="D99" s="34"/>
      <c r="E99" s="34"/>
      <c r="F99" s="34"/>
      <c r="G99" s="34"/>
    </row>
    <row r="100" spans="2:7" x14ac:dyDescent="0.15">
      <c r="B100" s="15" t="s">
        <v>61</v>
      </c>
      <c r="C100" s="34"/>
      <c r="D100" s="34"/>
      <c r="E100" s="34"/>
      <c r="F100" s="34"/>
      <c r="G100" s="34"/>
    </row>
    <row r="101" spans="2:7" x14ac:dyDescent="0.15">
      <c r="B101" s="19" t="s">
        <v>55</v>
      </c>
      <c r="C101" s="34"/>
      <c r="D101" s="34"/>
      <c r="E101" s="34"/>
      <c r="F101" s="34"/>
      <c r="G101" s="34"/>
    </row>
    <row r="102" spans="2:7" x14ac:dyDescent="0.15">
      <c r="B102" s="8" t="s">
        <v>56</v>
      </c>
      <c r="C102" s="56">
        <f>BS_Input!C62/BS_Input!C$41</f>
        <v>0</v>
      </c>
      <c r="D102" s="56">
        <f>BS_Input!D62/BS_Input!D$41</f>
        <v>0</v>
      </c>
      <c r="E102" s="56">
        <f>BS_Input!E62/BS_Input!E$41</f>
        <v>0</v>
      </c>
      <c r="F102" s="56">
        <f>BS_Input!F62/BS_Input!F$41</f>
        <v>0</v>
      </c>
      <c r="G102" s="56">
        <f>BS_Input!G62/BS_Input!G$41</f>
        <v>0</v>
      </c>
    </row>
    <row r="103" spans="2:7" x14ac:dyDescent="0.15">
      <c r="B103" s="8" t="s">
        <v>57</v>
      </c>
      <c r="C103" s="56">
        <f>BS_Input!C63/BS_Input!C$41</f>
        <v>6.9112565207190696E-3</v>
      </c>
      <c r="D103" s="56">
        <f>BS_Input!D63/BS_Input!D$41</f>
        <v>5.9478071478912915E-3</v>
      </c>
      <c r="E103" s="56">
        <f>BS_Input!E63/BS_Input!E$41</f>
        <v>5.5338283284359644E-3</v>
      </c>
      <c r="F103" s="56">
        <f>BS_Input!F63/BS_Input!F$41</f>
        <v>4.8560171490148055E-3</v>
      </c>
      <c r="G103" s="56">
        <f>BS_Input!G63/BS_Input!G$41</f>
        <v>3.0459032198650064E-3</v>
      </c>
    </row>
    <row r="104" spans="2:7" x14ac:dyDescent="0.15">
      <c r="B104" s="20" t="s">
        <v>63</v>
      </c>
      <c r="C104" s="56"/>
      <c r="D104" s="56"/>
      <c r="E104" s="56"/>
      <c r="F104" s="56"/>
      <c r="G104" s="56"/>
    </row>
    <row r="105" spans="2:7" x14ac:dyDescent="0.15">
      <c r="B105" s="21" t="s">
        <v>355</v>
      </c>
      <c r="C105" s="56">
        <f>BS_Input!C65/BS_Input!C$41</f>
        <v>1.2802736515517765E-4</v>
      </c>
      <c r="D105" s="56">
        <f>BS_Input!D65/BS_Input!D$41</f>
        <v>1.2482640931029952E-4</v>
      </c>
      <c r="E105" s="56">
        <f>BS_Input!E65/BS_Input!E$41</f>
        <v>2.2917323566177868E-3</v>
      </c>
      <c r="F105" s="56">
        <f>BS_Input!F65/BS_Input!F$41</f>
        <v>0.16745826113825638</v>
      </c>
      <c r="G105" s="56">
        <f>BS_Input!G65/BS_Input!G$41</f>
        <v>0.1637865582140744</v>
      </c>
    </row>
    <row r="106" spans="2:7" ht="30" x14ac:dyDescent="0.15">
      <c r="B106" s="139" t="s">
        <v>356</v>
      </c>
      <c r="C106" s="56">
        <f>BS_Input!C66/BS_Input!C$41</f>
        <v>5.2460925045530696E-2</v>
      </c>
      <c r="D106" s="56">
        <f>BS_Input!D66/BS_Input!D$41</f>
        <v>0.1845450633961809</v>
      </c>
      <c r="E106" s="56">
        <f>BS_Input!E66/BS_Input!E$41</f>
        <v>0.17558491079112618</v>
      </c>
      <c r="F106" s="56">
        <f>BS_Input!F66/BS_Input!F$41</f>
        <v>0</v>
      </c>
      <c r="G106" s="56">
        <f>BS_Input!G66/BS_Input!G$41</f>
        <v>0</v>
      </c>
    </row>
    <row r="107" spans="2:7" x14ac:dyDescent="0.15">
      <c r="B107" s="8" t="s">
        <v>58</v>
      </c>
      <c r="C107" s="56">
        <f>BS_Input!C67/BS_Input!C$41</f>
        <v>0.23346564370231074</v>
      </c>
      <c r="D107" s="56">
        <f>BS_Input!D67/BS_Input!D$41</f>
        <v>8.7517108528158666E-2</v>
      </c>
      <c r="E107" s="56">
        <f>BS_Input!E67/BS_Input!E$41</f>
        <v>8.2445800785939105E-2</v>
      </c>
      <c r="F107" s="56">
        <f>BS_Input!F67/BS_Input!F$41</f>
        <v>6.9766383896992731E-2</v>
      </c>
      <c r="G107" s="56">
        <f>BS_Input!G67/BS_Input!G$41</f>
        <v>9.1500980937095897E-2</v>
      </c>
    </row>
    <row r="108" spans="2:7" x14ac:dyDescent="0.15">
      <c r="B108" s="6" t="s">
        <v>64</v>
      </c>
      <c r="C108" s="56">
        <f>BS_Input!C68/BS_Input!C$41</f>
        <v>0.24830185582607037</v>
      </c>
      <c r="D108" s="56">
        <f>BS_Input!D68/BS_Input!D$41</f>
        <v>0.20493245721008727</v>
      </c>
      <c r="E108" s="56">
        <f>BS_Input!E68/BS_Input!E$41</f>
        <v>0.18972146980132271</v>
      </c>
      <c r="F108" s="56">
        <f>BS_Input!F68/BS_Input!F$41</f>
        <v>0.2224309196969603</v>
      </c>
      <c r="G108" s="56">
        <f>BS_Input!G68/BS_Input!G$41</f>
        <v>0.16872228044771662</v>
      </c>
    </row>
    <row r="109" spans="2:7" x14ac:dyDescent="0.15">
      <c r="B109" s="6" t="s">
        <v>59</v>
      </c>
      <c r="C109" s="56">
        <f>BS_Input!C69/BS_Input!C$41</f>
        <v>3.497707616039453E-3</v>
      </c>
      <c r="D109" s="56">
        <f>BS_Input!D69/BS_Input!D$41</f>
        <v>3.3126569507362868E-3</v>
      </c>
      <c r="E109" s="56">
        <f>BS_Input!E69/BS_Input!E$41</f>
        <v>7.3107943392591371E-3</v>
      </c>
      <c r="F109" s="56">
        <f>BS_Input!F69/BS_Input!F$41</f>
        <v>5.4193961796735199E-3</v>
      </c>
      <c r="G109" s="56">
        <f>BS_Input!G69/BS_Input!G$41</f>
        <v>4.9920168805794836E-3</v>
      </c>
    </row>
    <row r="110" spans="2:7" x14ac:dyDescent="0.15">
      <c r="B110" s="6" t="s">
        <v>65</v>
      </c>
      <c r="C110" s="56">
        <f>BS_Input!C70/BS_Input!C$41</f>
        <v>3.2262896019104765E-4</v>
      </c>
      <c r="D110" s="56">
        <f>BS_Input!D70/BS_Input!D$41</f>
        <v>1.4639511890682765E-3</v>
      </c>
      <c r="E110" s="56">
        <f>BS_Input!E70/BS_Input!E$41</f>
        <v>0</v>
      </c>
      <c r="F110" s="56">
        <f>BS_Input!F70/BS_Input!F$41</f>
        <v>0</v>
      </c>
      <c r="G110" s="56">
        <f>BS_Input!G70/BS_Input!G$41</f>
        <v>0</v>
      </c>
    </row>
    <row r="111" spans="2:7" x14ac:dyDescent="0.15">
      <c r="B111" s="15" t="s">
        <v>66</v>
      </c>
      <c r="C111" s="58">
        <f t="shared" ref="C111:G111" si="9">SUM(C102:C110)</f>
        <v>0.54508804503601649</v>
      </c>
      <c r="D111" s="58">
        <f t="shared" si="9"/>
        <v>0.48784387083143294</v>
      </c>
      <c r="E111" s="58">
        <f t="shared" si="9"/>
        <v>0.46288853640270089</v>
      </c>
      <c r="F111" s="58">
        <f t="shared" si="9"/>
        <v>0.46993097806089773</v>
      </c>
      <c r="G111" s="58">
        <f t="shared" si="9"/>
        <v>0.43204773969933141</v>
      </c>
    </row>
    <row r="112" spans="2:7" x14ac:dyDescent="0.15">
      <c r="C112" s="34"/>
      <c r="D112" s="34"/>
      <c r="E112" s="34"/>
      <c r="F112" s="34"/>
      <c r="G112" s="34"/>
    </row>
    <row r="113" spans="1:7" x14ac:dyDescent="0.15">
      <c r="B113" s="15" t="s">
        <v>68</v>
      </c>
      <c r="C113" s="58">
        <f t="shared" ref="C113:G113" si="10">SUM(C111,C98,C88)</f>
        <v>0.99999999999999989</v>
      </c>
      <c r="D113" s="58">
        <f t="shared" si="10"/>
        <v>0.99999999999999989</v>
      </c>
      <c r="E113" s="58">
        <f t="shared" si="10"/>
        <v>1</v>
      </c>
      <c r="F113" s="58">
        <f t="shared" si="10"/>
        <v>1</v>
      </c>
      <c r="G113" s="58">
        <f t="shared" si="10"/>
        <v>1</v>
      </c>
    </row>
    <row r="115" spans="1:7" ht="21" x14ac:dyDescent="0.25">
      <c r="A115" s="10"/>
      <c r="B115" s="10"/>
      <c r="C115" s="10"/>
      <c r="D115" s="10"/>
      <c r="E115" s="10"/>
      <c r="F115" s="10"/>
      <c r="G115" s="10"/>
    </row>
  </sheetData>
  <mergeCells count="1">
    <mergeCell ref="B11:B12"/>
  </mergeCells>
  <pageMargins left="0.7" right="0.7" top="0.75" bottom="0.75" header="0.3" footer="0.3"/>
  <pageSetup scale="68"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DDC15-53BA-40B9-B7CA-2F449AA57B41}">
  <sheetPr>
    <tabColor theme="8" tint="0.79998168889431442"/>
    <pageSetUpPr autoPageBreaks="0" fitToPage="1"/>
  </sheetPr>
  <dimension ref="A1:Q64"/>
  <sheetViews>
    <sheetView showGridLines="0" workbookViewId="0">
      <pane xSplit="2" ySplit="12" topLeftCell="C13" activePane="bottomRight" state="frozen"/>
      <selection pane="topRight" activeCell="C1" sqref="C1"/>
      <selection pane="bottomLeft" activeCell="A12" sqref="A12"/>
      <selection pane="bottomRight"/>
    </sheetView>
  </sheetViews>
  <sheetFormatPr baseColWidth="10" defaultColWidth="15.6640625" defaultRowHeight="14" x14ac:dyDescent="0.15"/>
  <cols>
    <col min="1" max="1" width="2.6640625" style="3" customWidth="1"/>
    <col min="2" max="2" width="40.6640625" style="6" customWidth="1"/>
    <col min="3" max="16384" width="15.6640625" style="13"/>
  </cols>
  <sheetData>
    <row r="1" spans="1:17" s="1" customFormat="1" x14ac:dyDescent="0.15"/>
    <row r="2" spans="1:17" s="1" customFormat="1" x14ac:dyDescent="0.15"/>
    <row r="3" spans="1:17" s="1" customFormat="1" x14ac:dyDescent="0.15"/>
    <row r="4" spans="1:17" s="1" customFormat="1" x14ac:dyDescent="0.15"/>
    <row r="5" spans="1:17" s="1" customFormat="1" x14ac:dyDescent="0.15"/>
    <row r="6" spans="1:17" s="1" customFormat="1" x14ac:dyDescent="0.15"/>
    <row r="7" spans="1:17" s="1" customFormat="1" x14ac:dyDescent="0.15"/>
    <row r="8" spans="1:17" s="1" customFormat="1" ht="21" x14ac:dyDescent="0.25">
      <c r="A8" s="10" t="s">
        <v>359</v>
      </c>
      <c r="B8" s="10"/>
      <c r="C8" s="10"/>
      <c r="D8" s="10"/>
      <c r="E8" s="10"/>
      <c r="F8" s="10"/>
      <c r="G8" s="10"/>
      <c r="H8" s="10"/>
      <c r="I8" s="10"/>
      <c r="J8" s="10"/>
      <c r="K8" s="10"/>
      <c r="L8" s="10"/>
      <c r="M8" s="10"/>
      <c r="N8" s="10"/>
      <c r="O8" s="10"/>
      <c r="P8" s="10"/>
      <c r="Q8" s="10"/>
    </row>
    <row r="9" spans="1:17" s="1" customFormat="1" ht="21" x14ac:dyDescent="0.25">
      <c r="A9" s="10" t="s">
        <v>127</v>
      </c>
      <c r="B9" s="10"/>
      <c r="C9" s="10"/>
      <c r="D9" s="10"/>
      <c r="E9" s="10"/>
      <c r="F9" s="10"/>
      <c r="G9" s="10"/>
      <c r="H9" s="10"/>
      <c r="I9" s="10"/>
      <c r="J9" s="10"/>
      <c r="K9" s="10"/>
      <c r="L9" s="10"/>
      <c r="M9" s="10"/>
      <c r="N9" s="10"/>
      <c r="O9" s="10"/>
      <c r="P9" s="10"/>
      <c r="Q9" s="10"/>
    </row>
    <row r="10" spans="1:17" s="1" customFormat="1" x14ac:dyDescent="0.15"/>
    <row r="11" spans="1:17" s="18" customFormat="1" ht="18" x14ac:dyDescent="0.2">
      <c r="A11" s="3"/>
      <c r="B11" s="157" t="s">
        <v>0</v>
      </c>
      <c r="C11" s="5">
        <v>2020</v>
      </c>
      <c r="D11" s="5">
        <v>2021</v>
      </c>
      <c r="E11" s="5">
        <v>2022</v>
      </c>
      <c r="F11" s="5">
        <v>2023</v>
      </c>
      <c r="G11" s="5">
        <v>2024</v>
      </c>
      <c r="H11" s="35">
        <v>2025</v>
      </c>
      <c r="I11" s="35">
        <v>2026</v>
      </c>
      <c r="J11" s="35">
        <v>2027</v>
      </c>
      <c r="K11" s="35">
        <v>2028</v>
      </c>
      <c r="L11" s="35">
        <v>2029</v>
      </c>
      <c r="M11" s="35">
        <v>2030</v>
      </c>
      <c r="N11" s="35">
        <v>2031</v>
      </c>
      <c r="O11" s="35">
        <v>2032</v>
      </c>
      <c r="P11" s="35">
        <v>2033</v>
      </c>
      <c r="Q11" s="35">
        <v>2034</v>
      </c>
    </row>
    <row r="12" spans="1:17" s="25" customFormat="1" ht="18" x14ac:dyDescent="0.2">
      <c r="A12" s="3"/>
      <c r="B12" s="157"/>
      <c r="C12" s="4" t="s">
        <v>1</v>
      </c>
      <c r="D12" s="4" t="s">
        <v>1</v>
      </c>
      <c r="E12" s="4" t="s">
        <v>1</v>
      </c>
      <c r="F12" s="4" t="s">
        <v>1</v>
      </c>
      <c r="G12" s="4" t="s">
        <v>1</v>
      </c>
      <c r="H12" s="36" t="s">
        <v>71</v>
      </c>
      <c r="I12" s="36" t="s">
        <v>71</v>
      </c>
      <c r="J12" s="36" t="s">
        <v>71</v>
      </c>
      <c r="K12" s="36" t="s">
        <v>71</v>
      </c>
      <c r="L12" s="36" t="s">
        <v>71</v>
      </c>
      <c r="M12" s="36" t="s">
        <v>71</v>
      </c>
      <c r="N12" s="36" t="s">
        <v>71</v>
      </c>
      <c r="O12" s="36" t="s">
        <v>71</v>
      </c>
      <c r="P12" s="36" t="s">
        <v>71</v>
      </c>
      <c r="Q12" s="36" t="s">
        <v>71</v>
      </c>
    </row>
    <row r="13" spans="1:17" s="3" customFormat="1" x14ac:dyDescent="0.15">
      <c r="B13" s="6"/>
      <c r="C13" s="3" t="str">
        <f>IF(ROUND(C14,0)-ROUND('P&amp;L_Input'!C14,0)&lt;&gt;0,"Error","OK")</f>
        <v>OK</v>
      </c>
      <c r="D13" s="3" t="str">
        <f>IF(ROUND(D14,0)-ROUND('P&amp;L_Input'!D14,0)&lt;&gt;0,"Error","OK")</f>
        <v>OK</v>
      </c>
      <c r="E13" s="3" t="str">
        <f>IF(ROUND(E14,0)-ROUND('P&amp;L_Input'!E14,0)&lt;&gt;0,"Error","OK")</f>
        <v>OK</v>
      </c>
      <c r="F13" s="3" t="str">
        <f>IF(ROUND(F14,0)-ROUND('P&amp;L_Input'!F14,0)&lt;&gt;0,"Error","OK")</f>
        <v>OK</v>
      </c>
      <c r="G13" s="3" t="str">
        <f>IF(ROUND(G14,0)-ROUND('P&amp;L_Input'!G14,0)&lt;&gt;0,"Error","OK")</f>
        <v>OK</v>
      </c>
      <c r="H13" s="37"/>
      <c r="I13" s="37"/>
      <c r="J13" s="37"/>
      <c r="K13" s="37"/>
      <c r="L13" s="37"/>
      <c r="M13" s="37"/>
      <c r="N13" s="37"/>
      <c r="O13" s="37"/>
      <c r="P13" s="37"/>
      <c r="Q13" s="37"/>
    </row>
    <row r="14" spans="1:17" x14ac:dyDescent="0.15">
      <c r="B14" s="15" t="s">
        <v>109</v>
      </c>
      <c r="C14" s="29">
        <f t="shared" ref="C14:Q14" si="0">SUM(C16,C17)</f>
        <v>226431.37</v>
      </c>
      <c r="D14" s="29">
        <f t="shared" si="0"/>
        <v>77665.76999999999</v>
      </c>
      <c r="E14" s="29">
        <f t="shared" si="0"/>
        <v>187857.44</v>
      </c>
      <c r="F14" s="29">
        <f t="shared" si="0"/>
        <v>354147.29000000004</v>
      </c>
      <c r="G14" s="29">
        <f t="shared" si="0"/>
        <v>427017.83923209738</v>
      </c>
      <c r="H14" s="38">
        <f t="shared" si="0"/>
        <v>501397.24376297509</v>
      </c>
      <c r="I14" s="38">
        <f t="shared" si="0"/>
        <v>589161.29153874889</v>
      </c>
      <c r="J14" s="38">
        <f t="shared" si="0"/>
        <v>692764.60914186761</v>
      </c>
      <c r="K14" s="38">
        <f t="shared" si="0"/>
        <v>815117.53386334574</v>
      </c>
      <c r="L14" s="38">
        <f t="shared" si="0"/>
        <v>959671.48746358708</v>
      </c>
      <c r="M14" s="38">
        <f t="shared" si="0"/>
        <v>1130520.4635411224</v>
      </c>
      <c r="N14" s="38">
        <f t="shared" si="0"/>
        <v>1332521.6897943942</v>
      </c>
      <c r="O14" s="38">
        <f t="shared" si="0"/>
        <v>1571439.1115190764</v>
      </c>
      <c r="P14" s="38">
        <f t="shared" si="0"/>
        <v>1854114.0401683163</v>
      </c>
      <c r="Q14" s="38">
        <f t="shared" si="0"/>
        <v>2188668.1424300093</v>
      </c>
    </row>
    <row r="15" spans="1:17" x14ac:dyDescent="0.15">
      <c r="H15" s="39"/>
      <c r="I15" s="39"/>
      <c r="J15" s="39"/>
      <c r="K15" s="39"/>
      <c r="L15" s="39"/>
      <c r="M15" s="39"/>
      <c r="N15" s="39"/>
      <c r="O15" s="39"/>
      <c r="P15" s="39"/>
      <c r="Q15" s="39"/>
    </row>
    <row r="16" spans="1:17" x14ac:dyDescent="0.15">
      <c r="B16" s="6" t="s">
        <v>117</v>
      </c>
      <c r="C16" s="13">
        <f t="shared" ref="C16:Q16" si="1">SUM(C22,C26:C29)</f>
        <v>226400.69</v>
      </c>
      <c r="D16" s="13">
        <f t="shared" si="1"/>
        <v>77656.329999999987</v>
      </c>
      <c r="E16" s="13">
        <f t="shared" si="1"/>
        <v>187824.02</v>
      </c>
      <c r="F16" s="13">
        <f t="shared" si="1"/>
        <v>354076.41000000003</v>
      </c>
      <c r="G16" s="13">
        <f t="shared" si="1"/>
        <v>426950.04079407587</v>
      </c>
      <c r="H16" s="39">
        <f t="shared" si="1"/>
        <v>501317.63596481713</v>
      </c>
      <c r="I16" s="39">
        <f t="shared" si="1"/>
        <v>589067.74927507923</v>
      </c>
      <c r="J16" s="39">
        <f t="shared" si="1"/>
        <v>692654.61758155981</v>
      </c>
      <c r="K16" s="39">
        <f t="shared" si="1"/>
        <v>814988.11609546212</v>
      </c>
      <c r="L16" s="39">
        <f t="shared" si="1"/>
        <v>959519.11858836433</v>
      </c>
      <c r="M16" s="39">
        <f t="shared" si="1"/>
        <v>1130340.9686476132</v>
      </c>
      <c r="N16" s="39">
        <f t="shared" si="1"/>
        <v>1332310.1227803314</v>
      </c>
      <c r="O16" s="39">
        <f t="shared" si="1"/>
        <v>1571189.611129588</v>
      </c>
      <c r="P16" s="39">
        <f t="shared" si="1"/>
        <v>1853819.6589404424</v>
      </c>
      <c r="Q16" s="39">
        <f t="shared" si="1"/>
        <v>2188320.6434082561</v>
      </c>
    </row>
    <row r="17" spans="2:17" x14ac:dyDescent="0.15">
      <c r="B17" s="6" t="s">
        <v>110</v>
      </c>
      <c r="C17" s="12">
        <v>30.68</v>
      </c>
      <c r="D17" s="12">
        <v>9.44</v>
      </c>
      <c r="E17" s="12">
        <v>33.42</v>
      </c>
      <c r="F17" s="12">
        <v>70.88</v>
      </c>
      <c r="G17" s="13">
        <f>G16*G18</f>
        <v>67.798438021532661</v>
      </c>
      <c r="H17" s="39">
        <f t="shared" ref="H17:Q17" si="2">H16*H18</f>
        <v>79.60779815794676</v>
      </c>
      <c r="I17" s="39">
        <f t="shared" si="2"/>
        <v>93.542263669610023</v>
      </c>
      <c r="J17" s="39">
        <f t="shared" si="2"/>
        <v>109.99156030782933</v>
      </c>
      <c r="K17" s="39">
        <f t="shared" si="2"/>
        <v>129.41776788360607</v>
      </c>
      <c r="L17" s="39">
        <f t="shared" si="2"/>
        <v>152.36887522272261</v>
      </c>
      <c r="M17" s="39">
        <f t="shared" si="2"/>
        <v>179.49489350913711</v>
      </c>
      <c r="N17" s="39">
        <f t="shared" si="2"/>
        <v>211.56701406277563</v>
      </c>
      <c r="O17" s="39">
        <f t="shared" si="2"/>
        <v>249.5003894884824</v>
      </c>
      <c r="P17" s="39">
        <f t="shared" si="2"/>
        <v>294.38122787390154</v>
      </c>
      <c r="Q17" s="39">
        <f t="shared" si="2"/>
        <v>347.49902175302418</v>
      </c>
    </row>
    <row r="18" spans="2:17" x14ac:dyDescent="0.15">
      <c r="C18" s="62">
        <f t="shared" ref="C18:F18" si="3">C17/C16</f>
        <v>1.3551195449095142E-4</v>
      </c>
      <c r="D18" s="62">
        <f t="shared" si="3"/>
        <v>1.2156124297916218E-4</v>
      </c>
      <c r="E18" s="62">
        <f t="shared" si="3"/>
        <v>1.7793251363696722E-4</v>
      </c>
      <c r="F18" s="62">
        <f t="shared" si="3"/>
        <v>2.0018277975649378E-4</v>
      </c>
      <c r="G18" s="41">
        <f>AVERAGE(C18:F18)</f>
        <v>1.5879712271589364E-4</v>
      </c>
      <c r="H18" s="54">
        <f t="shared" ref="H18:Q18" si="4">G18</f>
        <v>1.5879712271589364E-4</v>
      </c>
      <c r="I18" s="41">
        <f t="shared" si="4"/>
        <v>1.5879712271589364E-4</v>
      </c>
      <c r="J18" s="41">
        <f t="shared" si="4"/>
        <v>1.5879712271589364E-4</v>
      </c>
      <c r="K18" s="41">
        <f t="shared" si="4"/>
        <v>1.5879712271589364E-4</v>
      </c>
      <c r="L18" s="41">
        <f t="shared" si="4"/>
        <v>1.5879712271589364E-4</v>
      </c>
      <c r="M18" s="41">
        <f t="shared" si="4"/>
        <v>1.5879712271589364E-4</v>
      </c>
      <c r="N18" s="41">
        <f t="shared" si="4"/>
        <v>1.5879712271589364E-4</v>
      </c>
      <c r="O18" s="41">
        <f t="shared" si="4"/>
        <v>1.5879712271589364E-4</v>
      </c>
      <c r="P18" s="41">
        <f t="shared" si="4"/>
        <v>1.5879712271589364E-4</v>
      </c>
      <c r="Q18" s="41">
        <f t="shared" si="4"/>
        <v>1.5879712271589364E-4</v>
      </c>
    </row>
    <row r="19" spans="2:17" x14ac:dyDescent="0.15">
      <c r="H19" s="39"/>
      <c r="I19" s="39"/>
      <c r="J19" s="39"/>
      <c r="K19" s="39"/>
      <c r="L19" s="39"/>
      <c r="M19" s="39"/>
      <c r="N19" s="39"/>
      <c r="O19" s="39"/>
      <c r="P19" s="39"/>
      <c r="Q19" s="39"/>
    </row>
    <row r="20" spans="2:17" x14ac:dyDescent="0.15">
      <c r="B20" s="47" t="s">
        <v>118</v>
      </c>
      <c r="H20" s="39"/>
      <c r="I20" s="39"/>
      <c r="J20" s="39"/>
      <c r="K20" s="39"/>
      <c r="L20" s="39"/>
      <c r="M20" s="39"/>
      <c r="N20" s="39"/>
      <c r="O20" s="39"/>
      <c r="P20" s="39"/>
      <c r="Q20" s="39"/>
    </row>
    <row r="21" spans="2:17" x14ac:dyDescent="0.15">
      <c r="C21" s="24"/>
      <c r="D21" s="24"/>
      <c r="E21" s="24"/>
      <c r="F21" s="24"/>
      <c r="G21" s="24"/>
      <c r="H21" s="39"/>
      <c r="I21" s="39"/>
      <c r="J21" s="39"/>
      <c r="K21" s="39"/>
      <c r="L21" s="39"/>
      <c r="M21" s="39"/>
      <c r="N21" s="39"/>
      <c r="O21" s="39"/>
      <c r="P21" s="39"/>
      <c r="Q21" s="39"/>
    </row>
    <row r="22" spans="2:17" x14ac:dyDescent="0.15">
      <c r="B22" s="6" t="s">
        <v>111</v>
      </c>
      <c r="C22" s="12">
        <v>24989</v>
      </c>
      <c r="D22" s="12">
        <v>7591.49</v>
      </c>
      <c r="E22" s="12">
        <v>19857.189999999999</v>
      </c>
      <c r="F22" s="12">
        <v>32273.08</v>
      </c>
      <c r="G22" s="12">
        <f>34067.12-67.8092059283271</f>
        <v>33999.310794071673</v>
      </c>
      <c r="H22" s="39">
        <f t="shared" ref="H22:Q22" si="5">G22*(1+H58)</f>
        <v>36719.80976511156</v>
      </c>
      <c r="I22" s="39">
        <f t="shared" si="5"/>
        <v>39657.992991466395</v>
      </c>
      <c r="J22" s="39">
        <f t="shared" si="5"/>
        <v>42831.278761294518</v>
      </c>
      <c r="K22" s="39">
        <f t="shared" si="5"/>
        <v>46258.479109683401</v>
      </c>
      <c r="L22" s="39">
        <f t="shared" si="5"/>
        <v>49959.911341118728</v>
      </c>
      <c r="M22" s="39">
        <f t="shared" si="5"/>
        <v>53957.51847556854</v>
      </c>
      <c r="N22" s="39">
        <f t="shared" si="5"/>
        <v>58274.999332217121</v>
      </c>
      <c r="O22" s="39">
        <f t="shared" si="5"/>
        <v>62937.949022017609</v>
      </c>
      <c r="P22" s="39">
        <f t="shared" si="5"/>
        <v>67974.010681938526</v>
      </c>
      <c r="Q22" s="39">
        <f t="shared" si="5"/>
        <v>73413.039350422958</v>
      </c>
    </row>
    <row r="23" spans="2:17" x14ac:dyDescent="0.15">
      <c r="H23" s="39"/>
      <c r="I23" s="39"/>
      <c r="J23" s="39"/>
      <c r="K23" s="39"/>
      <c r="L23" s="39"/>
      <c r="M23" s="39"/>
      <c r="N23" s="39"/>
      <c r="O23" s="39"/>
      <c r="P23" s="39"/>
      <c r="Q23" s="39"/>
    </row>
    <row r="24" spans="2:17" x14ac:dyDescent="0.15">
      <c r="B24" s="47" t="s">
        <v>112</v>
      </c>
      <c r="H24" s="39"/>
      <c r="I24" s="39"/>
      <c r="J24" s="39"/>
      <c r="K24" s="39"/>
      <c r="L24" s="39"/>
      <c r="M24" s="39"/>
      <c r="N24" s="39"/>
      <c r="O24" s="39"/>
      <c r="P24" s="39"/>
      <c r="Q24" s="39"/>
    </row>
    <row r="25" spans="2:17" x14ac:dyDescent="0.15">
      <c r="H25" s="39"/>
      <c r="I25" s="39"/>
      <c r="J25" s="39"/>
      <c r="K25" s="39"/>
      <c r="L25" s="39"/>
      <c r="M25" s="39"/>
      <c r="N25" s="39"/>
      <c r="O25" s="39"/>
      <c r="P25" s="39"/>
      <c r="Q25" s="39"/>
    </row>
    <row r="26" spans="2:17" x14ac:dyDescent="0.15">
      <c r="B26" s="6" t="s">
        <v>113</v>
      </c>
      <c r="C26" s="12">
        <v>61980.45</v>
      </c>
      <c r="D26" s="12">
        <v>44248.45</v>
      </c>
      <c r="E26" s="12">
        <v>102000.22</v>
      </c>
      <c r="F26" s="12">
        <v>119803.42</v>
      </c>
      <c r="G26" s="12">
        <v>129530.6</v>
      </c>
      <c r="H26" s="39">
        <f t="shared" ref="H26:Q26" si="6">G26*(1+H44)</f>
        <v>155740.58091049519</v>
      </c>
      <c r="I26" s="39">
        <f t="shared" si="6"/>
        <v>187254.04300094725</v>
      </c>
      <c r="J26" s="39">
        <f t="shared" si="6"/>
        <v>225144.1237422383</v>
      </c>
      <c r="K26" s="39">
        <f t="shared" si="6"/>
        <v>270701.10553182493</v>
      </c>
      <c r="L26" s="39">
        <f t="shared" si="6"/>
        <v>325476.35407108185</v>
      </c>
      <c r="M26" s="39">
        <f t="shared" si="6"/>
        <v>391335.14749148313</v>
      </c>
      <c r="N26" s="39">
        <f t="shared" si="6"/>
        <v>470520.19523585855</v>
      </c>
      <c r="O26" s="39">
        <f t="shared" si="6"/>
        <v>565728.00972243026</v>
      </c>
      <c r="P26" s="39">
        <f t="shared" si="6"/>
        <v>680200.73149904003</v>
      </c>
      <c r="Q26" s="39">
        <f t="shared" si="6"/>
        <v>817836.53483736096</v>
      </c>
    </row>
    <row r="27" spans="2:17" x14ac:dyDescent="0.15">
      <c r="B27" s="6" t="s">
        <v>114</v>
      </c>
      <c r="C27" s="12">
        <v>100166.77</v>
      </c>
      <c r="D27" s="12">
        <v>20318.669999999998</v>
      </c>
      <c r="E27" s="12">
        <v>46843.74</v>
      </c>
      <c r="F27" s="12">
        <v>144878.79</v>
      </c>
      <c r="G27" s="12">
        <f>194719.07-1401.09-518.8854644</f>
        <v>192799.09453560002</v>
      </c>
      <c r="H27" s="39">
        <f t="shared" ref="H27:Q27" si="7">G27*(1+H37)</f>
        <v>227091.20773820661</v>
      </c>
      <c r="I27" s="39">
        <f t="shared" si="7"/>
        <v>267482.67026987992</v>
      </c>
      <c r="J27" s="39">
        <f t="shared" si="7"/>
        <v>315058.33980673307</v>
      </c>
      <c r="K27" s="39">
        <f t="shared" si="7"/>
        <v>371096.03168543038</v>
      </c>
      <c r="L27" s="39">
        <f t="shared" si="7"/>
        <v>437100.83921965398</v>
      </c>
      <c r="M27" s="39">
        <f t="shared" si="7"/>
        <v>514845.55838225881</v>
      </c>
      <c r="N27" s="39">
        <f t="shared" si="7"/>
        <v>606418.30260302394</v>
      </c>
      <c r="O27" s="39">
        <f t="shared" si="7"/>
        <v>714278.58654826623</v>
      </c>
      <c r="P27" s="39">
        <f t="shared" si="7"/>
        <v>841323.3852134808</v>
      </c>
      <c r="Q27" s="39">
        <f t="shared" si="7"/>
        <v>990964.94258300273</v>
      </c>
    </row>
    <row r="28" spans="2:17" x14ac:dyDescent="0.15">
      <c r="B28" s="6" t="s">
        <v>115</v>
      </c>
      <c r="C28" s="12">
        <v>38932.480000000003</v>
      </c>
      <c r="D28" s="12">
        <v>5385.88</v>
      </c>
      <c r="E28" s="12">
        <v>18788.62</v>
      </c>
      <c r="F28" s="12">
        <v>56598.42</v>
      </c>
      <c r="G28" s="12">
        <v>70102.149999999994</v>
      </c>
      <c r="H28" s="39">
        <f t="shared" ref="H28:Q28" si="8">G28*(1+H51)</f>
        <v>81205.632792854187</v>
      </c>
      <c r="I28" s="39">
        <f t="shared" si="8"/>
        <v>94067.796740725869</v>
      </c>
      <c r="J28" s="39">
        <f t="shared" si="8"/>
        <v>108967.19943340156</v>
      </c>
      <c r="K28" s="39">
        <f t="shared" si="8"/>
        <v>126226.51921024556</v>
      </c>
      <c r="L28" s="39">
        <f t="shared" si="8"/>
        <v>146219.54344777382</v>
      </c>
      <c r="M28" s="39">
        <f t="shared" si="8"/>
        <v>169379.2637224209</v>
      </c>
      <c r="N28" s="39">
        <f t="shared" si="8"/>
        <v>196207.25316651372</v>
      </c>
      <c r="O28" s="39">
        <f t="shared" si="8"/>
        <v>227284.52910409297</v>
      </c>
      <c r="P28" s="39">
        <f t="shared" si="8"/>
        <v>263284.1362201267</v>
      </c>
      <c r="Q28" s="39">
        <f t="shared" si="8"/>
        <v>304985.72277847986</v>
      </c>
    </row>
    <row r="29" spans="2:17" x14ac:dyDescent="0.15">
      <c r="B29" s="6" t="s">
        <v>116</v>
      </c>
      <c r="C29" s="12">
        <v>331.99</v>
      </c>
      <c r="D29" s="12">
        <v>111.84</v>
      </c>
      <c r="E29" s="12">
        <v>334.25</v>
      </c>
      <c r="F29" s="12">
        <v>522.70000000000005</v>
      </c>
      <c r="G29" s="49">
        <f>G22*G30</f>
        <v>518.88546440417133</v>
      </c>
      <c r="H29" s="39">
        <f t="shared" ref="H29:Q29" si="9">H30*H22</f>
        <v>560.40475814953879</v>
      </c>
      <c r="I29" s="39">
        <f t="shared" si="9"/>
        <v>605.24627205980039</v>
      </c>
      <c r="J29" s="39">
        <f t="shared" si="9"/>
        <v>653.67583789239723</v>
      </c>
      <c r="K29" s="39">
        <f t="shared" si="9"/>
        <v>705.98055827778762</v>
      </c>
      <c r="L29" s="39">
        <f t="shared" si="9"/>
        <v>762.47050873595333</v>
      </c>
      <c r="M29" s="39">
        <f t="shared" si="9"/>
        <v>823.48057588196468</v>
      </c>
      <c r="N29" s="39">
        <f t="shared" si="9"/>
        <v>889.37244271794907</v>
      </c>
      <c r="O29" s="39">
        <f t="shared" si="9"/>
        <v>960.53673278077281</v>
      </c>
      <c r="P29" s="39">
        <f t="shared" si="9"/>
        <v>1037.3953258564816</v>
      </c>
      <c r="Q29" s="39">
        <f t="shared" si="9"/>
        <v>1120.403858989637</v>
      </c>
    </row>
    <row r="30" spans="2:17" x14ac:dyDescent="0.15">
      <c r="C30" s="62">
        <f t="shared" ref="C30:F30" si="10">C29/C22</f>
        <v>1.3285445596062267E-2</v>
      </c>
      <c r="D30" s="62">
        <f t="shared" si="10"/>
        <v>1.4732285756814539E-2</v>
      </c>
      <c r="E30" s="62">
        <f t="shared" si="10"/>
        <v>1.6832693850439062E-2</v>
      </c>
      <c r="F30" s="62">
        <f t="shared" si="10"/>
        <v>1.6196161010972612E-2</v>
      </c>
      <c r="G30" s="41">
        <f>AVERAGE(C30:F30)</f>
        <v>1.5261646553572121E-2</v>
      </c>
      <c r="H30" s="41">
        <f t="shared" ref="H30:Q30" si="11">G30</f>
        <v>1.5261646553572121E-2</v>
      </c>
      <c r="I30" s="41">
        <f t="shared" si="11"/>
        <v>1.5261646553572121E-2</v>
      </c>
      <c r="J30" s="41">
        <f t="shared" si="11"/>
        <v>1.5261646553572121E-2</v>
      </c>
      <c r="K30" s="41">
        <f t="shared" si="11"/>
        <v>1.5261646553572121E-2</v>
      </c>
      <c r="L30" s="41">
        <f t="shared" si="11"/>
        <v>1.5261646553572121E-2</v>
      </c>
      <c r="M30" s="41">
        <f t="shared" si="11"/>
        <v>1.5261646553572121E-2</v>
      </c>
      <c r="N30" s="41">
        <f t="shared" si="11"/>
        <v>1.5261646553572121E-2</v>
      </c>
      <c r="O30" s="41">
        <f t="shared" si="11"/>
        <v>1.5261646553572121E-2</v>
      </c>
      <c r="P30" s="41">
        <f t="shared" si="11"/>
        <v>1.5261646553572121E-2</v>
      </c>
      <c r="Q30" s="41">
        <f t="shared" si="11"/>
        <v>1.5261646553572121E-2</v>
      </c>
    </row>
    <row r="31" spans="2:17" x14ac:dyDescent="0.15">
      <c r="H31" s="39"/>
      <c r="I31" s="39"/>
      <c r="J31" s="39"/>
      <c r="K31" s="39"/>
      <c r="L31" s="39"/>
      <c r="M31" s="39"/>
      <c r="N31" s="39"/>
      <c r="O31" s="39"/>
      <c r="P31" s="39"/>
      <c r="Q31" s="39"/>
    </row>
    <row r="32" spans="2:17" x14ac:dyDescent="0.15">
      <c r="B32" s="6" t="s">
        <v>17</v>
      </c>
      <c r="C32" s="59">
        <f>'P&amp;L_Input'!C36</f>
        <v>7809.73</v>
      </c>
      <c r="D32" s="59">
        <f>'P&amp;L_Input'!D36</f>
        <v>8498.3799999999992</v>
      </c>
      <c r="E32" s="59">
        <f>'P&amp;L_Input'!E36</f>
        <v>7590.38</v>
      </c>
      <c r="F32" s="59">
        <f>'P&amp;L_Input'!F36</f>
        <v>12043.05</v>
      </c>
      <c r="G32" s="59">
        <f>'P&amp;L_Input'!G36</f>
        <v>16447.77</v>
      </c>
      <c r="H32" s="39">
        <f t="shared" ref="H32:Q32" si="12">H33*H14</f>
        <v>19312.697939921243</v>
      </c>
      <c r="I32" s="39">
        <f t="shared" si="12"/>
        <v>22693.172335746989</v>
      </c>
      <c r="J32" s="39">
        <f t="shared" si="12"/>
        <v>26683.739901348967</v>
      </c>
      <c r="K32" s="39">
        <f t="shared" si="12"/>
        <v>31396.500305610127</v>
      </c>
      <c r="L32" s="39">
        <f t="shared" si="12"/>
        <v>36964.394578324922</v>
      </c>
      <c r="M32" s="39">
        <f t="shared" si="12"/>
        <v>43545.114176157542</v>
      </c>
      <c r="N32" s="39">
        <f t="shared" si="12"/>
        <v>51325.748622499515</v>
      </c>
      <c r="O32" s="39">
        <f t="shared" si="12"/>
        <v>60528.312170165926</v>
      </c>
      <c r="P32" s="39">
        <f t="shared" si="12"/>
        <v>71416.316801424517</v>
      </c>
      <c r="Q32" s="39">
        <f t="shared" si="12"/>
        <v>84302.590912249041</v>
      </c>
    </row>
    <row r="33" spans="2:17" x14ac:dyDescent="0.15">
      <c r="C33" s="34">
        <f t="shared" ref="C33:G33" si="13">C32/C14</f>
        <v>3.4490494846186728E-2</v>
      </c>
      <c r="D33" s="34">
        <f t="shared" si="13"/>
        <v>0.10942246500614106</v>
      </c>
      <c r="E33" s="34">
        <f t="shared" si="13"/>
        <v>4.0405000728211779E-2</v>
      </c>
      <c r="F33" s="34">
        <f t="shared" si="13"/>
        <v>3.4005766357833762E-2</v>
      </c>
      <c r="G33" s="34">
        <f t="shared" si="13"/>
        <v>3.8517758484230745E-2</v>
      </c>
      <c r="H33" s="40">
        <f>G33</f>
        <v>3.8517758484230745E-2</v>
      </c>
      <c r="I33" s="40">
        <f t="shared" ref="I33:Q33" si="14">H33</f>
        <v>3.8517758484230745E-2</v>
      </c>
      <c r="J33" s="40">
        <f t="shared" si="14"/>
        <v>3.8517758484230745E-2</v>
      </c>
      <c r="K33" s="40">
        <f t="shared" si="14"/>
        <v>3.8517758484230745E-2</v>
      </c>
      <c r="L33" s="40">
        <f t="shared" si="14"/>
        <v>3.8517758484230745E-2</v>
      </c>
      <c r="M33" s="40">
        <f t="shared" si="14"/>
        <v>3.8517758484230745E-2</v>
      </c>
      <c r="N33" s="40">
        <f t="shared" si="14"/>
        <v>3.8517758484230745E-2</v>
      </c>
      <c r="O33" s="40">
        <f t="shared" si="14"/>
        <v>3.8517758484230745E-2</v>
      </c>
      <c r="P33" s="40">
        <f t="shared" si="14"/>
        <v>3.8517758484230745E-2</v>
      </c>
      <c r="Q33" s="40">
        <f t="shared" si="14"/>
        <v>3.8517758484230745E-2</v>
      </c>
    </row>
    <row r="34" spans="2:17" x14ac:dyDescent="0.15">
      <c r="H34" s="39"/>
      <c r="I34" s="39"/>
      <c r="J34" s="39"/>
      <c r="K34" s="39"/>
      <c r="L34" s="39"/>
      <c r="M34" s="39"/>
      <c r="N34" s="39"/>
      <c r="O34" s="39"/>
      <c r="P34" s="39"/>
      <c r="Q34" s="39"/>
    </row>
    <row r="35" spans="2:17" x14ac:dyDescent="0.15">
      <c r="B35" s="47" t="s">
        <v>119</v>
      </c>
      <c r="H35" s="39"/>
      <c r="I35" s="39"/>
      <c r="J35" s="39"/>
      <c r="K35" s="39"/>
      <c r="L35" s="39"/>
      <c r="M35" s="39"/>
      <c r="N35" s="39"/>
      <c r="O35" s="39"/>
      <c r="P35" s="39"/>
      <c r="Q35" s="39"/>
    </row>
    <row r="36" spans="2:17" x14ac:dyDescent="0.15">
      <c r="H36" s="39"/>
      <c r="I36" s="39"/>
      <c r="J36" s="39"/>
      <c r="K36" s="39"/>
      <c r="L36" s="39"/>
      <c r="M36" s="39"/>
      <c r="N36" s="39"/>
      <c r="O36" s="39"/>
      <c r="P36" s="39"/>
      <c r="Q36" s="39"/>
    </row>
    <row r="37" spans="2:17" x14ac:dyDescent="0.15">
      <c r="B37" s="6" t="s">
        <v>114</v>
      </c>
      <c r="C37" s="13" t="s">
        <v>104</v>
      </c>
      <c r="D37" s="52">
        <f>D27/C27-1</f>
        <v>-0.79715159029286864</v>
      </c>
      <c r="E37" s="52">
        <f>E27/D27-1</f>
        <v>1.3054530636109551</v>
      </c>
      <c r="F37" s="52">
        <f>F27/E27-1</f>
        <v>2.092810053168257</v>
      </c>
      <c r="G37" s="52">
        <f>G27/F27-1</f>
        <v>0.33076135254580752</v>
      </c>
      <c r="H37" s="53">
        <f t="array" ref="H37:Q37">CHOOSE(Assumption_Sheet!C13,Revenue_Build_Up!H39:Q39,Revenue_Build_Up!H40:Q40,Revenue_Build_Up!H41:Q41)</f>
        <v>0.17786449301127094</v>
      </c>
      <c r="I37" s="53">
        <v>0.17786449301127094</v>
      </c>
      <c r="J37" s="53">
        <v>0.17786449301127094</v>
      </c>
      <c r="K37" s="53">
        <v>0.17786449301127094</v>
      </c>
      <c r="L37" s="53">
        <v>0.17786449301127094</v>
      </c>
      <c r="M37" s="53">
        <v>0.17786449301127094</v>
      </c>
      <c r="N37" s="53">
        <v>0.17786449301127094</v>
      </c>
      <c r="O37" s="53">
        <v>0.17786449301127094</v>
      </c>
      <c r="P37" s="53">
        <v>0.17786449301127094</v>
      </c>
      <c r="Q37" s="53">
        <v>0.17786449301127094</v>
      </c>
    </row>
    <row r="38" spans="2:17" x14ac:dyDescent="0.15">
      <c r="D38" s="34"/>
      <c r="E38" s="34"/>
      <c r="F38" s="34"/>
      <c r="G38" s="34"/>
      <c r="H38" s="40"/>
      <c r="I38" s="40"/>
      <c r="J38" s="40"/>
      <c r="K38" s="40"/>
      <c r="L38" s="40"/>
      <c r="M38" s="40"/>
      <c r="N38" s="40"/>
      <c r="O38" s="40"/>
      <c r="P38" s="40"/>
      <c r="Q38" s="40"/>
    </row>
    <row r="39" spans="2:17" x14ac:dyDescent="0.15">
      <c r="B39" s="6" t="s">
        <v>121</v>
      </c>
      <c r="C39" s="33"/>
      <c r="D39" s="42"/>
      <c r="E39" s="42"/>
      <c r="F39" s="42"/>
      <c r="G39" s="42"/>
      <c r="H39" s="41">
        <f>H40+Assumption_Sheet!$C$21</f>
        <v>0.21986449301127095</v>
      </c>
      <c r="I39" s="41">
        <f>I40+Assumption_Sheet!$C$21</f>
        <v>0.21986449301127095</v>
      </c>
      <c r="J39" s="41">
        <f>J40+Assumption_Sheet!$C$21</f>
        <v>0.21986449301127095</v>
      </c>
      <c r="K39" s="41">
        <f>K40+Assumption_Sheet!$C$21</f>
        <v>0.21986449301127095</v>
      </c>
      <c r="L39" s="41">
        <f>L40+Assumption_Sheet!$C$21</f>
        <v>0.21986449301127095</v>
      </c>
      <c r="M39" s="41">
        <f>M40+Assumption_Sheet!$C$21</f>
        <v>0.21986449301127095</v>
      </c>
      <c r="N39" s="41">
        <f>N40+Assumption_Sheet!$C$21</f>
        <v>0.21986449301127095</v>
      </c>
      <c r="O39" s="41">
        <f>O40+Assumption_Sheet!$C$21</f>
        <v>0.21986449301127095</v>
      </c>
      <c r="P39" s="41">
        <f>P40+Assumption_Sheet!$C$21</f>
        <v>0.21986449301127095</v>
      </c>
      <c r="Q39" s="41">
        <f>Q40+Assumption_Sheet!$C$21</f>
        <v>0.21986449301127095</v>
      </c>
    </row>
    <row r="40" spans="2:17" x14ac:dyDescent="0.15">
      <c r="B40" s="6" t="s">
        <v>123</v>
      </c>
      <c r="C40" s="33"/>
      <c r="D40" s="42"/>
      <c r="E40" s="42"/>
      <c r="F40" s="42"/>
      <c r="G40" s="42"/>
      <c r="H40" s="41">
        <f>_xlfn.RRI(COUNT(C11:G11)-1,C27,G27)</f>
        <v>0.17786449301127094</v>
      </c>
      <c r="I40" s="41">
        <f t="shared" ref="I40:Q40" si="15">H40</f>
        <v>0.17786449301127094</v>
      </c>
      <c r="J40" s="41">
        <f t="shared" si="15"/>
        <v>0.17786449301127094</v>
      </c>
      <c r="K40" s="41">
        <f t="shared" si="15"/>
        <v>0.17786449301127094</v>
      </c>
      <c r="L40" s="41">
        <f t="shared" si="15"/>
        <v>0.17786449301127094</v>
      </c>
      <c r="M40" s="41">
        <f t="shared" si="15"/>
        <v>0.17786449301127094</v>
      </c>
      <c r="N40" s="41">
        <f t="shared" si="15"/>
        <v>0.17786449301127094</v>
      </c>
      <c r="O40" s="41">
        <f t="shared" si="15"/>
        <v>0.17786449301127094</v>
      </c>
      <c r="P40" s="41">
        <f t="shared" si="15"/>
        <v>0.17786449301127094</v>
      </c>
      <c r="Q40" s="41">
        <f t="shared" si="15"/>
        <v>0.17786449301127094</v>
      </c>
    </row>
    <row r="41" spans="2:17" x14ac:dyDescent="0.15">
      <c r="B41" s="6" t="s">
        <v>122</v>
      </c>
      <c r="C41" s="33"/>
      <c r="D41" s="42"/>
      <c r="E41" s="42"/>
      <c r="F41" s="42"/>
      <c r="G41" s="42"/>
      <c r="H41" s="41">
        <f>H40-Assumption_Sheet!$C$21</f>
        <v>0.13586449301127093</v>
      </c>
      <c r="I41" s="41">
        <f>I40-Assumption_Sheet!$C$21</f>
        <v>0.13586449301127093</v>
      </c>
      <c r="J41" s="41">
        <f>J40-Assumption_Sheet!$C$21</f>
        <v>0.13586449301127093</v>
      </c>
      <c r="K41" s="41">
        <f>K40-Assumption_Sheet!$C$21</f>
        <v>0.13586449301127093</v>
      </c>
      <c r="L41" s="41">
        <f>L40-Assumption_Sheet!$C$21</f>
        <v>0.13586449301127093</v>
      </c>
      <c r="M41" s="41">
        <f>M40-Assumption_Sheet!$C$21</f>
        <v>0.13586449301127093</v>
      </c>
      <c r="N41" s="41">
        <f>N40-Assumption_Sheet!$C$21</f>
        <v>0.13586449301127093</v>
      </c>
      <c r="O41" s="41">
        <f>O40-Assumption_Sheet!$C$21</f>
        <v>0.13586449301127093</v>
      </c>
      <c r="P41" s="41">
        <f>P40-Assumption_Sheet!$C$21</f>
        <v>0.13586449301127093</v>
      </c>
      <c r="Q41" s="41">
        <f>Q40-Assumption_Sheet!$C$21</f>
        <v>0.13586449301127093</v>
      </c>
    </row>
    <row r="42" spans="2:17" x14ac:dyDescent="0.15">
      <c r="D42" s="34"/>
      <c r="E42" s="34"/>
      <c r="F42" s="34"/>
      <c r="G42" s="34"/>
      <c r="H42" s="40"/>
      <c r="I42" s="40"/>
      <c r="J42" s="40"/>
      <c r="K42" s="40"/>
      <c r="L42" s="40"/>
      <c r="M42" s="40"/>
      <c r="N42" s="40"/>
      <c r="O42" s="40"/>
      <c r="P42" s="40"/>
      <c r="Q42" s="40"/>
    </row>
    <row r="43" spans="2:17" x14ac:dyDescent="0.15">
      <c r="D43" s="34"/>
      <c r="E43" s="34"/>
      <c r="F43" s="34"/>
      <c r="G43" s="34"/>
      <c r="H43" s="40"/>
      <c r="I43" s="40"/>
      <c r="J43" s="40"/>
      <c r="K43" s="40"/>
      <c r="L43" s="40"/>
      <c r="M43" s="40"/>
      <c r="N43" s="40"/>
      <c r="O43" s="40"/>
      <c r="P43" s="40"/>
      <c r="Q43" s="40"/>
    </row>
    <row r="44" spans="2:17" x14ac:dyDescent="0.15">
      <c r="B44" s="6" t="s">
        <v>113</v>
      </c>
      <c r="C44" s="13" t="s">
        <v>104</v>
      </c>
      <c r="D44" s="52">
        <f>D26/C26-1</f>
        <v>-0.28609021070353635</v>
      </c>
      <c r="E44" s="52">
        <f>E26/D26-1</f>
        <v>1.3051704635981602</v>
      </c>
      <c r="F44" s="52">
        <f>F26/E26-1</f>
        <v>0.17454080001003924</v>
      </c>
      <c r="G44" s="52">
        <f>G26/F26-1</f>
        <v>8.1192840738603334E-2</v>
      </c>
      <c r="H44" s="53">
        <f t="array" ref="H44:Q44">CHOOSE(Assumption_Sheet!C13,Revenue_Build_Up!H46:Q46,Revenue_Build_Up!H47:Q47,Revenue_Build_Up!H48:Q48)</f>
        <v>0.20234586198547055</v>
      </c>
      <c r="I44" s="53">
        <v>0.20234586198547055</v>
      </c>
      <c r="J44" s="53">
        <v>0.20234586198547055</v>
      </c>
      <c r="K44" s="53">
        <v>0.20234586198547055</v>
      </c>
      <c r="L44" s="53">
        <v>0.20234586198547055</v>
      </c>
      <c r="M44" s="53">
        <v>0.20234586198547055</v>
      </c>
      <c r="N44" s="53">
        <v>0.20234586198547055</v>
      </c>
      <c r="O44" s="53">
        <v>0.20234586198547055</v>
      </c>
      <c r="P44" s="53">
        <v>0.20234586198547055</v>
      </c>
      <c r="Q44" s="53">
        <v>0.20234586198547055</v>
      </c>
    </row>
    <row r="45" spans="2:17" x14ac:dyDescent="0.15">
      <c r="D45" s="34"/>
      <c r="E45" s="34"/>
      <c r="F45" s="34"/>
      <c r="G45" s="34"/>
      <c r="H45" s="40"/>
      <c r="I45" s="40"/>
      <c r="J45" s="40"/>
      <c r="K45" s="40"/>
      <c r="L45" s="40"/>
      <c r="M45" s="40"/>
      <c r="N45" s="40"/>
      <c r="O45" s="40"/>
      <c r="P45" s="40"/>
      <c r="Q45" s="40"/>
    </row>
    <row r="46" spans="2:17" x14ac:dyDescent="0.15">
      <c r="B46" s="6" t="s">
        <v>121</v>
      </c>
      <c r="C46" s="33"/>
      <c r="D46" s="42"/>
      <c r="E46" s="42"/>
      <c r="F46" s="42"/>
      <c r="G46" s="42"/>
      <c r="H46" s="41">
        <f>H47+Assumption_Sheet!$C$21</f>
        <v>0.24434586198547056</v>
      </c>
      <c r="I46" s="41">
        <f>I47+Assumption_Sheet!$C$21</f>
        <v>0.24434586198547056</v>
      </c>
      <c r="J46" s="41">
        <f>J47+Assumption_Sheet!$C$21</f>
        <v>0.24434586198547056</v>
      </c>
      <c r="K46" s="41">
        <f>K47+Assumption_Sheet!$C$21</f>
        <v>0.24434586198547056</v>
      </c>
      <c r="L46" s="41">
        <f>L47+Assumption_Sheet!$C$21</f>
        <v>0.24434586198547056</v>
      </c>
      <c r="M46" s="41">
        <f>M47+Assumption_Sheet!$C$21</f>
        <v>0.24434586198547056</v>
      </c>
      <c r="N46" s="41">
        <f>N47+Assumption_Sheet!$C$21</f>
        <v>0.24434586198547056</v>
      </c>
      <c r="O46" s="41">
        <f>O47+Assumption_Sheet!$C$21</f>
        <v>0.24434586198547056</v>
      </c>
      <c r="P46" s="41">
        <f>P47+Assumption_Sheet!$C$21</f>
        <v>0.24434586198547056</v>
      </c>
      <c r="Q46" s="41">
        <f>Q47+Assumption_Sheet!$C$21</f>
        <v>0.24434586198547056</v>
      </c>
    </row>
    <row r="47" spans="2:17" x14ac:dyDescent="0.15">
      <c r="B47" s="6" t="s">
        <v>123</v>
      </c>
      <c r="C47" s="33"/>
      <c r="D47" s="42"/>
      <c r="E47" s="42"/>
      <c r="F47" s="42"/>
      <c r="G47" s="42"/>
      <c r="H47" s="41">
        <f>_xlfn.RRI(COUNT(C11:G11)-1,C26,G26)</f>
        <v>0.20234586198547055</v>
      </c>
      <c r="I47" s="41">
        <f t="shared" ref="I47:Q47" si="16">H47</f>
        <v>0.20234586198547055</v>
      </c>
      <c r="J47" s="41">
        <f t="shared" si="16"/>
        <v>0.20234586198547055</v>
      </c>
      <c r="K47" s="41">
        <f t="shared" si="16"/>
        <v>0.20234586198547055</v>
      </c>
      <c r="L47" s="41">
        <f t="shared" si="16"/>
        <v>0.20234586198547055</v>
      </c>
      <c r="M47" s="41">
        <f t="shared" si="16"/>
        <v>0.20234586198547055</v>
      </c>
      <c r="N47" s="41">
        <f t="shared" si="16"/>
        <v>0.20234586198547055</v>
      </c>
      <c r="O47" s="41">
        <f t="shared" si="16"/>
        <v>0.20234586198547055</v>
      </c>
      <c r="P47" s="41">
        <f t="shared" si="16"/>
        <v>0.20234586198547055</v>
      </c>
      <c r="Q47" s="41">
        <f t="shared" si="16"/>
        <v>0.20234586198547055</v>
      </c>
    </row>
    <row r="48" spans="2:17" x14ac:dyDescent="0.15">
      <c r="B48" s="6" t="s">
        <v>122</v>
      </c>
      <c r="C48" s="33"/>
      <c r="D48" s="42"/>
      <c r="E48" s="42"/>
      <c r="F48" s="42"/>
      <c r="G48" s="42"/>
      <c r="H48" s="41">
        <f>H47-Assumption_Sheet!$C$21</f>
        <v>0.16034586198547054</v>
      </c>
      <c r="I48" s="41">
        <f>I47-Assumption_Sheet!$C$21</f>
        <v>0.16034586198547054</v>
      </c>
      <c r="J48" s="41">
        <f>J47-Assumption_Sheet!$C$21</f>
        <v>0.16034586198547054</v>
      </c>
      <c r="K48" s="41">
        <f>K47-Assumption_Sheet!$C$21</f>
        <v>0.16034586198547054</v>
      </c>
      <c r="L48" s="41">
        <f>L47-Assumption_Sheet!$C$21</f>
        <v>0.16034586198547054</v>
      </c>
      <c r="M48" s="41">
        <f>M47-Assumption_Sheet!$C$21</f>
        <v>0.16034586198547054</v>
      </c>
      <c r="N48" s="41">
        <f>N47-Assumption_Sheet!$C$21</f>
        <v>0.16034586198547054</v>
      </c>
      <c r="O48" s="41">
        <f>O47-Assumption_Sheet!$C$21</f>
        <v>0.16034586198547054</v>
      </c>
      <c r="P48" s="41">
        <f>P47-Assumption_Sheet!$C$21</f>
        <v>0.16034586198547054</v>
      </c>
      <c r="Q48" s="41">
        <f>Q47-Assumption_Sheet!$C$21</f>
        <v>0.16034586198547054</v>
      </c>
    </row>
    <row r="49" spans="1:17" x14ac:dyDescent="0.15">
      <c r="D49" s="34"/>
      <c r="E49" s="34"/>
      <c r="F49" s="34"/>
      <c r="G49" s="34"/>
      <c r="H49" s="40"/>
      <c r="I49" s="40"/>
      <c r="J49" s="40"/>
      <c r="K49" s="40"/>
      <c r="L49" s="40"/>
      <c r="M49" s="40"/>
      <c r="N49" s="40"/>
      <c r="O49" s="40"/>
      <c r="P49" s="40"/>
      <c r="Q49" s="40"/>
    </row>
    <row r="50" spans="1:17" x14ac:dyDescent="0.15">
      <c r="D50" s="34"/>
      <c r="E50" s="34"/>
      <c r="F50" s="34"/>
      <c r="G50" s="34"/>
      <c r="H50" s="40"/>
      <c r="I50" s="40"/>
      <c r="J50" s="40"/>
      <c r="K50" s="40"/>
      <c r="L50" s="40"/>
      <c r="M50" s="40"/>
      <c r="N50" s="40"/>
      <c r="O50" s="40"/>
      <c r="P50" s="40"/>
      <c r="Q50" s="40"/>
    </row>
    <row r="51" spans="1:17" x14ac:dyDescent="0.15">
      <c r="B51" s="6" t="s">
        <v>115</v>
      </c>
      <c r="C51" s="13" t="s">
        <v>104</v>
      </c>
      <c r="D51" s="52">
        <f>D28/C28-1</f>
        <v>-0.86166100900841669</v>
      </c>
      <c r="E51" s="52">
        <f>E28/D28-1</f>
        <v>2.4884958446901897</v>
      </c>
      <c r="F51" s="52">
        <f>F28/E28-1</f>
        <v>2.0123777052279519</v>
      </c>
      <c r="G51" s="52">
        <f>G28/F28-1</f>
        <v>0.23858846236343689</v>
      </c>
      <c r="H51" s="53">
        <f t="array" ref="H51:Q51">CHOOSE(Assumption_Sheet!C13,Revenue_Build_Up!H53:Q53,Revenue_Build_Up!H54:Q54,Revenue_Build_Up!H55:Q55)</f>
        <v>0.15839004642302967</v>
      </c>
      <c r="I51" s="53">
        <v>0.15839004642302967</v>
      </c>
      <c r="J51" s="53">
        <v>0.15839004642302967</v>
      </c>
      <c r="K51" s="53">
        <v>0.15839004642302967</v>
      </c>
      <c r="L51" s="53">
        <v>0.15839004642302967</v>
      </c>
      <c r="M51" s="53">
        <v>0.15839004642302967</v>
      </c>
      <c r="N51" s="53">
        <v>0.15839004642302967</v>
      </c>
      <c r="O51" s="53">
        <v>0.15839004642302967</v>
      </c>
      <c r="P51" s="53">
        <v>0.15839004642302967</v>
      </c>
      <c r="Q51" s="53">
        <v>0.15839004642302967</v>
      </c>
    </row>
    <row r="52" spans="1:17" x14ac:dyDescent="0.15">
      <c r="D52" s="34"/>
      <c r="E52" s="34"/>
      <c r="F52" s="34"/>
      <c r="G52" s="34"/>
      <c r="H52" s="40"/>
      <c r="I52" s="40"/>
      <c r="J52" s="40"/>
      <c r="K52" s="40"/>
      <c r="L52" s="40"/>
      <c r="M52" s="40"/>
      <c r="N52" s="40"/>
      <c r="O52" s="40"/>
      <c r="P52" s="40"/>
      <c r="Q52" s="40"/>
    </row>
    <row r="53" spans="1:17" x14ac:dyDescent="0.15">
      <c r="B53" s="6" t="s">
        <v>121</v>
      </c>
      <c r="C53" s="33"/>
      <c r="D53" s="42"/>
      <c r="E53" s="42"/>
      <c r="F53" s="42"/>
      <c r="G53" s="42"/>
      <c r="H53" s="41">
        <f>H54+Assumption_Sheet!$C$21</f>
        <v>0.20039004642302968</v>
      </c>
      <c r="I53" s="41">
        <f>I54+Assumption_Sheet!$C$21</f>
        <v>0.20039004642302968</v>
      </c>
      <c r="J53" s="41">
        <f>J54+Assumption_Sheet!$C$21</f>
        <v>0.20039004642302968</v>
      </c>
      <c r="K53" s="41">
        <f>K54+Assumption_Sheet!$C$21</f>
        <v>0.20039004642302968</v>
      </c>
      <c r="L53" s="41">
        <f>L54+Assumption_Sheet!$C$21</f>
        <v>0.20039004642302968</v>
      </c>
      <c r="M53" s="41">
        <f>M54+Assumption_Sheet!$C$21</f>
        <v>0.20039004642302968</v>
      </c>
      <c r="N53" s="41">
        <f>N54+Assumption_Sheet!$C$21</f>
        <v>0.20039004642302968</v>
      </c>
      <c r="O53" s="41">
        <f>O54+Assumption_Sheet!$C$21</f>
        <v>0.20039004642302968</v>
      </c>
      <c r="P53" s="41">
        <f>P54+Assumption_Sheet!$C$21</f>
        <v>0.20039004642302968</v>
      </c>
      <c r="Q53" s="41">
        <f>Q54+Assumption_Sheet!$C$21</f>
        <v>0.20039004642302968</v>
      </c>
    </row>
    <row r="54" spans="1:17" x14ac:dyDescent="0.15">
      <c r="B54" s="6" t="s">
        <v>123</v>
      </c>
      <c r="C54" s="33"/>
      <c r="D54" s="42"/>
      <c r="E54" s="42"/>
      <c r="F54" s="42"/>
      <c r="G54" s="42"/>
      <c r="H54" s="41">
        <f>_xlfn.RRI(COUNT(C11:G11)-1,C28,G28)</f>
        <v>0.15839004642302967</v>
      </c>
      <c r="I54" s="41">
        <f t="shared" ref="I54:Q54" si="17">H54</f>
        <v>0.15839004642302967</v>
      </c>
      <c r="J54" s="41">
        <f t="shared" si="17"/>
        <v>0.15839004642302967</v>
      </c>
      <c r="K54" s="41">
        <f t="shared" si="17"/>
        <v>0.15839004642302967</v>
      </c>
      <c r="L54" s="41">
        <f t="shared" si="17"/>
        <v>0.15839004642302967</v>
      </c>
      <c r="M54" s="41">
        <f t="shared" si="17"/>
        <v>0.15839004642302967</v>
      </c>
      <c r="N54" s="41">
        <f t="shared" si="17"/>
        <v>0.15839004642302967</v>
      </c>
      <c r="O54" s="41">
        <f t="shared" si="17"/>
        <v>0.15839004642302967</v>
      </c>
      <c r="P54" s="41">
        <f t="shared" si="17"/>
        <v>0.15839004642302967</v>
      </c>
      <c r="Q54" s="41">
        <f t="shared" si="17"/>
        <v>0.15839004642302967</v>
      </c>
    </row>
    <row r="55" spans="1:17" x14ac:dyDescent="0.15">
      <c r="B55" s="6" t="s">
        <v>122</v>
      </c>
      <c r="C55" s="33"/>
      <c r="D55" s="42"/>
      <c r="E55" s="42"/>
      <c r="F55" s="42"/>
      <c r="G55" s="42"/>
      <c r="H55" s="41">
        <f>H54-Assumption_Sheet!$C$21</f>
        <v>0.11639004642302966</v>
      </c>
      <c r="I55" s="41">
        <f>I54-Assumption_Sheet!$C$21</f>
        <v>0.11639004642302966</v>
      </c>
      <c r="J55" s="41">
        <f>J54-Assumption_Sheet!$C$21</f>
        <v>0.11639004642302966</v>
      </c>
      <c r="K55" s="41">
        <f>K54-Assumption_Sheet!$C$21</f>
        <v>0.11639004642302966</v>
      </c>
      <c r="L55" s="41">
        <f>L54-Assumption_Sheet!$C$21</f>
        <v>0.11639004642302966</v>
      </c>
      <c r="M55" s="41">
        <f>M54-Assumption_Sheet!$C$21</f>
        <v>0.11639004642302966</v>
      </c>
      <c r="N55" s="41">
        <f>N54-Assumption_Sheet!$C$21</f>
        <v>0.11639004642302966</v>
      </c>
      <c r="O55" s="41">
        <f>O54-Assumption_Sheet!$C$21</f>
        <v>0.11639004642302966</v>
      </c>
      <c r="P55" s="41">
        <f>P54-Assumption_Sheet!$C$21</f>
        <v>0.11639004642302966</v>
      </c>
      <c r="Q55" s="41">
        <f>Q54-Assumption_Sheet!$C$21</f>
        <v>0.11639004642302966</v>
      </c>
    </row>
    <row r="56" spans="1:17" x14ac:dyDescent="0.15">
      <c r="D56" s="34"/>
      <c r="E56" s="34"/>
      <c r="F56" s="34"/>
      <c r="G56" s="34"/>
      <c r="H56" s="40"/>
      <c r="I56" s="40"/>
      <c r="J56" s="40"/>
      <c r="K56" s="40"/>
      <c r="L56" s="40"/>
      <c r="M56" s="40"/>
      <c r="N56" s="40"/>
      <c r="O56" s="40"/>
      <c r="P56" s="40"/>
      <c r="Q56" s="40"/>
    </row>
    <row r="57" spans="1:17" x14ac:dyDescent="0.15">
      <c r="D57" s="34"/>
      <c r="E57" s="34"/>
      <c r="F57" s="34"/>
      <c r="G57" s="34"/>
      <c r="H57" s="40"/>
      <c r="I57" s="40"/>
      <c r="J57" s="40"/>
      <c r="K57" s="40"/>
      <c r="L57" s="40"/>
      <c r="M57" s="40"/>
      <c r="N57" s="40"/>
      <c r="O57" s="40"/>
      <c r="P57" s="40"/>
      <c r="Q57" s="40"/>
    </row>
    <row r="58" spans="1:17" x14ac:dyDescent="0.15">
      <c r="B58" s="6" t="s">
        <v>111</v>
      </c>
      <c r="C58" s="13" t="s">
        <v>104</v>
      </c>
      <c r="D58" s="52">
        <f>D22/C22-1</f>
        <v>-0.69620673096162311</v>
      </c>
      <c r="E58" s="52">
        <f>E22/D22-1</f>
        <v>1.6157170726695287</v>
      </c>
      <c r="F58" s="52">
        <f>F22/E22-1</f>
        <v>0.62525916305378582</v>
      </c>
      <c r="G58" s="52">
        <f>G22/F22-1</f>
        <v>5.348825690239889E-2</v>
      </c>
      <c r="H58" s="53">
        <f t="array" ref="H58:Q58">CHOOSE(Assumption_Sheet!C13,Revenue_Build_Up!H60:Q60,Revenue_Build_Up!H61:Q61,Revenue_Build_Up!H62:Q62)</f>
        <v>8.0016297610193021E-2</v>
      </c>
      <c r="I58" s="53">
        <v>8.0016297610193021E-2</v>
      </c>
      <c r="J58" s="53">
        <v>8.0016297610193021E-2</v>
      </c>
      <c r="K58" s="53">
        <v>8.0016297610193021E-2</v>
      </c>
      <c r="L58" s="53">
        <v>8.0016297610193021E-2</v>
      </c>
      <c r="M58" s="53">
        <v>8.0016297610193021E-2</v>
      </c>
      <c r="N58" s="53">
        <v>8.0016297610193021E-2</v>
      </c>
      <c r="O58" s="53">
        <v>8.0016297610193021E-2</v>
      </c>
      <c r="P58" s="53">
        <v>8.0016297610193021E-2</v>
      </c>
      <c r="Q58" s="53">
        <v>8.0016297610193021E-2</v>
      </c>
    </row>
    <row r="59" spans="1:17" x14ac:dyDescent="0.15">
      <c r="D59" s="34"/>
      <c r="E59" s="34"/>
      <c r="F59" s="34"/>
      <c r="G59" s="34"/>
      <c r="H59" s="40"/>
      <c r="I59" s="40"/>
      <c r="J59" s="40"/>
      <c r="K59" s="40"/>
      <c r="L59" s="40"/>
      <c r="M59" s="40"/>
      <c r="N59" s="40"/>
      <c r="O59" s="40"/>
      <c r="P59" s="40"/>
      <c r="Q59" s="40"/>
    </row>
    <row r="60" spans="1:17" x14ac:dyDescent="0.15">
      <c r="B60" s="6" t="s">
        <v>121</v>
      </c>
      <c r="C60" s="33"/>
      <c r="D60" s="42"/>
      <c r="E60" s="42"/>
      <c r="F60" s="42"/>
      <c r="G60" s="42"/>
      <c r="H60" s="41">
        <f>H61+Assumption_Sheet!$C$21</f>
        <v>0.12201629761019303</v>
      </c>
      <c r="I60" s="41">
        <f>I61+Assumption_Sheet!$C$21</f>
        <v>0.12201629761019303</v>
      </c>
      <c r="J60" s="41">
        <f>J61+Assumption_Sheet!$C$21</f>
        <v>0.12201629761019303</v>
      </c>
      <c r="K60" s="41">
        <f>K61+Assumption_Sheet!$C$21</f>
        <v>0.12201629761019303</v>
      </c>
      <c r="L60" s="41">
        <f>L61+Assumption_Sheet!$C$21</f>
        <v>0.12201629761019303</v>
      </c>
      <c r="M60" s="41">
        <f>M61+Assumption_Sheet!$C$21</f>
        <v>0.12201629761019303</v>
      </c>
      <c r="N60" s="41">
        <f>N61+Assumption_Sheet!$C$21</f>
        <v>0.12201629761019303</v>
      </c>
      <c r="O60" s="41">
        <f>O61+Assumption_Sheet!$C$21</f>
        <v>0.12201629761019303</v>
      </c>
      <c r="P60" s="41">
        <f>P61+Assumption_Sheet!$C$21</f>
        <v>0.12201629761019303</v>
      </c>
      <c r="Q60" s="41">
        <f>Q61+Assumption_Sheet!$C$21</f>
        <v>0.12201629761019303</v>
      </c>
    </row>
    <row r="61" spans="1:17" x14ac:dyDescent="0.15">
      <c r="B61" s="6" t="s">
        <v>123</v>
      </c>
      <c r="C61" s="33"/>
      <c r="D61" s="42"/>
      <c r="E61" s="42"/>
      <c r="F61" s="42"/>
      <c r="G61" s="42"/>
      <c r="H61" s="41">
        <f>_xlfn.RRI(COUNT(C11:G11)-1,C22,G22)</f>
        <v>8.0016297610193021E-2</v>
      </c>
      <c r="I61" s="41">
        <f t="shared" ref="I61:Q61" si="18">H61</f>
        <v>8.0016297610193021E-2</v>
      </c>
      <c r="J61" s="41">
        <f t="shared" si="18"/>
        <v>8.0016297610193021E-2</v>
      </c>
      <c r="K61" s="41">
        <f t="shared" si="18"/>
        <v>8.0016297610193021E-2</v>
      </c>
      <c r="L61" s="41">
        <f t="shared" si="18"/>
        <v>8.0016297610193021E-2</v>
      </c>
      <c r="M61" s="41">
        <f t="shared" si="18"/>
        <v>8.0016297610193021E-2</v>
      </c>
      <c r="N61" s="41">
        <f t="shared" si="18"/>
        <v>8.0016297610193021E-2</v>
      </c>
      <c r="O61" s="41">
        <f t="shared" si="18"/>
        <v>8.0016297610193021E-2</v>
      </c>
      <c r="P61" s="41">
        <f t="shared" si="18"/>
        <v>8.0016297610193021E-2</v>
      </c>
      <c r="Q61" s="41">
        <f t="shared" si="18"/>
        <v>8.0016297610193021E-2</v>
      </c>
    </row>
    <row r="62" spans="1:17" x14ac:dyDescent="0.15">
      <c r="B62" s="6" t="s">
        <v>122</v>
      </c>
      <c r="C62" s="33"/>
      <c r="D62" s="42"/>
      <c r="E62" s="42"/>
      <c r="F62" s="42"/>
      <c r="G62" s="42"/>
      <c r="H62" s="41">
        <f>H61-Assumption_Sheet!$C$21</f>
        <v>3.8016297610193019E-2</v>
      </c>
      <c r="I62" s="41">
        <f>I61-Assumption_Sheet!$C$21</f>
        <v>3.8016297610193019E-2</v>
      </c>
      <c r="J62" s="41">
        <f>J61-Assumption_Sheet!$C$21</f>
        <v>3.8016297610193019E-2</v>
      </c>
      <c r="K62" s="41">
        <f>K61-Assumption_Sheet!$C$21</f>
        <v>3.8016297610193019E-2</v>
      </c>
      <c r="L62" s="41">
        <f>L61-Assumption_Sheet!$C$21</f>
        <v>3.8016297610193019E-2</v>
      </c>
      <c r="M62" s="41">
        <f>M61-Assumption_Sheet!$C$21</f>
        <v>3.8016297610193019E-2</v>
      </c>
      <c r="N62" s="41">
        <f>N61-Assumption_Sheet!$C$21</f>
        <v>3.8016297610193019E-2</v>
      </c>
      <c r="O62" s="41">
        <f>O61-Assumption_Sheet!$C$21</f>
        <v>3.8016297610193019E-2</v>
      </c>
      <c r="P62" s="41">
        <f>P61-Assumption_Sheet!$C$21</f>
        <v>3.8016297610193019E-2</v>
      </c>
      <c r="Q62" s="41">
        <f>Q61-Assumption_Sheet!$C$21</f>
        <v>3.8016297610193019E-2</v>
      </c>
    </row>
    <row r="64" spans="1:17" ht="21" x14ac:dyDescent="0.25">
      <c r="A64" s="10"/>
      <c r="B64" s="10"/>
      <c r="C64" s="10"/>
      <c r="D64" s="10"/>
      <c r="E64" s="10"/>
      <c r="F64" s="10"/>
      <c r="G64" s="10"/>
      <c r="H64" s="10"/>
      <c r="I64" s="10"/>
      <c r="J64" s="10"/>
      <c r="K64" s="10"/>
      <c r="L64" s="10"/>
      <c r="M64" s="10"/>
      <c r="N64" s="10"/>
      <c r="O64" s="10"/>
      <c r="P64" s="10"/>
      <c r="Q64" s="10"/>
    </row>
  </sheetData>
  <mergeCells count="1">
    <mergeCell ref="B11:B12"/>
  </mergeCells>
  <pageMargins left="0.7" right="0.7" top="0.75" bottom="0.75" header="0.3" footer="0.3"/>
  <pageSetup scale="40" fitToHeight="0" orientation="landscape" r:id="rId1"/>
  <ignoredErrors>
    <ignoredError sqref="H26:H28 H34:H36 H42:H43 H49:H50 H56:H57 H38:H40 H45:H47 H52:H54 H61 H59 H30" formulaRange="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E2613-909A-498B-8444-670E621BA3DD}">
  <sheetPr>
    <tabColor theme="8" tint="0.79998168889431442"/>
    <pageSetUpPr fitToPage="1"/>
  </sheetPr>
  <dimension ref="A1:Q52"/>
  <sheetViews>
    <sheetView showGridLines="0" workbookViewId="0">
      <pane xSplit="2" ySplit="12" topLeftCell="C13" activePane="bottomRight" state="frozen"/>
      <selection pane="topRight" activeCell="C1" sqref="C1"/>
      <selection pane="bottomLeft" activeCell="A12" sqref="A12"/>
      <selection pane="bottomRight"/>
    </sheetView>
  </sheetViews>
  <sheetFormatPr baseColWidth="10" defaultColWidth="15.6640625" defaultRowHeight="14" x14ac:dyDescent="0.15"/>
  <cols>
    <col min="1" max="1" width="2.6640625" style="3" customWidth="1"/>
    <col min="2" max="2" width="40.6640625" style="6" customWidth="1"/>
    <col min="3" max="16384" width="15.6640625" style="13"/>
  </cols>
  <sheetData>
    <row r="1" spans="1:17" s="1" customFormat="1" x14ac:dyDescent="0.15"/>
    <row r="2" spans="1:17" s="1" customFormat="1" x14ac:dyDescent="0.15"/>
    <row r="3" spans="1:17" s="1" customFormat="1" x14ac:dyDescent="0.15"/>
    <row r="4" spans="1:17" s="1" customFormat="1" x14ac:dyDescent="0.15"/>
    <row r="5" spans="1:17" s="1" customFormat="1" x14ac:dyDescent="0.15"/>
    <row r="6" spans="1:17" s="1" customFormat="1" x14ac:dyDescent="0.15"/>
    <row r="7" spans="1:17" s="1" customFormat="1" x14ac:dyDescent="0.15"/>
    <row r="8" spans="1:17" s="1" customFormat="1" ht="21" x14ac:dyDescent="0.25">
      <c r="A8" s="10" t="s">
        <v>359</v>
      </c>
      <c r="B8" s="10"/>
      <c r="C8" s="10"/>
      <c r="D8" s="10"/>
      <c r="E8" s="10"/>
      <c r="F8" s="10"/>
      <c r="G8" s="10"/>
      <c r="H8" s="10"/>
      <c r="I8" s="10"/>
      <c r="J8" s="10"/>
      <c r="K8" s="10"/>
      <c r="L8" s="10"/>
      <c r="M8" s="10"/>
      <c r="N8" s="10"/>
      <c r="O8" s="10"/>
      <c r="P8" s="10"/>
      <c r="Q8" s="10"/>
    </row>
    <row r="9" spans="1:17" s="1" customFormat="1" ht="21" x14ac:dyDescent="0.25">
      <c r="A9" s="10" t="s">
        <v>137</v>
      </c>
      <c r="B9" s="10"/>
      <c r="C9" s="10"/>
      <c r="D9" s="10"/>
      <c r="E9" s="10"/>
      <c r="F9" s="10"/>
      <c r="G9" s="10"/>
      <c r="H9" s="10"/>
      <c r="I9" s="10"/>
      <c r="J9" s="10"/>
      <c r="K9" s="10"/>
      <c r="L9" s="10"/>
      <c r="M9" s="10"/>
      <c r="N9" s="10"/>
      <c r="O9" s="10"/>
      <c r="P9" s="10"/>
      <c r="Q9" s="10"/>
    </row>
    <row r="10" spans="1:17" s="1" customFormat="1" x14ac:dyDescent="0.15"/>
    <row r="11" spans="1:17" s="18" customFormat="1" ht="18" x14ac:dyDescent="0.2">
      <c r="A11" s="3"/>
      <c r="B11" s="157" t="s">
        <v>0</v>
      </c>
      <c r="C11" s="5">
        <v>2020</v>
      </c>
      <c r="D11" s="5">
        <v>2021</v>
      </c>
      <c r="E11" s="5">
        <v>2022</v>
      </c>
      <c r="F11" s="5">
        <v>2023</v>
      </c>
      <c r="G11" s="5">
        <v>2024</v>
      </c>
      <c r="H11" s="5">
        <v>2025</v>
      </c>
      <c r="I11" s="5">
        <v>2026</v>
      </c>
      <c r="J11" s="5">
        <v>2027</v>
      </c>
      <c r="K11" s="5">
        <v>2028</v>
      </c>
      <c r="L11" s="5">
        <v>2029</v>
      </c>
      <c r="M11" s="5">
        <v>2030</v>
      </c>
      <c r="N11" s="5">
        <v>2031</v>
      </c>
      <c r="O11" s="5">
        <v>2032</v>
      </c>
      <c r="P11" s="5">
        <v>2033</v>
      </c>
      <c r="Q11" s="5">
        <v>2034</v>
      </c>
    </row>
    <row r="12" spans="1:17" s="25" customFormat="1" ht="18" x14ac:dyDescent="0.2">
      <c r="A12" s="3"/>
      <c r="B12" s="157"/>
      <c r="C12" s="4" t="s">
        <v>1</v>
      </c>
      <c r="D12" s="4" t="s">
        <v>1</v>
      </c>
      <c r="E12" s="4" t="s">
        <v>1</v>
      </c>
      <c r="F12" s="4" t="s">
        <v>1</v>
      </c>
      <c r="G12" s="4" t="s">
        <v>1</v>
      </c>
      <c r="H12" s="4" t="s">
        <v>71</v>
      </c>
      <c r="I12" s="4" t="s">
        <v>71</v>
      </c>
      <c r="J12" s="4" t="s">
        <v>71</v>
      </c>
      <c r="K12" s="4" t="s">
        <v>71</v>
      </c>
      <c r="L12" s="4" t="s">
        <v>71</v>
      </c>
      <c r="M12" s="4" t="s">
        <v>71</v>
      </c>
      <c r="N12" s="4" t="s">
        <v>71</v>
      </c>
      <c r="O12" s="4" t="s">
        <v>71</v>
      </c>
      <c r="P12" s="4" t="s">
        <v>71</v>
      </c>
      <c r="Q12" s="4" t="s">
        <v>71</v>
      </c>
    </row>
    <row r="13" spans="1:17" s="3" customFormat="1" x14ac:dyDescent="0.15">
      <c r="B13" s="6"/>
      <c r="D13" s="24"/>
    </row>
    <row r="14" spans="1:17" s="3" customFormat="1" x14ac:dyDescent="0.15">
      <c r="B14" s="15" t="s">
        <v>109</v>
      </c>
      <c r="C14" s="60">
        <f>Revenue_Build_Up!C14</f>
        <v>226431.37</v>
      </c>
      <c r="D14" s="60">
        <f>Revenue_Build_Up!D14</f>
        <v>77665.76999999999</v>
      </c>
      <c r="E14" s="60">
        <f>Revenue_Build_Up!E14</f>
        <v>187857.44</v>
      </c>
      <c r="F14" s="60">
        <f>Revenue_Build_Up!F14</f>
        <v>354147.29000000004</v>
      </c>
      <c r="G14" s="60">
        <f>Revenue_Build_Up!G14</f>
        <v>427017.83923209738</v>
      </c>
      <c r="H14" s="64">
        <f>Revenue_Build_Up!H14</f>
        <v>501397.24376297509</v>
      </c>
      <c r="I14" s="64">
        <f>Revenue_Build_Up!I14</f>
        <v>589161.29153874889</v>
      </c>
      <c r="J14" s="64">
        <f>Revenue_Build_Up!J14</f>
        <v>692764.60914186761</v>
      </c>
      <c r="K14" s="64">
        <f>Revenue_Build_Up!K14</f>
        <v>815117.53386334574</v>
      </c>
      <c r="L14" s="64">
        <f>Revenue_Build_Up!L14</f>
        <v>959671.48746358708</v>
      </c>
      <c r="M14" s="64">
        <f>Revenue_Build_Up!M14</f>
        <v>1130520.4635411224</v>
      </c>
      <c r="N14" s="64">
        <f>Revenue_Build_Up!N14</f>
        <v>1332521.6897943942</v>
      </c>
      <c r="O14" s="64">
        <f>Revenue_Build_Up!O14</f>
        <v>1571439.1115190764</v>
      </c>
      <c r="P14" s="64">
        <f>Revenue_Build_Up!P14</f>
        <v>1854114.0401683163</v>
      </c>
      <c r="Q14" s="64">
        <f>Revenue_Build_Up!Q14</f>
        <v>2188668.1424300093</v>
      </c>
    </row>
    <row r="15" spans="1:17" s="3" customFormat="1" x14ac:dyDescent="0.15">
      <c r="B15" s="6"/>
      <c r="H15" s="37"/>
      <c r="I15" s="37"/>
      <c r="J15" s="37"/>
      <c r="K15" s="37"/>
      <c r="L15" s="37"/>
      <c r="M15" s="37"/>
      <c r="N15" s="37"/>
      <c r="O15" s="37"/>
      <c r="P15" s="37"/>
      <c r="Q15" s="37"/>
    </row>
    <row r="16" spans="1:17" x14ac:dyDescent="0.15">
      <c r="B16" s="6" t="s">
        <v>3</v>
      </c>
      <c r="C16" s="59">
        <f>VLOOKUP($B16,'P&amp;L_Input'!$B$17:$G$26,COUNTBLANK(Cost_Build_Up!$B$10:C$10),FALSE)</f>
        <v>10992.97</v>
      </c>
      <c r="D16" s="59">
        <f>VLOOKUP($B16,'P&amp;L_Input'!$B$17:$G$26,COUNTBLANK(Cost_Build_Up!$B$10:D$10),FALSE)</f>
        <v>1273.5999999999999</v>
      </c>
      <c r="E16" s="59">
        <f>VLOOKUP($B16,'P&amp;L_Input'!$B$17:$G$26,COUNTBLANK(Cost_Build_Up!$B$10:E$10),FALSE)</f>
        <v>4012.81</v>
      </c>
      <c r="F16" s="59">
        <f>VLOOKUP($B16,'P&amp;L_Input'!$B$17:$G$26,COUNTBLANK(Cost_Build_Up!$B$10:F$10),FALSE)</f>
        <v>7567.38</v>
      </c>
      <c r="G16" s="59">
        <f>VLOOKUP($B16,'P&amp;L_Input'!$B$17:$G$26,COUNTBLANK(Cost_Build_Up!$B$10:G$10),FALSE)</f>
        <v>7198.98</v>
      </c>
      <c r="H16" s="39">
        <f t="shared" ref="H16:Q16" si="0">H14*H17</f>
        <v>12488.283252106379</v>
      </c>
      <c r="I16" s="39">
        <f t="shared" si="0"/>
        <v>14674.219257158256</v>
      </c>
      <c r="J16" s="39">
        <f t="shared" si="0"/>
        <v>17254.663390387908</v>
      </c>
      <c r="K16" s="39">
        <f t="shared" si="0"/>
        <v>20302.103318812777</v>
      </c>
      <c r="L16" s="39">
        <f t="shared" si="0"/>
        <v>23902.503481014388</v>
      </c>
      <c r="M16" s="39">
        <f t="shared" si="0"/>
        <v>28157.832829408708</v>
      </c>
      <c r="N16" s="39">
        <f t="shared" si="0"/>
        <v>33189.070160893149</v>
      </c>
      <c r="O16" s="39">
        <f t="shared" si="0"/>
        <v>39139.777855192428</v>
      </c>
      <c r="P16" s="39">
        <f t="shared" si="0"/>
        <v>46180.352212456863</v>
      </c>
      <c r="Q16" s="39">
        <f t="shared" si="0"/>
        <v>54513.079294964024</v>
      </c>
    </row>
    <row r="17" spans="2:17" x14ac:dyDescent="0.15">
      <c r="C17" s="62">
        <f t="shared" ref="C17:G17" si="1">C16/C14</f>
        <v>4.8548794277047391E-2</v>
      </c>
      <c r="D17" s="62">
        <f t="shared" si="1"/>
        <v>1.6398472583224244E-2</v>
      </c>
      <c r="E17" s="62">
        <f t="shared" si="1"/>
        <v>2.1360931991833806E-2</v>
      </c>
      <c r="F17" s="62">
        <f t="shared" si="1"/>
        <v>2.1367889049779258E-2</v>
      </c>
      <c r="G17" s="62">
        <f t="shared" si="1"/>
        <v>1.6858733613906777E-2</v>
      </c>
      <c r="H17" s="41">
        <f>AVERAGE(C17:G17)</f>
        <v>2.4906964303158297E-2</v>
      </c>
      <c r="I17" s="41">
        <f t="shared" ref="I17:Q17" si="2">H17</f>
        <v>2.4906964303158297E-2</v>
      </c>
      <c r="J17" s="41">
        <f t="shared" si="2"/>
        <v>2.4906964303158297E-2</v>
      </c>
      <c r="K17" s="41">
        <f t="shared" si="2"/>
        <v>2.4906964303158297E-2</v>
      </c>
      <c r="L17" s="41">
        <f t="shared" si="2"/>
        <v>2.4906964303158297E-2</v>
      </c>
      <c r="M17" s="41">
        <f t="shared" si="2"/>
        <v>2.4906964303158297E-2</v>
      </c>
      <c r="N17" s="41">
        <f t="shared" si="2"/>
        <v>2.4906964303158297E-2</v>
      </c>
      <c r="O17" s="41">
        <f t="shared" si="2"/>
        <v>2.4906964303158297E-2</v>
      </c>
      <c r="P17" s="41">
        <f t="shared" si="2"/>
        <v>2.4906964303158297E-2</v>
      </c>
      <c r="Q17" s="41">
        <f t="shared" si="2"/>
        <v>2.4906964303158297E-2</v>
      </c>
    </row>
    <row r="18" spans="2:17" x14ac:dyDescent="0.15">
      <c r="H18" s="39"/>
      <c r="I18" s="39"/>
      <c r="J18" s="39"/>
      <c r="K18" s="39"/>
      <c r="L18" s="39"/>
      <c r="M18" s="39"/>
      <c r="N18" s="39"/>
      <c r="O18" s="39"/>
      <c r="P18" s="39"/>
      <c r="Q18" s="39"/>
    </row>
    <row r="19" spans="2:17" x14ac:dyDescent="0.15">
      <c r="B19" s="6" t="s">
        <v>4</v>
      </c>
      <c r="C19" s="59">
        <f>VLOOKUP($B19,'P&amp;L_Input'!$B$17:$G$26,COUNTBLANK(Cost_Build_Up!$B$10:C$10),FALSE)</f>
        <v>2877.33</v>
      </c>
      <c r="D19" s="59">
        <f>VLOOKUP($B19,'P&amp;L_Input'!$B$17:$G$26,COUNTBLANK(Cost_Build_Up!$B$10:D$10),FALSE)</f>
        <v>3215.5</v>
      </c>
      <c r="E19" s="59">
        <f>VLOOKUP($B19,'P&amp;L_Input'!$B$17:$G$26,COUNTBLANK(Cost_Build_Up!$B$10:E$10),FALSE)</f>
        <v>6579.63</v>
      </c>
      <c r="F19" s="59">
        <f>VLOOKUP($B19,'P&amp;L_Input'!$B$17:$G$26,COUNTBLANK(Cost_Build_Up!$B$10:F$10),FALSE)</f>
        <v>12068.58</v>
      </c>
      <c r="G19" s="59">
        <f>VLOOKUP($B19,'P&amp;L_Input'!$B$17:$G$26,COUNTBLANK(Cost_Build_Up!$B$10:G$10),FALSE)</f>
        <v>17495.900000000001</v>
      </c>
      <c r="H19" s="39">
        <f t="shared" ref="H19:Q19" si="3">H14*H20</f>
        <v>16464.260809971835</v>
      </c>
      <c r="I19" s="39">
        <f t="shared" si="3"/>
        <v>19346.147757484148</v>
      </c>
      <c r="J19" s="39">
        <f t="shared" si="3"/>
        <v>22748.145002212626</v>
      </c>
      <c r="K19" s="39">
        <f t="shared" si="3"/>
        <v>26765.818590441511</v>
      </c>
      <c r="L19" s="39">
        <f t="shared" si="3"/>
        <v>31512.502029156272</v>
      </c>
      <c r="M19" s="39">
        <f t="shared" si="3"/>
        <v>37122.62880238385</v>
      </c>
      <c r="N19" s="39">
        <f t="shared" si="3"/>
        <v>43755.694528888314</v>
      </c>
      <c r="O19" s="39">
        <f t="shared" si="3"/>
        <v>51600.968495293935</v>
      </c>
      <c r="P19" s="39">
        <f t="shared" si="3"/>
        <v>60883.097201851728</v>
      </c>
      <c r="Q19" s="39">
        <f t="shared" si="3"/>
        <v>71868.76986599261</v>
      </c>
    </row>
    <row r="20" spans="2:17" x14ac:dyDescent="0.15">
      <c r="C20" s="62">
        <f t="shared" ref="C20:G20" si="4">C19/C14</f>
        <v>1.270729404675686E-2</v>
      </c>
      <c r="D20" s="62">
        <f t="shared" si="4"/>
        <v>4.1401765539696579E-2</v>
      </c>
      <c r="E20" s="62">
        <f t="shared" si="4"/>
        <v>3.5024590987719199E-2</v>
      </c>
      <c r="F20" s="62">
        <f t="shared" si="4"/>
        <v>3.4077855007728558E-2</v>
      </c>
      <c r="G20" s="62">
        <f t="shared" si="4"/>
        <v>4.0972292940882123E-2</v>
      </c>
      <c r="H20" s="41">
        <f>AVERAGE(C20:G20)</f>
        <v>3.2836759704556663E-2</v>
      </c>
      <c r="I20" s="41">
        <f t="shared" ref="I20:Q20" si="5">H20</f>
        <v>3.2836759704556663E-2</v>
      </c>
      <c r="J20" s="41">
        <f t="shared" si="5"/>
        <v>3.2836759704556663E-2</v>
      </c>
      <c r="K20" s="41">
        <f t="shared" si="5"/>
        <v>3.2836759704556663E-2</v>
      </c>
      <c r="L20" s="41">
        <f t="shared" si="5"/>
        <v>3.2836759704556663E-2</v>
      </c>
      <c r="M20" s="41">
        <f t="shared" si="5"/>
        <v>3.2836759704556663E-2</v>
      </c>
      <c r="N20" s="41">
        <f t="shared" si="5"/>
        <v>3.2836759704556663E-2</v>
      </c>
      <c r="O20" s="41">
        <f t="shared" si="5"/>
        <v>3.2836759704556663E-2</v>
      </c>
      <c r="P20" s="41">
        <f t="shared" si="5"/>
        <v>3.2836759704556663E-2</v>
      </c>
      <c r="Q20" s="41">
        <f t="shared" si="5"/>
        <v>3.2836759704556663E-2</v>
      </c>
    </row>
    <row r="21" spans="2:17" x14ac:dyDescent="0.15">
      <c r="H21" s="39"/>
      <c r="I21" s="39"/>
      <c r="J21" s="39"/>
      <c r="K21" s="39"/>
      <c r="L21" s="39"/>
      <c r="M21" s="39"/>
      <c r="N21" s="39"/>
      <c r="O21" s="39"/>
      <c r="P21" s="39"/>
      <c r="Q21" s="39"/>
    </row>
    <row r="22" spans="2:17" ht="30" x14ac:dyDescent="0.15">
      <c r="B22" s="7" t="s">
        <v>5</v>
      </c>
      <c r="C22" s="63">
        <f>VLOOKUP($B22,'P&amp;L_Input'!$B$17:$G$26,COUNTBLANK(Cost_Build_Up!$B$10:C$10),FALSE)</f>
        <v>-69.58</v>
      </c>
      <c r="D22" s="63">
        <f>VLOOKUP($B22,'P&amp;L_Input'!$B$17:$G$26,COUNTBLANK(Cost_Build_Up!$B$10:D$10),FALSE)</f>
        <v>241.66</v>
      </c>
      <c r="E22" s="63">
        <f>VLOOKUP($B22,'P&amp;L_Input'!$B$17:$G$26,COUNTBLANK(Cost_Build_Up!$B$10:E$10),FALSE)</f>
        <v>-42.84</v>
      </c>
      <c r="F22" s="63">
        <f>VLOOKUP($B22,'P&amp;L_Input'!$B$17:$G$26,COUNTBLANK(Cost_Build_Up!$B$10:F$10),FALSE)</f>
        <v>-132.47999999999999</v>
      </c>
      <c r="G22" s="63">
        <f>VLOOKUP($B22,'P&amp;L_Input'!$B$17:$G$26,COUNTBLANK(Cost_Build_Up!$B$10:G$10),FALSE)</f>
        <v>-152.71</v>
      </c>
      <c r="H22" s="65">
        <f>H23*H14</f>
        <v>-158.82211542649415</v>
      </c>
      <c r="I22" s="65">
        <f t="shared" ref="I22:Q22" si="6">I23*I14</f>
        <v>-186.62217196755003</v>
      </c>
      <c r="J22" s="65">
        <f t="shared" si="6"/>
        <v>-219.43946059769809</v>
      </c>
      <c r="K22" s="65">
        <f t="shared" si="6"/>
        <v>-258.19585699717646</v>
      </c>
      <c r="L22" s="65">
        <f t="shared" si="6"/>
        <v>-303.9846302496012</v>
      </c>
      <c r="M22" s="65">
        <f t="shared" si="6"/>
        <v>-358.10258988464051</v>
      </c>
      <c r="N22" s="65">
        <f t="shared" si="6"/>
        <v>-422.08830674162567</v>
      </c>
      <c r="O22" s="65">
        <f t="shared" si="6"/>
        <v>-497.76756266608731</v>
      </c>
      <c r="P22" s="65">
        <f t="shared" si="6"/>
        <v>-587.30740498586033</v>
      </c>
      <c r="Q22" s="65">
        <f t="shared" si="6"/>
        <v>-693.28044513869361</v>
      </c>
    </row>
    <row r="23" spans="2:17" x14ac:dyDescent="0.15">
      <c r="B23" s="7"/>
      <c r="C23" s="62">
        <f t="shared" ref="C23:G23" si="7">C22/C14</f>
        <v>-3.0728957741146909E-4</v>
      </c>
      <c r="D23" s="62">
        <f t="shared" si="7"/>
        <v>3.1115380688300654E-3</v>
      </c>
      <c r="E23" s="62">
        <f t="shared" si="7"/>
        <v>-2.280452666660421E-4</v>
      </c>
      <c r="F23" s="62">
        <f t="shared" si="7"/>
        <v>-3.7408164269730815E-4</v>
      </c>
      <c r="G23" s="62">
        <f t="shared" si="7"/>
        <v>-3.5761971976303644E-4</v>
      </c>
      <c r="H23" s="41">
        <f>AVERAGE(C23,E23:G23)</f>
        <v>-3.1675905163446396E-4</v>
      </c>
      <c r="I23" s="41">
        <f t="shared" ref="I23" si="8">H23</f>
        <v>-3.1675905163446396E-4</v>
      </c>
      <c r="J23" s="41">
        <f t="shared" ref="J23" si="9">I23</f>
        <v>-3.1675905163446396E-4</v>
      </c>
      <c r="K23" s="41">
        <f t="shared" ref="K23" si="10">J23</f>
        <v>-3.1675905163446396E-4</v>
      </c>
      <c r="L23" s="41">
        <f t="shared" ref="L23" si="11">K23</f>
        <v>-3.1675905163446396E-4</v>
      </c>
      <c r="M23" s="41">
        <f t="shared" ref="M23" si="12">L23</f>
        <v>-3.1675905163446396E-4</v>
      </c>
      <c r="N23" s="41">
        <f t="shared" ref="N23" si="13">M23</f>
        <v>-3.1675905163446396E-4</v>
      </c>
      <c r="O23" s="41">
        <f t="shared" ref="O23" si="14">N23</f>
        <v>-3.1675905163446396E-4</v>
      </c>
      <c r="P23" s="41">
        <f t="shared" ref="P23" si="15">O23</f>
        <v>-3.1675905163446396E-4</v>
      </c>
      <c r="Q23" s="41">
        <f t="shared" ref="Q23" si="16">P23</f>
        <v>-3.1675905163446396E-4</v>
      </c>
    </row>
    <row r="24" spans="2:17" x14ac:dyDescent="0.15">
      <c r="H24" s="39"/>
      <c r="I24" s="39"/>
      <c r="J24" s="39"/>
      <c r="K24" s="39"/>
      <c r="L24" s="39"/>
      <c r="M24" s="39"/>
      <c r="N24" s="39"/>
      <c r="O24" s="39"/>
      <c r="P24" s="39"/>
      <c r="Q24" s="39"/>
    </row>
    <row r="25" spans="2:17" x14ac:dyDescent="0.15">
      <c r="H25" s="39"/>
      <c r="I25" s="39"/>
      <c r="J25" s="39"/>
      <c r="K25" s="39"/>
      <c r="L25" s="39"/>
      <c r="M25" s="39"/>
      <c r="N25" s="39"/>
      <c r="O25" s="39"/>
      <c r="P25" s="39"/>
      <c r="Q25" s="39"/>
    </row>
    <row r="26" spans="2:17" x14ac:dyDescent="0.15">
      <c r="B26" s="6" t="s">
        <v>6</v>
      </c>
      <c r="C26" s="59">
        <f>VLOOKUP($B26,'P&amp;L_Input'!$B$17:$G$26,COUNTBLANK(Cost_Build_Up!$B$10:C$10),FALSE)</f>
        <v>67285.179999999993</v>
      </c>
      <c r="D26" s="59">
        <f>VLOOKUP($B26,'P&amp;L_Input'!$B$17:$G$26,COUNTBLANK(Cost_Build_Up!$B$10:D$10),FALSE)</f>
        <v>10896.22</v>
      </c>
      <c r="E26" s="59">
        <f>VLOOKUP($B26,'P&amp;L_Input'!$B$17:$G$26,COUNTBLANK(Cost_Build_Up!$B$10:E$10),FALSE)</f>
        <v>28334.32</v>
      </c>
      <c r="F26" s="59">
        <f>VLOOKUP($B26,'P&amp;L_Input'!$B$17:$G$26,COUNTBLANK(Cost_Build_Up!$B$10:F$10),FALSE)</f>
        <v>107289.98</v>
      </c>
      <c r="G26" s="59">
        <f>VLOOKUP($B26,'P&amp;L_Input'!$B$17:$G$26,COUNTBLANK(Cost_Build_Up!$B$10:G$10),FALSE)</f>
        <v>136704.01999999999</v>
      </c>
      <c r="H26" s="66">
        <f>H27*Revenue_Build_Up!H27</f>
        <v>148175.46169799077</v>
      </c>
      <c r="I26" s="66">
        <f>I27*Revenue_Build_Up!I27</f>
        <v>174530.6150696149</v>
      </c>
      <c r="J26" s="66">
        <f>J27*Revenue_Build_Up!J27</f>
        <v>205573.41443391723</v>
      </c>
      <c r="K26" s="66">
        <f>K27*Revenue_Build_Up!K27</f>
        <v>242137.62556880183</v>
      </c>
      <c r="L26" s="66">
        <f>L27*Revenue_Build_Up!L27</f>
        <v>285205.31157954969</v>
      </c>
      <c r="M26" s="66">
        <f>M27*Revenue_Build_Up!M27</f>
        <v>335933.20972776785</v>
      </c>
      <c r="N26" s="66">
        <f>N27*Revenue_Build_Up!N27</f>
        <v>395683.79976164625</v>
      </c>
      <c r="O26" s="66">
        <f>O27*Revenue_Build_Up!O27</f>
        <v>466061.89819902467</v>
      </c>
      <c r="P26" s="66">
        <f>P27*Revenue_Build_Up!P27</f>
        <v>548957.76143406471</v>
      </c>
      <c r="Q26" s="66">
        <f>Q27*Revenue_Build_Up!Q27</f>
        <v>646597.85535613692</v>
      </c>
    </row>
    <row r="27" spans="2:17" x14ac:dyDescent="0.15">
      <c r="C27" s="61">
        <f>C26/Revenue_Build_Up!C27</f>
        <v>0.67173155328858059</v>
      </c>
      <c r="D27" s="61">
        <f>D26/Revenue_Build_Up!D27</f>
        <v>0.53626639932633391</v>
      </c>
      <c r="E27" s="61">
        <f>E26/Revenue_Build_Up!E27</f>
        <v>0.60486886828421471</v>
      </c>
      <c r="F27" s="61">
        <f>F26/Revenue_Build_Up!F27</f>
        <v>0.74054994523352924</v>
      </c>
      <c r="G27" s="61">
        <f>G26/Revenue_Build_Up!G27</f>
        <v>0.70904907686046126</v>
      </c>
      <c r="H27" s="41">
        <f>AVERAGE(C27:G27)</f>
        <v>0.65249316859862394</v>
      </c>
      <c r="I27" s="41">
        <f t="shared" ref="I27:Q27" si="17">H27</f>
        <v>0.65249316859862394</v>
      </c>
      <c r="J27" s="41">
        <f t="shared" si="17"/>
        <v>0.65249316859862394</v>
      </c>
      <c r="K27" s="41">
        <f t="shared" si="17"/>
        <v>0.65249316859862394</v>
      </c>
      <c r="L27" s="41">
        <f t="shared" si="17"/>
        <v>0.65249316859862394</v>
      </c>
      <c r="M27" s="41">
        <f t="shared" si="17"/>
        <v>0.65249316859862394</v>
      </c>
      <c r="N27" s="41">
        <f t="shared" si="17"/>
        <v>0.65249316859862394</v>
      </c>
      <c r="O27" s="41">
        <f t="shared" si="17"/>
        <v>0.65249316859862394</v>
      </c>
      <c r="P27" s="41">
        <f t="shared" si="17"/>
        <v>0.65249316859862394</v>
      </c>
      <c r="Q27" s="41">
        <f t="shared" si="17"/>
        <v>0.65249316859862394</v>
      </c>
    </row>
    <row r="28" spans="2:17" x14ac:dyDescent="0.15">
      <c r="H28" s="39"/>
      <c r="I28" s="39"/>
      <c r="J28" s="39"/>
      <c r="K28" s="39"/>
      <c r="L28" s="39"/>
      <c r="M28" s="39"/>
      <c r="N28" s="39"/>
      <c r="O28" s="39"/>
      <c r="P28" s="39"/>
      <c r="Q28" s="39"/>
    </row>
    <row r="29" spans="2:17" x14ac:dyDescent="0.15">
      <c r="B29" s="6" t="s">
        <v>7</v>
      </c>
      <c r="C29" s="59">
        <f>VLOOKUP($B29,'P&amp;L_Input'!$B$17:$G$26,COUNTBLANK(Cost_Build_Up!$B$10:C$10),FALSE)</f>
        <v>28688.82</v>
      </c>
      <c r="D29" s="59">
        <f>VLOOKUP($B29,'P&amp;L_Input'!$B$17:$G$26,COUNTBLANK(Cost_Build_Up!$B$10:D$10),FALSE)</f>
        <v>7035.89</v>
      </c>
      <c r="E29" s="59">
        <f>VLOOKUP($B29,'P&amp;L_Input'!$B$17:$G$26,COUNTBLANK(Cost_Build_Up!$B$10:E$10),FALSE)</f>
        <v>16572.98</v>
      </c>
      <c r="F29" s="59">
        <f>VLOOKUP($B29,'P&amp;L_Input'!$B$17:$G$26,COUNTBLANK(Cost_Build_Up!$B$10:F$10),FALSE)</f>
        <v>44235.43</v>
      </c>
      <c r="G29" s="59">
        <f>VLOOKUP($B29,'P&amp;L_Input'!$B$17:$G$26,COUNTBLANK(Cost_Build_Up!$B$10:G$10),FALSE)</f>
        <v>55042.28</v>
      </c>
      <c r="H29" s="66">
        <f>H30*Revenue_Build_Up!H28</f>
        <v>64674.215710147328</v>
      </c>
      <c r="I29" s="66">
        <f>I30*Revenue_Build_Up!I28</f>
        <v>74917.96773885061</v>
      </c>
      <c r="J29" s="66">
        <f>J30*Revenue_Build_Up!J28</f>
        <v>86784.228126926188</v>
      </c>
      <c r="K29" s="66">
        <f>K30*Revenue_Build_Up!K28</f>
        <v>100529.98604873683</v>
      </c>
      <c r="L29" s="66">
        <f>L30*Revenue_Build_Up!L28</f>
        <v>116452.93520590279</v>
      </c>
      <c r="M29" s="66">
        <f>M30*Revenue_Build_Up!M28</f>
        <v>134897.9210192638</v>
      </c>
      <c r="N29" s="66">
        <f>N30*Revenue_Build_Up!N28</f>
        <v>156264.40899187516</v>
      </c>
      <c r="O29" s="66">
        <f>O30*Revenue_Build_Up!O28</f>
        <v>181015.13598636555</v>
      </c>
      <c r="P29" s="66">
        <f>P30*Revenue_Build_Up!P28</f>
        <v>209686.13177851704</v>
      </c>
      <c r="Q29" s="66">
        <f>Q30*Revenue_Build_Up!Q28</f>
        <v>242898.32792518189</v>
      </c>
    </row>
    <row r="30" spans="2:17" x14ac:dyDescent="0.15">
      <c r="C30" s="61">
        <f>C29/Revenue_Build_Up!C28</f>
        <v>0.73688652764992102</v>
      </c>
      <c r="D30" s="61">
        <f>D29/Revenue_Build_Up!D28</f>
        <v>1.3063584780945732</v>
      </c>
      <c r="E30" s="61">
        <f>E29/Revenue_Build_Up!E28</f>
        <v>0.88207542650817361</v>
      </c>
      <c r="F30" s="61">
        <f>F29/Revenue_Build_Up!F28</f>
        <v>0.78156651722786608</v>
      </c>
      <c r="G30" s="61">
        <f>G29/Revenue_Build_Up!G28</f>
        <v>0.78517249470950612</v>
      </c>
      <c r="H30" s="41">
        <f>AVERAGE(C30,E30:G30)</f>
        <v>0.79642524152386673</v>
      </c>
      <c r="I30" s="41">
        <f t="shared" ref="I30:Q30" si="18">H30</f>
        <v>0.79642524152386673</v>
      </c>
      <c r="J30" s="41">
        <f t="shared" si="18"/>
        <v>0.79642524152386673</v>
      </c>
      <c r="K30" s="41">
        <f t="shared" si="18"/>
        <v>0.79642524152386673</v>
      </c>
      <c r="L30" s="41">
        <f t="shared" si="18"/>
        <v>0.79642524152386673</v>
      </c>
      <c r="M30" s="41">
        <f t="shared" si="18"/>
        <v>0.79642524152386673</v>
      </c>
      <c r="N30" s="41">
        <f t="shared" si="18"/>
        <v>0.79642524152386673</v>
      </c>
      <c r="O30" s="41">
        <f t="shared" si="18"/>
        <v>0.79642524152386673</v>
      </c>
      <c r="P30" s="41">
        <f t="shared" si="18"/>
        <v>0.79642524152386673</v>
      </c>
      <c r="Q30" s="41">
        <f t="shared" si="18"/>
        <v>0.79642524152386673</v>
      </c>
    </row>
    <row r="31" spans="2:17" x14ac:dyDescent="0.15">
      <c r="H31" s="39"/>
      <c r="I31" s="39"/>
      <c r="J31" s="39"/>
      <c r="K31" s="39"/>
      <c r="L31" s="39"/>
      <c r="M31" s="39"/>
      <c r="N31" s="39"/>
      <c r="O31" s="39"/>
      <c r="P31" s="39"/>
      <c r="Q31" s="39"/>
    </row>
    <row r="32" spans="2:17" x14ac:dyDescent="0.15">
      <c r="B32" s="6" t="s">
        <v>8</v>
      </c>
      <c r="C32" s="59">
        <f>VLOOKUP($B32,'P&amp;L_Input'!$B$17:$G$26,COUNTBLANK(Cost_Build_Up!$B$10:C$10),FALSE)</f>
        <v>9714.2800000000007</v>
      </c>
      <c r="D32" s="59">
        <f>VLOOKUP($B32,'P&amp;L_Input'!$B$17:$G$26,COUNTBLANK(Cost_Build_Up!$B$10:D$10),FALSE)</f>
        <v>6263.57</v>
      </c>
      <c r="E32" s="59">
        <f>VLOOKUP($B32,'P&amp;L_Input'!$B$17:$G$26,COUNTBLANK(Cost_Build_Up!$B$10:E$10),FALSE)</f>
        <v>9842.58</v>
      </c>
      <c r="F32" s="59">
        <f>VLOOKUP($B32,'P&amp;L_Input'!$B$17:$G$26,COUNTBLANK(Cost_Build_Up!$B$10:F$10),FALSE)</f>
        <v>14673.7</v>
      </c>
      <c r="G32" s="59">
        <f>VLOOKUP($B32,'P&amp;L_Input'!$B$17:$G$26,COUNTBLANK(Cost_Build_Up!$B$10:G$10),FALSE)</f>
        <v>17462.86</v>
      </c>
      <c r="H32" s="66">
        <f>H33*SUM(Revenue_Build_Up!H22,Revenue_Build_Up!H26)</f>
        <v>19883.851484569183</v>
      </c>
      <c r="I32" s="66">
        <f>I33*SUM(Revenue_Build_Up!I22,Revenue_Build_Up!I26)</f>
        <v>23443.188532954722</v>
      </c>
      <c r="J32" s="66">
        <f>J33*SUM(Revenue_Build_Up!J22,Revenue_Build_Up!J26)</f>
        <v>27685.608899541934</v>
      </c>
      <c r="K32" s="66">
        <f>K33*SUM(Revenue_Build_Up!K22,Revenue_Build_Up!K26)</f>
        <v>32746.360357571892</v>
      </c>
      <c r="L32" s="66">
        <f>L33*SUM(Revenue_Build_Up!L22,Revenue_Build_Up!L26)</f>
        <v>38787.81975435144</v>
      </c>
      <c r="M32" s="66">
        <f>M33*SUM(Revenue_Build_Up!M22,Revenue_Build_Up!M26)</f>
        <v>46004.96344299971</v>
      </c>
      <c r="N32" s="66">
        <f>N33*SUM(Revenue_Build_Up!N22,Revenue_Build_Up!N26)</f>
        <v>54631.943111181332</v>
      </c>
      <c r="O32" s="66">
        <f>O33*SUM(Revenue_Build_Up!O22,Revenue_Build_Up!O26)</f>
        <v>64949.990557528472</v>
      </c>
      <c r="P32" s="66">
        <f>P33*SUM(Revenue_Build_Up!P22,Revenue_Build_Up!P26)</f>
        <v>77296.920191266865</v>
      </c>
      <c r="Q32" s="66">
        <f>Q33*SUM(Revenue_Build_Up!Q22,Revenue_Build_Up!Q26)</f>
        <v>92078.552405648385</v>
      </c>
    </row>
    <row r="33" spans="2:17" x14ac:dyDescent="0.15">
      <c r="C33" s="61">
        <f>C32/SUM(Revenue_Build_Up!C22,Revenue_Build_Up!C26)</f>
        <v>0.11169761335733411</v>
      </c>
      <c r="D33" s="61">
        <f>D32/SUM(Revenue_Build_Up!D22,Revenue_Build_Up!D26)</f>
        <v>0.12082517842420343</v>
      </c>
      <c r="E33" s="61">
        <f>E32/SUM(Revenue_Build_Up!E22,Revenue_Build_Up!E26)</f>
        <v>8.0771288344303388E-2</v>
      </c>
      <c r="F33" s="61">
        <f>F32/SUM(Revenue_Build_Up!F22,Revenue_Build_Up!F26)</f>
        <v>9.6488938133110644E-2</v>
      </c>
      <c r="G33" s="61">
        <f>G32/SUM(Revenue_Build_Up!G22,Revenue_Build_Up!G26)</f>
        <v>0.10678694750827851</v>
      </c>
      <c r="H33" s="41">
        <f>AVERAGE(C33:G33)</f>
        <v>0.10331399315344603</v>
      </c>
      <c r="I33" s="41">
        <f t="shared" ref="I33:Q33" si="19">H33</f>
        <v>0.10331399315344603</v>
      </c>
      <c r="J33" s="41">
        <f t="shared" si="19"/>
        <v>0.10331399315344603</v>
      </c>
      <c r="K33" s="41">
        <f t="shared" si="19"/>
        <v>0.10331399315344603</v>
      </c>
      <c r="L33" s="41">
        <f t="shared" si="19"/>
        <v>0.10331399315344603</v>
      </c>
      <c r="M33" s="41">
        <f t="shared" si="19"/>
        <v>0.10331399315344603</v>
      </c>
      <c r="N33" s="41">
        <f t="shared" si="19"/>
        <v>0.10331399315344603</v>
      </c>
      <c r="O33" s="41">
        <f t="shared" si="19"/>
        <v>0.10331399315344603</v>
      </c>
      <c r="P33" s="41">
        <f t="shared" si="19"/>
        <v>0.10331399315344603</v>
      </c>
      <c r="Q33" s="41">
        <f t="shared" si="19"/>
        <v>0.10331399315344603</v>
      </c>
    </row>
    <row r="34" spans="2:17" x14ac:dyDescent="0.15">
      <c r="D34" s="24"/>
      <c r="E34" s="24"/>
      <c r="F34" s="24"/>
      <c r="G34" s="24"/>
      <c r="H34" s="39"/>
      <c r="I34" s="39"/>
      <c r="J34" s="39"/>
      <c r="K34" s="39"/>
      <c r="L34" s="39"/>
      <c r="M34" s="39"/>
      <c r="N34" s="39"/>
      <c r="O34" s="39"/>
      <c r="P34" s="39"/>
      <c r="Q34" s="39"/>
    </row>
    <row r="35" spans="2:17" x14ac:dyDescent="0.15">
      <c r="B35" s="6" t="s">
        <v>9</v>
      </c>
      <c r="C35" s="59">
        <f>VLOOKUP($B35,'P&amp;L_Input'!$B$17:$G$26,COUNTBLANK(Cost_Build_Up!$B$10:C$10),FALSE)</f>
        <v>24411.47</v>
      </c>
      <c r="D35" s="59">
        <f>VLOOKUP($B35,'P&amp;L_Input'!$B$17:$G$26,COUNTBLANK(Cost_Build_Up!$B$10:D$10),FALSE)</f>
        <v>20628.509999999998</v>
      </c>
      <c r="E35" s="59">
        <f>VLOOKUP($B35,'P&amp;L_Input'!$B$17:$G$26,COUNTBLANK(Cost_Build_Up!$B$10:E$10),FALSE)</f>
        <v>24045.05</v>
      </c>
      <c r="F35" s="59">
        <f>VLOOKUP($B35,'P&amp;L_Input'!$B$17:$G$26,COUNTBLANK(Cost_Build_Up!$B$10:F$10),FALSE)</f>
        <v>24552.41</v>
      </c>
      <c r="G35" s="59">
        <f>VLOOKUP($B35,'P&amp;L_Input'!$B$17:$G$26,COUNTBLANK(Cost_Build_Up!$B$10:G$10),FALSE)</f>
        <v>28904.81</v>
      </c>
      <c r="H35" s="39">
        <f t="shared" ref="H35:Q35" si="20">G35*(1+$B$36)</f>
        <v>31691.466491839059</v>
      </c>
      <c r="I35" s="39">
        <f t="shared" si="20"/>
        <v>34746.77911404219</v>
      </c>
      <c r="J35" s="39">
        <f t="shared" si="20"/>
        <v>38096.648481411961</v>
      </c>
      <c r="K35" s="39">
        <f t="shared" si="20"/>
        <v>41769.472236629073</v>
      </c>
      <c r="L35" s="39">
        <f t="shared" si="20"/>
        <v>45796.38578385162</v>
      </c>
      <c r="M35" s="39">
        <f t="shared" si="20"/>
        <v>50211.526230972224</v>
      </c>
      <c r="N35" s="39">
        <f t="shared" si="20"/>
        <v>55052.32177803466</v>
      </c>
      <c r="O35" s="39">
        <f t="shared" si="20"/>
        <v>60359.809005024668</v>
      </c>
      <c r="P35" s="39">
        <f t="shared" si="20"/>
        <v>66178.980748759277</v>
      </c>
      <c r="Q35" s="39">
        <f t="shared" si="20"/>
        <v>72559.167517910231</v>
      </c>
    </row>
    <row r="36" spans="2:17" x14ac:dyDescent="0.15">
      <c r="B36" s="68">
        <f>_xlfn.RRI(COUNT(E11:G11)-1,E35,G35)</f>
        <v>9.6408054294045087E-2</v>
      </c>
      <c r="C36" s="67">
        <f t="shared" ref="C36:Q36" si="21">C35/C14</f>
        <v>0.10780957603180161</v>
      </c>
      <c r="D36" s="62">
        <f t="shared" si="21"/>
        <v>0.2656061994878825</v>
      </c>
      <c r="E36" s="62">
        <f t="shared" si="21"/>
        <v>0.12799626142036216</v>
      </c>
      <c r="F36" s="62">
        <f t="shared" si="21"/>
        <v>6.9328244753757678E-2</v>
      </c>
      <c r="G36" s="62">
        <f t="shared" si="21"/>
        <v>6.7689935511779278E-2</v>
      </c>
      <c r="H36" s="69">
        <f t="shared" si="21"/>
        <v>6.3206303756269802E-2</v>
      </c>
      <c r="I36" s="69">
        <f t="shared" si="21"/>
        <v>5.8976683657020107E-2</v>
      </c>
      <c r="J36" s="69">
        <f t="shared" si="21"/>
        <v>5.4992197896198171E-2</v>
      </c>
      <c r="K36" s="69">
        <f t="shared" si="21"/>
        <v>5.1243496184725325E-2</v>
      </c>
      <c r="L36" s="69">
        <f t="shared" si="21"/>
        <v>4.7720898643025776E-2</v>
      </c>
      <c r="M36" s="69">
        <f t="shared" si="21"/>
        <v>4.4414522204839144E-2</v>
      </c>
      <c r="N36" s="69">
        <f t="shared" si="21"/>
        <v>4.1314390752265458E-2</v>
      </c>
      <c r="O36" s="69">
        <f t="shared" si="21"/>
        <v>3.8410529916540093E-2</v>
      </c>
      <c r="P36" s="69">
        <f t="shared" si="21"/>
        <v>3.5693047630852064E-2</v>
      </c>
      <c r="Q36" s="69">
        <f t="shared" si="21"/>
        <v>3.3152201611227401E-2</v>
      </c>
    </row>
    <row r="37" spans="2:17" x14ac:dyDescent="0.15">
      <c r="H37" s="39"/>
      <c r="I37" s="39"/>
      <c r="J37" s="39"/>
      <c r="K37" s="39"/>
      <c r="L37" s="39"/>
      <c r="M37" s="39"/>
      <c r="N37" s="39"/>
      <c r="O37" s="39"/>
      <c r="P37" s="39"/>
      <c r="Q37" s="39"/>
    </row>
    <row r="38" spans="2:17" x14ac:dyDescent="0.15">
      <c r="B38" s="6" t="s">
        <v>12</v>
      </c>
      <c r="C38" s="59">
        <f>VLOOKUP($B38,'P&amp;L_Input'!$B$17:$G$26,COUNTBLANK(Cost_Build_Up!$B$10:C$10),FALSE)</f>
        <v>0</v>
      </c>
      <c r="D38" s="59">
        <f>VLOOKUP($B38,'P&amp;L_Input'!$B$17:$G$26,COUNTBLANK(Cost_Build_Up!$B$10:D$10),FALSE)</f>
        <v>122.97</v>
      </c>
      <c r="E38" s="59">
        <f>VLOOKUP($B38,'P&amp;L_Input'!$B$17:$G$26,COUNTBLANK(Cost_Build_Up!$B$10:E$10),FALSE)</f>
        <v>-122.97</v>
      </c>
      <c r="F38" s="59">
        <f>VLOOKUP($B38,'P&amp;L_Input'!$B$17:$G$26,COUNTBLANK(Cost_Build_Up!$B$10:F$10),FALSE)</f>
        <v>0</v>
      </c>
      <c r="G38" s="59">
        <f>VLOOKUP($B38,'P&amp;L_Input'!$B$17:$G$26,COUNTBLANK(Cost_Build_Up!$B$10:G$10),FALSE)</f>
        <v>0</v>
      </c>
      <c r="H38" s="39">
        <f t="shared" ref="H38:Q38" si="22">H39*H14</f>
        <v>0</v>
      </c>
      <c r="I38" s="39">
        <f t="shared" si="22"/>
        <v>0</v>
      </c>
      <c r="J38" s="39">
        <f t="shared" si="22"/>
        <v>0</v>
      </c>
      <c r="K38" s="39">
        <f t="shared" si="22"/>
        <v>0</v>
      </c>
      <c r="L38" s="39">
        <f t="shared" si="22"/>
        <v>0</v>
      </c>
      <c r="M38" s="39">
        <f t="shared" si="22"/>
        <v>0</v>
      </c>
      <c r="N38" s="39">
        <f t="shared" si="22"/>
        <v>0</v>
      </c>
      <c r="O38" s="39">
        <f t="shared" si="22"/>
        <v>0</v>
      </c>
      <c r="P38" s="39">
        <f t="shared" si="22"/>
        <v>0</v>
      </c>
      <c r="Q38" s="39">
        <f t="shared" si="22"/>
        <v>0</v>
      </c>
    </row>
    <row r="39" spans="2:17" x14ac:dyDescent="0.15">
      <c r="C39" s="62">
        <f>C38/C14</f>
        <v>0</v>
      </c>
      <c r="D39" s="62">
        <f>D38/D14</f>
        <v>1.5833230005960156E-3</v>
      </c>
      <c r="E39" s="62">
        <f>E38/E14</f>
        <v>-6.5459212049307175E-4</v>
      </c>
      <c r="F39" s="62">
        <f>F38/F14</f>
        <v>0</v>
      </c>
      <c r="G39" s="62">
        <f>G38/G14</f>
        <v>0</v>
      </c>
      <c r="H39" s="41">
        <f>G39</f>
        <v>0</v>
      </c>
      <c r="I39" s="41">
        <f t="shared" ref="I39:Q39" si="23">H39</f>
        <v>0</v>
      </c>
      <c r="J39" s="41">
        <f t="shared" si="23"/>
        <v>0</v>
      </c>
      <c r="K39" s="41">
        <f t="shared" si="23"/>
        <v>0</v>
      </c>
      <c r="L39" s="41">
        <f t="shared" si="23"/>
        <v>0</v>
      </c>
      <c r="M39" s="41">
        <f t="shared" si="23"/>
        <v>0</v>
      </c>
      <c r="N39" s="41">
        <f t="shared" si="23"/>
        <v>0</v>
      </c>
      <c r="O39" s="41">
        <f t="shared" si="23"/>
        <v>0</v>
      </c>
      <c r="P39" s="41">
        <f t="shared" si="23"/>
        <v>0</v>
      </c>
      <c r="Q39" s="41">
        <f t="shared" si="23"/>
        <v>0</v>
      </c>
    </row>
    <row r="40" spans="2:17" x14ac:dyDescent="0.15">
      <c r="H40" s="39"/>
      <c r="I40" s="39"/>
      <c r="J40" s="39"/>
      <c r="K40" s="39"/>
      <c r="L40" s="39"/>
      <c r="M40" s="39"/>
      <c r="N40" s="39"/>
      <c r="O40" s="39"/>
      <c r="P40" s="39"/>
      <c r="Q40" s="39"/>
    </row>
    <row r="41" spans="2:17" x14ac:dyDescent="0.15">
      <c r="B41" s="6" t="s">
        <v>13</v>
      </c>
      <c r="C41" s="59">
        <f>VLOOKUP($B41,'P&amp;L_Input'!$B$17:$G$26,COUNTBLANK(Cost_Build_Up!$B$10:C$10),FALSE)</f>
        <v>767</v>
      </c>
      <c r="D41" s="59">
        <f>VLOOKUP($B41,'P&amp;L_Input'!$B$17:$G$26,COUNTBLANK(Cost_Build_Up!$B$10:D$10),FALSE)</f>
        <v>1052.72</v>
      </c>
      <c r="E41" s="59">
        <f>VLOOKUP($B41,'P&amp;L_Input'!$B$17:$G$26,COUNTBLANK(Cost_Build_Up!$B$10:E$10),FALSE)</f>
        <v>990</v>
      </c>
      <c r="F41" s="59">
        <f>VLOOKUP($B41,'P&amp;L_Input'!$B$17:$G$26,COUNTBLANK(Cost_Build_Up!$B$10:F$10),FALSE)</f>
        <v>1253</v>
      </c>
      <c r="G41" s="59">
        <f>VLOOKUP($B41,'P&amp;L_Input'!$B$17:$G$26,COUNTBLANK(Cost_Build_Up!$B$10:G$10),FALSE)</f>
        <v>0</v>
      </c>
      <c r="H41" s="39">
        <f t="shared" ref="H41:Q41" si="24">H42*H14</f>
        <v>2582.1818317643292</v>
      </c>
      <c r="I41" s="39">
        <f t="shared" si="24"/>
        <v>3034.1642318826489</v>
      </c>
      <c r="J41" s="39">
        <f t="shared" si="24"/>
        <v>3567.7184301816492</v>
      </c>
      <c r="K41" s="39">
        <f t="shared" si="24"/>
        <v>4197.8325826008477</v>
      </c>
      <c r="L41" s="39">
        <f t="shared" si="24"/>
        <v>4942.2814150174454</v>
      </c>
      <c r="M41" s="39">
        <f t="shared" si="24"/>
        <v>5822.1488803669372</v>
      </c>
      <c r="N41" s="39">
        <f t="shared" si="24"/>
        <v>6862.4495659285267</v>
      </c>
      <c r="O41" s="39">
        <f t="shared" si="24"/>
        <v>8092.8676293375274</v>
      </c>
      <c r="P41" s="39">
        <f t="shared" si="24"/>
        <v>9548.6356339147496</v>
      </c>
      <c r="Q41" s="39">
        <f t="shared" si="24"/>
        <v>11271.579936757287</v>
      </c>
    </row>
    <row r="42" spans="2:17" x14ac:dyDescent="0.15">
      <c r="C42" s="62">
        <f>C41/C14</f>
        <v>3.3873398372319171E-3</v>
      </c>
      <c r="D42" s="62">
        <f>D41/D14</f>
        <v>1.3554491251422605E-2</v>
      </c>
      <c r="E42" s="62">
        <f>E41/E14</f>
        <v>5.2699536414421485E-3</v>
      </c>
      <c r="F42" s="62">
        <f>F41/F14</f>
        <v>3.538075923156153E-3</v>
      </c>
      <c r="G42" s="62">
        <f>G41/G14</f>
        <v>0</v>
      </c>
      <c r="H42" s="41">
        <f>AVERAGE(C42:G42)</f>
        <v>5.1499721306505642E-3</v>
      </c>
      <c r="I42" s="41">
        <f t="shared" ref="I42:Q42" si="25">H42</f>
        <v>5.1499721306505642E-3</v>
      </c>
      <c r="J42" s="41">
        <f t="shared" si="25"/>
        <v>5.1499721306505642E-3</v>
      </c>
      <c r="K42" s="41">
        <f t="shared" si="25"/>
        <v>5.1499721306505642E-3</v>
      </c>
      <c r="L42" s="41">
        <f t="shared" si="25"/>
        <v>5.1499721306505642E-3</v>
      </c>
      <c r="M42" s="41">
        <f t="shared" si="25"/>
        <v>5.1499721306505642E-3</v>
      </c>
      <c r="N42" s="41">
        <f t="shared" si="25"/>
        <v>5.1499721306505642E-3</v>
      </c>
      <c r="O42" s="41">
        <f t="shared" si="25"/>
        <v>5.1499721306505642E-3</v>
      </c>
      <c r="P42" s="41">
        <f t="shared" si="25"/>
        <v>5.1499721306505642E-3</v>
      </c>
      <c r="Q42" s="41">
        <f t="shared" si="25"/>
        <v>5.1499721306505642E-3</v>
      </c>
    </row>
    <row r="43" spans="2:17" x14ac:dyDescent="0.15">
      <c r="H43" s="39"/>
      <c r="I43" s="39"/>
      <c r="J43" s="39"/>
      <c r="K43" s="39"/>
      <c r="L43" s="39"/>
      <c r="M43" s="39"/>
      <c r="N43" s="39"/>
      <c r="O43" s="39"/>
      <c r="P43" s="39"/>
      <c r="Q43" s="39"/>
    </row>
    <row r="44" spans="2:17" x14ac:dyDescent="0.15">
      <c r="B44" s="6" t="s">
        <v>14</v>
      </c>
      <c r="C44" s="59">
        <f>VLOOKUP($B44,'P&amp;L_Input'!$B$17:$G$26,COUNTBLANK(Cost_Build_Up!$B$10:C$10),FALSE)</f>
        <v>11730.05</v>
      </c>
      <c r="D44" s="59">
        <f>VLOOKUP($B44,'P&amp;L_Input'!$B$17:$G$26,COUNTBLANK(Cost_Build_Up!$B$10:D$10),FALSE)</f>
        <v>8159.5</v>
      </c>
      <c r="E44" s="59">
        <f>VLOOKUP($B44,'P&amp;L_Input'!$B$17:$G$26,COUNTBLANK(Cost_Build_Up!$B$10:E$10),FALSE)</f>
        <v>10294.299999999999</v>
      </c>
      <c r="F44" s="59">
        <f>VLOOKUP($B44,'P&amp;L_Input'!$B$17:$G$26,COUNTBLANK(Cost_Build_Up!$B$10:F$10),FALSE)</f>
        <v>15017.17</v>
      </c>
      <c r="G44" s="59">
        <f>VLOOKUP($B44,'P&amp;L_Input'!$B$17:$G$26,COUNTBLANK(Cost_Build_Up!$B$10:G$10),FALSE)</f>
        <v>17766.080000000002</v>
      </c>
      <c r="H44" s="39">
        <f t="shared" ref="H44:Q44" si="26">H45*H14</f>
        <v>29649.661304423244</v>
      </c>
      <c r="I44" s="39">
        <f t="shared" si="26"/>
        <v>34839.506928080154</v>
      </c>
      <c r="J44" s="39">
        <f t="shared" si="26"/>
        <v>40965.993092809033</v>
      </c>
      <c r="K44" s="39">
        <f t="shared" si="26"/>
        <v>48201.21989695228</v>
      </c>
      <c r="L44" s="39">
        <f t="shared" si="26"/>
        <v>56749.283967461153</v>
      </c>
      <c r="M44" s="39">
        <f t="shared" si="26"/>
        <v>66852.279821385499</v>
      </c>
      <c r="N44" s="39">
        <f t="shared" si="26"/>
        <v>78797.435116892026</v>
      </c>
      <c r="O44" s="39">
        <f t="shared" si="26"/>
        <v>92925.595416894808</v>
      </c>
      <c r="P44" s="39">
        <f t="shared" si="26"/>
        <v>109641.31533350451</v>
      </c>
      <c r="Q44" s="39">
        <f t="shared" si="26"/>
        <v>129424.86209897848</v>
      </c>
    </row>
    <row r="45" spans="2:17" x14ac:dyDescent="0.15">
      <c r="C45" s="62">
        <f>C44/C14</f>
        <v>5.1803996946182852E-2</v>
      </c>
      <c r="D45" s="62">
        <f>D44/D14</f>
        <v>0.10505915282884598</v>
      </c>
      <c r="E45" s="62">
        <f>E44/E14</f>
        <v>5.4798468455654455E-2</v>
      </c>
      <c r="F45" s="62">
        <f>F44/F14</f>
        <v>4.2403741110090092E-2</v>
      </c>
      <c r="G45" s="62">
        <f>G44/G14</f>
        <v>4.1605006554172527E-2</v>
      </c>
      <c r="H45" s="41">
        <f>AVERAGE(C45:G45)</f>
        <v>5.913407317898918E-2</v>
      </c>
      <c r="I45" s="41">
        <f t="shared" ref="I45:Q45" si="27">H45</f>
        <v>5.913407317898918E-2</v>
      </c>
      <c r="J45" s="41">
        <f t="shared" si="27"/>
        <v>5.913407317898918E-2</v>
      </c>
      <c r="K45" s="41">
        <f t="shared" si="27"/>
        <v>5.913407317898918E-2</v>
      </c>
      <c r="L45" s="41">
        <f t="shared" si="27"/>
        <v>5.913407317898918E-2</v>
      </c>
      <c r="M45" s="41">
        <f t="shared" si="27"/>
        <v>5.913407317898918E-2</v>
      </c>
      <c r="N45" s="41">
        <f t="shared" si="27"/>
        <v>5.913407317898918E-2</v>
      </c>
      <c r="O45" s="41">
        <f t="shared" si="27"/>
        <v>5.913407317898918E-2</v>
      </c>
      <c r="P45" s="41">
        <f t="shared" si="27"/>
        <v>5.913407317898918E-2</v>
      </c>
      <c r="Q45" s="41">
        <f t="shared" si="27"/>
        <v>5.913407317898918E-2</v>
      </c>
    </row>
    <row r="46" spans="2:17" x14ac:dyDescent="0.15">
      <c r="H46" s="39"/>
      <c r="I46" s="39"/>
      <c r="J46" s="39"/>
      <c r="K46" s="39"/>
      <c r="L46" s="39"/>
      <c r="M46" s="39"/>
      <c r="N46" s="39"/>
      <c r="O46" s="39"/>
      <c r="P46" s="39"/>
      <c r="Q46" s="39"/>
    </row>
    <row r="47" spans="2:17" x14ac:dyDescent="0.15">
      <c r="B47" s="6" t="s">
        <v>10</v>
      </c>
      <c r="C47" s="59">
        <f>VLOOKUP($B47,'P&amp;L_Input'!$B$34:$G$34,COUNTBLANK(Cost_Build_Up!$B$10:C$10),FALSE)</f>
        <v>975.6</v>
      </c>
      <c r="D47" s="59">
        <f>VLOOKUP($B47,'P&amp;L_Input'!$B$34:$G$34,COUNTBLANK(Cost_Build_Up!$B$10:D$10),FALSE)</f>
        <v>827.72</v>
      </c>
      <c r="E47" s="59">
        <f>VLOOKUP($B47,'P&amp;L_Input'!$B$34:$G$34,COUNTBLANK(Cost_Build_Up!$B$10:E$10),FALSE)</f>
        <v>1105</v>
      </c>
      <c r="F47" s="59">
        <f>VLOOKUP($B47,'P&amp;L_Input'!$B$34:$G$34,COUNTBLANK(Cost_Build_Up!$B$10:F$10),FALSE)</f>
        <v>1611.25</v>
      </c>
      <c r="G47" s="59">
        <f>VLOOKUP($B47,'P&amp;L_Input'!$B$34:$G$34,COUNTBLANK(Cost_Build_Up!$B$10:G$10),FALSE)</f>
        <v>1864.49</v>
      </c>
      <c r="H47" s="39">
        <f>H48*SUM(BS_Items!H53,BS_Items!H56,BS_Items!H59,BS_Items!H70,BS_Items!H73,9847.23)</f>
        <v>1889.2404319909356</v>
      </c>
      <c r="I47" s="39">
        <f>I48*SUM(BS_Items!I53,BS_Items!I56,BS_Items!I59,BS_Items!I70,BS_Items!I73,9847.23)</f>
        <v>2117.2262030530696</v>
      </c>
      <c r="J47" s="39">
        <f>J48*SUM(BS_Items!J53,BS_Items!J56,BS_Items!J59,BS_Items!J70,BS_Items!J73,9847.23)</f>
        <v>2386.357844618743</v>
      </c>
      <c r="K47" s="39">
        <f>K48*SUM(BS_Items!K53,BS_Items!K56,BS_Items!K59,BS_Items!K70,BS_Items!K73,9847.23)</f>
        <v>2704.1955764836298</v>
      </c>
      <c r="L47" s="39">
        <f>L48*SUM(BS_Items!L53,BS_Items!L56,BS_Items!L59,BS_Items!L70,BS_Items!L73,9847.23)</f>
        <v>3079.7052003768899</v>
      </c>
      <c r="M47" s="39">
        <f>M48*SUM(BS_Items!M53,BS_Items!M56,BS_Items!M59,BS_Items!M70,BS_Items!M73,9847.23)</f>
        <v>3523.5217349757531</v>
      </c>
      <c r="N47" s="39">
        <f>N48*SUM(BS_Items!N53,BS_Items!N56,BS_Items!N59,BS_Items!N70,BS_Items!N73,9847.23)</f>
        <v>4048.2628617809978</v>
      </c>
      <c r="O47" s="39">
        <f>O48*SUM(BS_Items!O53,BS_Items!O56,BS_Items!O59,BS_Items!O70,BS_Items!O73,9847.23)</f>
        <v>4668.9016540030962</v>
      </c>
      <c r="P47" s="39">
        <f>P48*SUM(BS_Items!P53,BS_Items!P56,BS_Items!P59,BS_Items!P70,BS_Items!P73,9847.23)</f>
        <v>5403.209872474079</v>
      </c>
      <c r="Q47" s="39">
        <f>Q48*SUM(BS_Items!Q53,BS_Items!Q56,BS_Items!Q59,BS_Items!Q70,BS_Items!Q73,9847.23)</f>
        <v>6272.2852729273663</v>
      </c>
    </row>
    <row r="48" spans="2:17" x14ac:dyDescent="0.15">
      <c r="C48" s="79">
        <f>C47/SUM(BS_Input!C53:C55,BS_Input!C62:C63,11155.09)</f>
        <v>4.5446816836191624E-2</v>
      </c>
      <c r="D48" s="79">
        <f>D47/SUM(BS_Input!D53:D55,BS_Input!D62:D63,9555.03)</f>
        <v>4.2573612199099997E-2</v>
      </c>
      <c r="E48" s="79">
        <f>E47/SUM(BS_Input!E53:E55,BS_Input!E62:E63,9746.94)</f>
        <v>4.9203022356873752E-2</v>
      </c>
      <c r="F48" s="79">
        <f>F47/SUM(BS_Input!F53:F55,BS_Input!F62:F63,9847.23)</f>
        <v>7.3215041152646709E-2</v>
      </c>
      <c r="G48" s="79">
        <f>G47/SUM(BS_Input!G53:G55,BS_Input!G62:G63,9847.23)</f>
        <v>8.7490216246755181E-2</v>
      </c>
      <c r="H48" s="41">
        <f>AVERAGE(C48:G48)</f>
        <v>5.9585741758313451E-2</v>
      </c>
      <c r="I48" s="41">
        <f t="shared" ref="I48" si="28">H48</f>
        <v>5.9585741758313451E-2</v>
      </c>
      <c r="J48" s="41">
        <f t="shared" ref="J48" si="29">I48</f>
        <v>5.9585741758313451E-2</v>
      </c>
      <c r="K48" s="41">
        <f t="shared" ref="K48" si="30">J48</f>
        <v>5.9585741758313451E-2</v>
      </c>
      <c r="L48" s="41">
        <f t="shared" ref="L48" si="31">K48</f>
        <v>5.9585741758313451E-2</v>
      </c>
      <c r="M48" s="41">
        <f t="shared" ref="M48" si="32">L48</f>
        <v>5.9585741758313451E-2</v>
      </c>
      <c r="N48" s="41">
        <f t="shared" ref="N48" si="33">M48</f>
        <v>5.9585741758313451E-2</v>
      </c>
      <c r="O48" s="41">
        <f t="shared" ref="O48" si="34">N48</f>
        <v>5.9585741758313451E-2</v>
      </c>
      <c r="P48" s="41">
        <f t="shared" ref="P48" si="35">O48</f>
        <v>5.9585741758313451E-2</v>
      </c>
      <c r="Q48" s="41">
        <f t="shared" ref="Q48" si="36">P48</f>
        <v>5.9585741758313451E-2</v>
      </c>
    </row>
    <row r="49" spans="1:17" x14ac:dyDescent="0.15">
      <c r="H49" s="39"/>
      <c r="I49" s="39"/>
      <c r="J49" s="39"/>
      <c r="K49" s="39"/>
      <c r="L49" s="39"/>
      <c r="M49" s="39"/>
      <c r="N49" s="39"/>
      <c r="O49" s="39"/>
      <c r="P49" s="39"/>
      <c r="Q49" s="39"/>
    </row>
    <row r="50" spans="1:17" x14ac:dyDescent="0.15">
      <c r="B50" s="6" t="s">
        <v>129</v>
      </c>
      <c r="C50" s="50">
        <f>SUM('P&amp;L_Input'!C44:C45,'P&amp;L_Input'!C47:C48)/'P&amp;L_Input'!C40</f>
        <v>0.29671136845138002</v>
      </c>
      <c r="D50" s="50">
        <f>SUM('P&amp;L_Input'!D44:D45,'P&amp;L_Input'!D47:D48)/'P&amp;L_Input'!D40</f>
        <v>0.27372252427734906</v>
      </c>
      <c r="E50" s="50">
        <f>SUM('P&amp;L_Input'!E44:E45,'P&amp;L_Input'!E47:E48)/'P&amp;L_Input'!E40</f>
        <v>0.255059569559488</v>
      </c>
      <c r="F50" s="50">
        <f>SUM('P&amp;L_Input'!F44:F45,'P&amp;L_Input'!F47:F48)/'P&amp;L_Input'!F40</f>
        <v>0.25710932921007362</v>
      </c>
      <c r="G50" s="50">
        <f>SUM('P&amp;L_Input'!G44:G45,'P&amp;L_Input'!G47:G48)/'P&amp;L_Input'!G40</f>
        <v>0.25732231920699589</v>
      </c>
      <c r="H50" s="51">
        <f>G50+0.5%</f>
        <v>0.26232231920699589</v>
      </c>
      <c r="I50" s="51">
        <f>H50</f>
        <v>0.26232231920699589</v>
      </c>
      <c r="J50" s="51">
        <f>I50+0.5%</f>
        <v>0.2673223192069959</v>
      </c>
      <c r="K50" s="51">
        <f>J50</f>
        <v>0.2673223192069959</v>
      </c>
      <c r="L50" s="51">
        <f>K50+0.5%</f>
        <v>0.2723223192069959</v>
      </c>
      <c r="M50" s="51">
        <f>L50</f>
        <v>0.2723223192069959</v>
      </c>
      <c r="N50" s="51">
        <f>M50+0.5%</f>
        <v>0.2773223192069959</v>
      </c>
      <c r="O50" s="51">
        <f>N50</f>
        <v>0.2773223192069959</v>
      </c>
      <c r="P50" s="51">
        <f>O50+0.5%</f>
        <v>0.28232231920699591</v>
      </c>
      <c r="Q50" s="51">
        <f>P50</f>
        <v>0.28232231920699591</v>
      </c>
    </row>
    <row r="52" spans="1:17" ht="21" x14ac:dyDescent="0.25">
      <c r="A52" s="10"/>
      <c r="B52" s="10"/>
      <c r="C52" s="10"/>
      <c r="D52" s="10"/>
      <c r="E52" s="10"/>
      <c r="F52" s="10"/>
      <c r="G52" s="10"/>
      <c r="H52" s="10"/>
      <c r="I52" s="10"/>
      <c r="J52" s="10"/>
      <c r="K52" s="10"/>
      <c r="L52" s="10"/>
      <c r="M52" s="10"/>
      <c r="N52" s="10"/>
      <c r="O52" s="10"/>
      <c r="P52" s="10"/>
      <c r="Q52" s="10"/>
    </row>
  </sheetData>
  <mergeCells count="1">
    <mergeCell ref="B11:B12"/>
  </mergeCells>
  <pageMargins left="0.7" right="0.7" top="0.75" bottom="0.75" header="0.3" footer="0.3"/>
  <pageSetup scale="40" fitToHeight="0" orientation="landscape" r:id="rId1"/>
  <ignoredErrors>
    <ignoredError sqref="I50 J50:Q50" formula="1"/>
    <ignoredError sqref="C48:G48 B36" formulaRange="1"/>
  </ignoredErrors>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88880-2FE4-4840-9931-73AAEE0A49E9}">
  <sheetPr>
    <tabColor theme="8" tint="0.79998168889431442"/>
    <pageSetUpPr fitToPage="1"/>
  </sheetPr>
  <dimension ref="A1:T230"/>
  <sheetViews>
    <sheetView showGridLines="0" workbookViewId="0">
      <pane xSplit="2" ySplit="12" topLeftCell="C13" activePane="bottomRight" state="frozen"/>
      <selection pane="topRight" activeCell="C1" sqref="C1"/>
      <selection pane="bottomLeft" activeCell="A12" sqref="A12"/>
      <selection pane="bottomRight"/>
    </sheetView>
  </sheetViews>
  <sheetFormatPr baseColWidth="10" defaultColWidth="15.6640625" defaultRowHeight="14" x14ac:dyDescent="0.15"/>
  <cols>
    <col min="1" max="1" width="2.6640625" style="3" customWidth="1"/>
    <col min="2" max="2" width="40.6640625" style="6" customWidth="1"/>
    <col min="3" max="17" width="15.6640625" style="13"/>
    <col min="18" max="16384" width="15.6640625" style="3"/>
  </cols>
  <sheetData>
    <row r="1" spans="1:17" s="1" customFormat="1" x14ac:dyDescent="0.15"/>
    <row r="2" spans="1:17" s="1" customFormat="1" x14ac:dyDescent="0.15"/>
    <row r="3" spans="1:17" s="1" customFormat="1" x14ac:dyDescent="0.15"/>
    <row r="4" spans="1:17" s="1" customFormat="1" x14ac:dyDescent="0.15"/>
    <row r="5" spans="1:17" s="1" customFormat="1" x14ac:dyDescent="0.15"/>
    <row r="6" spans="1:17" s="1" customFormat="1" x14ac:dyDescent="0.15"/>
    <row r="7" spans="1:17" s="1" customFormat="1" x14ac:dyDescent="0.15"/>
    <row r="8" spans="1:17" s="1" customFormat="1" ht="21" x14ac:dyDescent="0.25">
      <c r="A8" s="10" t="s">
        <v>359</v>
      </c>
      <c r="B8" s="10"/>
      <c r="C8" s="10"/>
      <c r="D8" s="10"/>
      <c r="E8" s="10"/>
      <c r="F8" s="10"/>
      <c r="G8" s="10"/>
      <c r="H8" s="10"/>
      <c r="I8" s="10"/>
      <c r="J8" s="10"/>
      <c r="K8" s="10"/>
      <c r="L8" s="10"/>
      <c r="M8" s="10"/>
      <c r="N8" s="10"/>
      <c r="O8" s="10"/>
      <c r="P8" s="10"/>
      <c r="Q8" s="10"/>
    </row>
    <row r="9" spans="1:17" s="1" customFormat="1" ht="21" x14ac:dyDescent="0.25">
      <c r="A9" s="10" t="s">
        <v>105</v>
      </c>
      <c r="B9" s="10"/>
      <c r="C9" s="10"/>
      <c r="D9" s="10"/>
      <c r="E9" s="10"/>
      <c r="F9" s="10"/>
      <c r="G9" s="10"/>
      <c r="H9" s="10"/>
      <c r="I9" s="10"/>
      <c r="J9" s="10"/>
      <c r="K9" s="10"/>
      <c r="L9" s="10"/>
      <c r="M9" s="10"/>
      <c r="N9" s="10"/>
      <c r="O9" s="10"/>
      <c r="P9" s="10"/>
      <c r="Q9" s="10"/>
    </row>
    <row r="10" spans="1:17" s="1" customFormat="1" x14ac:dyDescent="0.15"/>
    <row r="11" spans="1:17" s="18" customFormat="1" ht="18" x14ac:dyDescent="0.2">
      <c r="A11" s="3"/>
      <c r="B11" s="157" t="s">
        <v>0</v>
      </c>
      <c r="C11" s="27">
        <v>2020</v>
      </c>
      <c r="D11" s="27">
        <v>2021</v>
      </c>
      <c r="E11" s="27">
        <v>2022</v>
      </c>
      <c r="F11" s="27">
        <v>2023</v>
      </c>
      <c r="G11" s="27">
        <v>2024</v>
      </c>
      <c r="H11" s="78">
        <v>2025</v>
      </c>
      <c r="I11" s="78">
        <v>2026</v>
      </c>
      <c r="J11" s="78">
        <v>2027</v>
      </c>
      <c r="K11" s="78">
        <v>2028</v>
      </c>
      <c r="L11" s="78">
        <v>2029</v>
      </c>
      <c r="M11" s="78">
        <v>2030</v>
      </c>
      <c r="N11" s="78">
        <v>2031</v>
      </c>
      <c r="O11" s="78">
        <v>2032</v>
      </c>
      <c r="P11" s="78">
        <v>2033</v>
      </c>
      <c r="Q11" s="78">
        <v>2034</v>
      </c>
    </row>
    <row r="12" spans="1:17" s="25" customFormat="1" ht="18" x14ac:dyDescent="0.2">
      <c r="A12" s="3"/>
      <c r="B12" s="157"/>
      <c r="C12" s="4" t="s">
        <v>1</v>
      </c>
      <c r="D12" s="4" t="s">
        <v>1</v>
      </c>
      <c r="E12" s="4" t="s">
        <v>1</v>
      </c>
      <c r="F12" s="4" t="s">
        <v>1</v>
      </c>
      <c r="G12" s="4" t="s">
        <v>1</v>
      </c>
      <c r="H12" s="36" t="s">
        <v>71</v>
      </c>
      <c r="I12" s="36" t="s">
        <v>71</v>
      </c>
      <c r="J12" s="36" t="s">
        <v>71</v>
      </c>
      <c r="K12" s="36" t="s">
        <v>71</v>
      </c>
      <c r="L12" s="36" t="s">
        <v>71</v>
      </c>
      <c r="M12" s="36" t="s">
        <v>71</v>
      </c>
      <c r="N12" s="36" t="s">
        <v>71</v>
      </c>
      <c r="O12" s="36" t="s">
        <v>71</v>
      </c>
      <c r="P12" s="36" t="s">
        <v>71</v>
      </c>
      <c r="Q12" s="36" t="s">
        <v>71</v>
      </c>
    </row>
    <row r="13" spans="1:17" x14ac:dyDescent="0.15">
      <c r="C13" s="3"/>
      <c r="D13" s="3"/>
      <c r="E13" s="3"/>
      <c r="F13" s="3"/>
      <c r="G13" s="3"/>
      <c r="H13" s="37"/>
      <c r="I13" s="37"/>
      <c r="J13" s="37"/>
      <c r="K13" s="37"/>
      <c r="L13" s="37"/>
      <c r="M13" s="37"/>
      <c r="N13" s="37"/>
      <c r="O13" s="37"/>
      <c r="P13" s="37"/>
      <c r="Q13" s="37"/>
    </row>
    <row r="14" spans="1:17" ht="17" x14ac:dyDescent="0.2">
      <c r="B14" s="26" t="s">
        <v>72</v>
      </c>
      <c r="C14" s="26"/>
      <c r="D14" s="26"/>
      <c r="E14" s="26"/>
      <c r="F14" s="26"/>
      <c r="G14" s="26"/>
      <c r="H14" s="26"/>
      <c r="I14" s="26"/>
      <c r="J14" s="26"/>
      <c r="K14" s="26"/>
      <c r="L14" s="26"/>
      <c r="M14" s="26"/>
      <c r="N14" s="26"/>
      <c r="O14" s="26"/>
      <c r="P14" s="26"/>
      <c r="Q14" s="26"/>
    </row>
    <row r="15" spans="1:17" x14ac:dyDescent="0.15">
      <c r="C15" s="3"/>
      <c r="D15" s="3"/>
      <c r="E15" s="3"/>
      <c r="F15" s="3"/>
      <c r="G15" s="3"/>
      <c r="H15" s="37"/>
      <c r="I15" s="37"/>
      <c r="J15" s="37"/>
      <c r="K15" s="37"/>
      <c r="L15" s="37"/>
      <c r="M15" s="37"/>
      <c r="N15" s="37"/>
      <c r="O15" s="37"/>
      <c r="P15" s="37"/>
      <c r="Q15" s="37"/>
    </row>
    <row r="16" spans="1:17" x14ac:dyDescent="0.15">
      <c r="B16" s="15" t="s">
        <v>73</v>
      </c>
      <c r="C16" s="3"/>
      <c r="D16" s="3"/>
      <c r="E16" s="3"/>
      <c r="F16" s="3"/>
      <c r="G16" s="3"/>
      <c r="H16" s="37"/>
      <c r="I16" s="37"/>
      <c r="J16" s="37"/>
      <c r="K16" s="37"/>
      <c r="L16" s="37"/>
      <c r="M16" s="37"/>
      <c r="N16" s="37"/>
      <c r="O16" s="37"/>
      <c r="P16" s="37"/>
      <c r="Q16" s="37"/>
    </row>
    <row r="17" spans="2:20" x14ac:dyDescent="0.15">
      <c r="B17" s="6" t="s">
        <v>74</v>
      </c>
      <c r="C17" s="12">
        <v>860.57</v>
      </c>
      <c r="D17" s="13">
        <f>C20</f>
        <v>876.61</v>
      </c>
      <c r="E17" s="13">
        <f>D20</f>
        <v>876.61</v>
      </c>
      <c r="F17" s="13">
        <f t="shared" ref="F17:Q17" si="0">E20</f>
        <v>2370.4</v>
      </c>
      <c r="G17" s="13">
        <f t="shared" si="0"/>
        <v>4606.01</v>
      </c>
      <c r="H17" s="39">
        <f t="shared" si="0"/>
        <v>4994.8940000000002</v>
      </c>
      <c r="I17" s="39">
        <f t="shared" si="0"/>
        <v>5964.5380000000005</v>
      </c>
      <c r="J17" s="39">
        <f t="shared" si="0"/>
        <v>6934.1820000000007</v>
      </c>
      <c r="K17" s="39">
        <f t="shared" si="0"/>
        <v>7942.6117600000007</v>
      </c>
      <c r="L17" s="39">
        <f t="shared" si="0"/>
        <v>8951.0415200000007</v>
      </c>
      <c r="M17" s="39">
        <f t="shared" si="0"/>
        <v>9959.4712800000016</v>
      </c>
      <c r="N17" s="39">
        <f t="shared" si="0"/>
        <v>11008.238230400002</v>
      </c>
      <c r="O17" s="39">
        <f t="shared" si="0"/>
        <v>12057.005180800003</v>
      </c>
      <c r="P17" s="39">
        <f t="shared" si="0"/>
        <v>13105.772131200003</v>
      </c>
      <c r="Q17" s="39">
        <f t="shared" si="0"/>
        <v>14196.489759616003</v>
      </c>
    </row>
    <row r="18" spans="2:20" x14ac:dyDescent="0.15">
      <c r="B18" s="6" t="s">
        <v>75</v>
      </c>
      <c r="C18" s="12">
        <v>0</v>
      </c>
      <c r="D18" s="12">
        <v>0</v>
      </c>
      <c r="E18" s="12">
        <v>1493.79</v>
      </c>
      <c r="F18" s="12">
        <v>2235.61</v>
      </c>
      <c r="G18" s="70">
        <f>AVERAGE(C18:F18)*(1+Assumption_Sheet!$C$22)</f>
        <v>969.64400000000001</v>
      </c>
      <c r="H18" s="39">
        <f t="shared" ref="H18:Q18" si="1">G18</f>
        <v>969.64400000000001</v>
      </c>
      <c r="I18" s="39">
        <f t="shared" si="1"/>
        <v>969.64400000000001</v>
      </c>
      <c r="J18" s="39">
        <f>I18*(1+Assumption_Sheet!$C$22)</f>
        <v>1008.42976</v>
      </c>
      <c r="K18" s="39">
        <f t="shared" si="1"/>
        <v>1008.42976</v>
      </c>
      <c r="L18" s="39">
        <f t="shared" si="1"/>
        <v>1008.42976</v>
      </c>
      <c r="M18" s="39">
        <f>L18*(1+Assumption_Sheet!$C$22)</f>
        <v>1048.7669504</v>
      </c>
      <c r="N18" s="39">
        <f t="shared" si="1"/>
        <v>1048.7669504</v>
      </c>
      <c r="O18" s="39">
        <f t="shared" si="1"/>
        <v>1048.7669504</v>
      </c>
      <c r="P18" s="39">
        <f>O18*(1+Assumption_Sheet!$C$22)</f>
        <v>1090.717628416</v>
      </c>
      <c r="Q18" s="39">
        <f t="shared" si="1"/>
        <v>1090.717628416</v>
      </c>
      <c r="R18" s="13"/>
      <c r="S18" s="13"/>
      <c r="T18" s="13"/>
    </row>
    <row r="19" spans="2:20" x14ac:dyDescent="0.15">
      <c r="B19" s="6" t="s">
        <v>76</v>
      </c>
      <c r="C19" s="12">
        <v>-16.04</v>
      </c>
      <c r="D19" s="12">
        <v>0</v>
      </c>
      <c r="E19" s="12">
        <v>0</v>
      </c>
      <c r="F19" s="13">
        <v>0</v>
      </c>
      <c r="G19" s="72">
        <v>580.76</v>
      </c>
      <c r="H19" s="39"/>
      <c r="I19" s="39"/>
      <c r="J19" s="39"/>
      <c r="K19" s="39"/>
      <c r="L19" s="39"/>
      <c r="M19" s="39"/>
      <c r="N19" s="39"/>
      <c r="O19" s="39"/>
      <c r="P19" s="39"/>
      <c r="Q19" s="39"/>
      <c r="R19" s="13"/>
    </row>
    <row r="20" spans="2:20" x14ac:dyDescent="0.15">
      <c r="B20" s="15" t="s">
        <v>77</v>
      </c>
      <c r="C20" s="30">
        <f t="shared" ref="C20:Q20" si="2">SUM(C17:C18)-C19</f>
        <v>876.61</v>
      </c>
      <c r="D20" s="30">
        <f t="shared" si="2"/>
        <v>876.61</v>
      </c>
      <c r="E20" s="30">
        <f t="shared" si="2"/>
        <v>2370.4</v>
      </c>
      <c r="F20" s="30">
        <f t="shared" si="2"/>
        <v>4606.01</v>
      </c>
      <c r="G20" s="29">
        <f t="shared" si="2"/>
        <v>4994.8940000000002</v>
      </c>
      <c r="H20" s="75">
        <f t="shared" si="2"/>
        <v>5964.5380000000005</v>
      </c>
      <c r="I20" s="75">
        <f t="shared" si="2"/>
        <v>6934.1820000000007</v>
      </c>
      <c r="J20" s="75">
        <f t="shared" si="2"/>
        <v>7942.6117600000007</v>
      </c>
      <c r="K20" s="75">
        <f t="shared" si="2"/>
        <v>8951.0415200000007</v>
      </c>
      <c r="L20" s="75">
        <f t="shared" si="2"/>
        <v>9959.4712800000016</v>
      </c>
      <c r="M20" s="75">
        <f t="shared" si="2"/>
        <v>11008.238230400002</v>
      </c>
      <c r="N20" s="75">
        <f t="shared" si="2"/>
        <v>12057.005180800003</v>
      </c>
      <c r="O20" s="75">
        <f t="shared" si="2"/>
        <v>13105.772131200003</v>
      </c>
      <c r="P20" s="75">
        <f t="shared" si="2"/>
        <v>14196.489759616003</v>
      </c>
      <c r="Q20" s="75">
        <f t="shared" si="2"/>
        <v>15287.207388032002</v>
      </c>
    </row>
    <row r="21" spans="2:20" x14ac:dyDescent="0.15">
      <c r="H21" s="39"/>
      <c r="I21" s="39"/>
      <c r="J21" s="39"/>
      <c r="K21" s="39"/>
      <c r="L21" s="39"/>
      <c r="M21" s="39"/>
      <c r="N21" s="39"/>
      <c r="O21" s="39"/>
      <c r="P21" s="39"/>
      <c r="Q21" s="39"/>
    </row>
    <row r="22" spans="2:20" x14ac:dyDescent="0.15">
      <c r="H22" s="39"/>
      <c r="I22" s="39"/>
      <c r="J22" s="39"/>
      <c r="K22" s="39"/>
      <c r="L22" s="39"/>
      <c r="M22" s="39"/>
      <c r="N22" s="39"/>
      <c r="O22" s="39"/>
      <c r="P22" s="39"/>
      <c r="Q22" s="39"/>
    </row>
    <row r="23" spans="2:20" x14ac:dyDescent="0.15">
      <c r="B23" s="15" t="s">
        <v>81</v>
      </c>
      <c r="H23" s="39"/>
      <c r="I23" s="39"/>
      <c r="J23" s="39"/>
      <c r="K23" s="39"/>
      <c r="L23" s="39"/>
      <c r="M23" s="39"/>
      <c r="N23" s="39"/>
      <c r="O23" s="39"/>
      <c r="P23" s="39"/>
      <c r="Q23" s="39"/>
    </row>
    <row r="24" spans="2:20" x14ac:dyDescent="0.15">
      <c r="B24" s="6" t="s">
        <v>74</v>
      </c>
      <c r="D24" s="13">
        <f t="shared" ref="D24:Q24" si="3">C27</f>
        <v>6232.1900000000005</v>
      </c>
      <c r="E24" s="13">
        <f t="shared" si="3"/>
        <v>10528.070000000002</v>
      </c>
      <c r="F24" s="13">
        <f t="shared" si="3"/>
        <v>11357.780000000002</v>
      </c>
      <c r="G24" s="13">
        <f t="shared" si="3"/>
        <v>12060.790000000003</v>
      </c>
      <c r="H24" s="39">
        <f t="shared" si="3"/>
        <v>12814.873200000002</v>
      </c>
      <c r="I24" s="39">
        <f t="shared" si="3"/>
        <v>13568.956400000003</v>
      </c>
      <c r="J24" s="39">
        <f t="shared" si="3"/>
        <v>14323.039600000004</v>
      </c>
      <c r="K24" s="39">
        <f t="shared" si="3"/>
        <v>15107.286128000003</v>
      </c>
      <c r="L24" s="39">
        <f t="shared" si="3"/>
        <v>15891.532656000003</v>
      </c>
      <c r="M24" s="39">
        <f t="shared" si="3"/>
        <v>16675.779184000003</v>
      </c>
      <c r="N24" s="39">
        <f t="shared" si="3"/>
        <v>17491.395573120004</v>
      </c>
      <c r="O24" s="39">
        <f t="shared" si="3"/>
        <v>18307.011962240005</v>
      </c>
      <c r="P24" s="39">
        <f t="shared" si="3"/>
        <v>19122.628351360006</v>
      </c>
      <c r="Q24" s="39">
        <f t="shared" si="3"/>
        <v>19970.869396044807</v>
      </c>
    </row>
    <row r="25" spans="2:20" x14ac:dyDescent="0.15">
      <c r="B25" s="6" t="s">
        <v>75</v>
      </c>
      <c r="D25" s="12">
        <f>3636.93+625.77+36.64</f>
        <v>4299.34</v>
      </c>
      <c r="E25" s="12">
        <f>475.08+58.17+327.93</f>
        <v>861.18000000000006</v>
      </c>
      <c r="F25" s="12">
        <f>394.43+28.68+301.97</f>
        <v>725.08</v>
      </c>
      <c r="G25" s="13">
        <f>F25*(1+Assumption_Sheet!$C$22)</f>
        <v>754.08320000000003</v>
      </c>
      <c r="H25" s="39">
        <f t="shared" ref="H25:Q25" si="4">G25</f>
        <v>754.08320000000003</v>
      </c>
      <c r="I25" s="39">
        <f t="shared" si="4"/>
        <v>754.08320000000003</v>
      </c>
      <c r="J25" s="39">
        <f>I25*(1+Assumption_Sheet!$C$22)</f>
        <v>784.24652800000001</v>
      </c>
      <c r="K25" s="39">
        <f t="shared" si="4"/>
        <v>784.24652800000001</v>
      </c>
      <c r="L25" s="39">
        <f t="shared" si="4"/>
        <v>784.24652800000001</v>
      </c>
      <c r="M25" s="39">
        <f>L25*(1+Assumption_Sheet!$C$22)</f>
        <v>815.61638912000001</v>
      </c>
      <c r="N25" s="39">
        <f t="shared" si="4"/>
        <v>815.61638912000001</v>
      </c>
      <c r="O25" s="39">
        <f t="shared" si="4"/>
        <v>815.61638912000001</v>
      </c>
      <c r="P25" s="39">
        <f>O25*(1+Assumption_Sheet!$C$22)</f>
        <v>848.24104468480004</v>
      </c>
      <c r="Q25" s="39">
        <f t="shared" si="4"/>
        <v>848.24104468480004</v>
      </c>
      <c r="R25" s="13"/>
    </row>
    <row r="26" spans="2:20" x14ac:dyDescent="0.15">
      <c r="B26" s="6" t="s">
        <v>76</v>
      </c>
      <c r="D26" s="12">
        <v>3.46</v>
      </c>
      <c r="E26" s="12">
        <f>17.47+14</f>
        <v>31.47</v>
      </c>
      <c r="F26" s="12">
        <v>22.07</v>
      </c>
      <c r="H26" s="39"/>
      <c r="I26" s="39"/>
      <c r="J26" s="39"/>
      <c r="K26" s="39"/>
      <c r="L26" s="39"/>
      <c r="M26" s="39"/>
      <c r="N26" s="39"/>
      <c r="O26" s="39"/>
      <c r="P26" s="39"/>
      <c r="Q26" s="39"/>
    </row>
    <row r="27" spans="2:20" x14ac:dyDescent="0.15">
      <c r="B27" s="15" t="s">
        <v>77</v>
      </c>
      <c r="C27" s="30">
        <v>6232.1900000000005</v>
      </c>
      <c r="D27" s="30">
        <f t="shared" ref="D27:Q27" si="5">SUM(D24:D25)-D26</f>
        <v>10528.070000000002</v>
      </c>
      <c r="E27" s="30">
        <f t="shared" si="5"/>
        <v>11357.780000000002</v>
      </c>
      <c r="F27" s="30">
        <f t="shared" si="5"/>
        <v>12060.790000000003</v>
      </c>
      <c r="G27" s="30">
        <f t="shared" si="5"/>
        <v>12814.873200000002</v>
      </c>
      <c r="H27" s="75">
        <f t="shared" si="5"/>
        <v>13568.956400000003</v>
      </c>
      <c r="I27" s="75">
        <f t="shared" si="5"/>
        <v>14323.039600000004</v>
      </c>
      <c r="J27" s="75">
        <f t="shared" si="5"/>
        <v>15107.286128000003</v>
      </c>
      <c r="K27" s="75">
        <f t="shared" si="5"/>
        <v>15891.532656000003</v>
      </c>
      <c r="L27" s="75">
        <f t="shared" si="5"/>
        <v>16675.779184000003</v>
      </c>
      <c r="M27" s="75">
        <f t="shared" si="5"/>
        <v>17491.395573120004</v>
      </c>
      <c r="N27" s="75">
        <f t="shared" si="5"/>
        <v>18307.011962240005</v>
      </c>
      <c r="O27" s="75">
        <f t="shared" si="5"/>
        <v>19122.628351360006</v>
      </c>
      <c r="P27" s="75">
        <f t="shared" si="5"/>
        <v>19970.869396044807</v>
      </c>
      <c r="Q27" s="75">
        <f t="shared" si="5"/>
        <v>20819.110440729608</v>
      </c>
    </row>
    <row r="28" spans="2:20" x14ac:dyDescent="0.15">
      <c r="H28" s="39"/>
      <c r="I28" s="39"/>
      <c r="J28" s="39"/>
      <c r="K28" s="39"/>
      <c r="L28" s="39"/>
      <c r="M28" s="39"/>
      <c r="N28" s="39"/>
      <c r="O28" s="39"/>
      <c r="P28" s="39"/>
      <c r="Q28" s="39"/>
    </row>
    <row r="29" spans="2:20" x14ac:dyDescent="0.15">
      <c r="B29" s="6" t="s">
        <v>78</v>
      </c>
      <c r="D29" s="12">
        <f>861.79+610.44</f>
        <v>1472.23</v>
      </c>
      <c r="E29" s="13">
        <f>SUM(D29:D30)-D31</f>
        <v>1783.1399999999999</v>
      </c>
      <c r="F29" s="13">
        <f t="shared" ref="F29:Q29" si="6">SUM(E29:E30)-E31</f>
        <v>2339.4299999999998</v>
      </c>
      <c r="G29" s="13">
        <f t="shared" si="6"/>
        <v>2947.09</v>
      </c>
      <c r="H29" s="39">
        <f t="shared" si="6"/>
        <v>3601.1252000000004</v>
      </c>
      <c r="I29" s="39">
        <f t="shared" si="6"/>
        <v>4255.1604000000007</v>
      </c>
      <c r="J29" s="39">
        <f t="shared" si="6"/>
        <v>4909.1956000000009</v>
      </c>
      <c r="K29" s="39">
        <f t="shared" si="6"/>
        <v>5589.3922080000011</v>
      </c>
      <c r="L29" s="39">
        <f t="shared" si="6"/>
        <v>6269.5888160000013</v>
      </c>
      <c r="M29" s="39">
        <f t="shared" si="6"/>
        <v>6949.7854240000015</v>
      </c>
      <c r="N29" s="39">
        <f t="shared" si="6"/>
        <v>7657.1898963200019</v>
      </c>
      <c r="O29" s="39">
        <f t="shared" si="6"/>
        <v>8364.5943686400024</v>
      </c>
      <c r="P29" s="39">
        <f t="shared" si="6"/>
        <v>9071.9988409600028</v>
      </c>
      <c r="Q29" s="39">
        <f t="shared" si="6"/>
        <v>9807.6994921728037</v>
      </c>
    </row>
    <row r="30" spans="2:20" x14ac:dyDescent="0.15">
      <c r="B30" s="6" t="s">
        <v>79</v>
      </c>
      <c r="D30" s="12">
        <f>6.59+151.15+153.17</f>
        <v>310.90999999999997</v>
      </c>
      <c r="E30" s="12">
        <f>63.47+231.95+279.8</f>
        <v>575.22</v>
      </c>
      <c r="F30" s="12">
        <f>70.43+271.48+286.97</f>
        <v>628.88000000000011</v>
      </c>
      <c r="G30" s="13">
        <f>F30*(1+Assumption_Sheet!$C$23)</f>
        <v>654.03520000000015</v>
      </c>
      <c r="H30" s="39">
        <f t="shared" ref="H30:Q30" si="7">G30</f>
        <v>654.03520000000015</v>
      </c>
      <c r="I30" s="39">
        <f t="shared" si="7"/>
        <v>654.03520000000015</v>
      </c>
      <c r="J30" s="39">
        <f>I30*(1+Assumption_Sheet!$C$23)</f>
        <v>680.1966080000002</v>
      </c>
      <c r="K30" s="39">
        <f t="shared" si="7"/>
        <v>680.1966080000002</v>
      </c>
      <c r="L30" s="39">
        <f t="shared" si="7"/>
        <v>680.1966080000002</v>
      </c>
      <c r="M30" s="39">
        <f>L30*(1+Assumption_Sheet!$C$23)</f>
        <v>707.4044723200002</v>
      </c>
      <c r="N30" s="39">
        <f t="shared" si="7"/>
        <v>707.4044723200002</v>
      </c>
      <c r="O30" s="39">
        <f t="shared" si="7"/>
        <v>707.4044723200002</v>
      </c>
      <c r="P30" s="39">
        <f>O30*(1+Assumption_Sheet!$C$23)</f>
        <v>735.70065121280027</v>
      </c>
      <c r="Q30" s="39">
        <f t="shared" si="7"/>
        <v>735.70065121280027</v>
      </c>
      <c r="R30" s="13"/>
    </row>
    <row r="31" spans="2:20" x14ac:dyDescent="0.15">
      <c r="B31" s="6" t="s">
        <v>76</v>
      </c>
      <c r="D31" s="12">
        <v>0</v>
      </c>
      <c r="E31" s="12">
        <f>17.11+1.82</f>
        <v>18.93</v>
      </c>
      <c r="F31" s="12">
        <v>21.22</v>
      </c>
      <c r="H31" s="39"/>
      <c r="I31" s="39"/>
      <c r="J31" s="39"/>
      <c r="K31" s="39"/>
      <c r="L31" s="39"/>
      <c r="M31" s="39"/>
      <c r="N31" s="39"/>
      <c r="O31" s="39"/>
      <c r="P31" s="39"/>
      <c r="Q31" s="39"/>
    </row>
    <row r="32" spans="2:20" x14ac:dyDescent="0.15">
      <c r="B32" s="15" t="s">
        <v>80</v>
      </c>
      <c r="C32" s="17"/>
      <c r="D32" s="17">
        <f>D27-SUM(D29:D30)+D31</f>
        <v>8744.9300000000021</v>
      </c>
      <c r="E32" s="17">
        <f t="shared" ref="E32:Q32" si="8">E27-SUM(E29:E30)+E31</f>
        <v>9018.3500000000022</v>
      </c>
      <c r="F32" s="17">
        <f t="shared" si="8"/>
        <v>9113.7000000000025</v>
      </c>
      <c r="G32" s="17">
        <f t="shared" si="8"/>
        <v>9213.7480000000014</v>
      </c>
      <c r="H32" s="76">
        <f t="shared" si="8"/>
        <v>9313.7960000000021</v>
      </c>
      <c r="I32" s="76">
        <f t="shared" si="8"/>
        <v>9413.8440000000028</v>
      </c>
      <c r="J32" s="76">
        <f t="shared" si="8"/>
        <v>9517.8939200000023</v>
      </c>
      <c r="K32" s="76">
        <f t="shared" si="8"/>
        <v>9621.9438400000017</v>
      </c>
      <c r="L32" s="76">
        <f t="shared" si="8"/>
        <v>9725.9937600000012</v>
      </c>
      <c r="M32" s="76">
        <f t="shared" si="8"/>
        <v>9834.205676800002</v>
      </c>
      <c r="N32" s="76">
        <f t="shared" si="8"/>
        <v>9942.4175936000029</v>
      </c>
      <c r="O32" s="76">
        <f t="shared" si="8"/>
        <v>10050.629510400004</v>
      </c>
      <c r="P32" s="76">
        <f t="shared" si="8"/>
        <v>10163.169903872003</v>
      </c>
      <c r="Q32" s="76">
        <f t="shared" si="8"/>
        <v>10275.710297344003</v>
      </c>
    </row>
    <row r="33" spans="2:18" x14ac:dyDescent="0.15">
      <c r="H33" s="39"/>
      <c r="I33" s="39"/>
      <c r="J33" s="39"/>
      <c r="K33" s="39"/>
      <c r="L33" s="39"/>
      <c r="M33" s="39"/>
      <c r="N33" s="39"/>
      <c r="O33" s="39"/>
      <c r="P33" s="39"/>
      <c r="Q33" s="39"/>
    </row>
    <row r="34" spans="2:18" x14ac:dyDescent="0.15">
      <c r="H34" s="39"/>
      <c r="I34" s="39"/>
      <c r="J34" s="39"/>
      <c r="K34" s="39"/>
      <c r="L34" s="39"/>
      <c r="M34" s="39"/>
      <c r="N34" s="39"/>
      <c r="O34" s="39"/>
      <c r="P34" s="39"/>
      <c r="Q34" s="39"/>
    </row>
    <row r="35" spans="2:18" x14ac:dyDescent="0.15">
      <c r="B35" s="15" t="s">
        <v>82</v>
      </c>
      <c r="H35" s="39"/>
      <c r="I35" s="39"/>
      <c r="J35" s="39"/>
      <c r="K35" s="39"/>
      <c r="L35" s="39"/>
      <c r="M35" s="39"/>
      <c r="N35" s="39"/>
      <c r="O35" s="39"/>
      <c r="P35" s="39"/>
      <c r="Q35" s="39"/>
    </row>
    <row r="36" spans="2:18" x14ac:dyDescent="0.15">
      <c r="B36" s="6" t="s">
        <v>74</v>
      </c>
      <c r="D36" s="13">
        <f t="shared" ref="D36:Q36" si="9">C39</f>
        <v>9163.27</v>
      </c>
      <c r="E36" s="13">
        <f t="shared" si="9"/>
        <v>9608.7999999999993</v>
      </c>
      <c r="F36" s="13">
        <f t="shared" si="9"/>
        <v>10245.959999999999</v>
      </c>
      <c r="G36" s="13">
        <f t="shared" si="9"/>
        <v>10960.849999999999</v>
      </c>
      <c r="H36" s="39">
        <f t="shared" si="9"/>
        <v>11711.896399999998</v>
      </c>
      <c r="I36" s="39">
        <f t="shared" si="9"/>
        <v>12462.942799999997</v>
      </c>
      <c r="J36" s="39">
        <f t="shared" si="9"/>
        <v>13213.989199999996</v>
      </c>
      <c r="K36" s="39">
        <f t="shared" si="9"/>
        <v>13995.077455999995</v>
      </c>
      <c r="L36" s="39">
        <f t="shared" si="9"/>
        <v>14776.165711999995</v>
      </c>
      <c r="M36" s="39">
        <f t="shared" si="9"/>
        <v>15557.253967999994</v>
      </c>
      <c r="N36" s="39">
        <f t="shared" si="9"/>
        <v>16369.585754239994</v>
      </c>
      <c r="O36" s="39">
        <f t="shared" si="9"/>
        <v>17181.917540479993</v>
      </c>
      <c r="P36" s="39">
        <f t="shared" si="9"/>
        <v>17994.249326719993</v>
      </c>
      <c r="Q36" s="39">
        <f t="shared" si="9"/>
        <v>18839.074384409592</v>
      </c>
      <c r="R36" s="9"/>
    </row>
    <row r="37" spans="2:18" x14ac:dyDescent="0.15">
      <c r="B37" s="6" t="s">
        <v>75</v>
      </c>
      <c r="D37" s="12">
        <v>490.39</v>
      </c>
      <c r="E37" s="12">
        <v>701.67</v>
      </c>
      <c r="F37" s="12">
        <v>722.16</v>
      </c>
      <c r="G37" s="13">
        <f>F37*(1+Assumption_Sheet!$C$22)</f>
        <v>751.04639999999995</v>
      </c>
      <c r="H37" s="39">
        <f t="shared" ref="H37:Q37" si="10">G37</f>
        <v>751.04639999999995</v>
      </c>
      <c r="I37" s="39">
        <f t="shared" si="10"/>
        <v>751.04639999999995</v>
      </c>
      <c r="J37" s="39">
        <f>I37*(1+Assumption_Sheet!$C$22)</f>
        <v>781.088256</v>
      </c>
      <c r="K37" s="39">
        <f t="shared" si="10"/>
        <v>781.088256</v>
      </c>
      <c r="L37" s="39">
        <f t="shared" si="10"/>
        <v>781.088256</v>
      </c>
      <c r="M37" s="39">
        <f>L37*(1+Assumption_Sheet!$C$22)</f>
        <v>812.33178624000004</v>
      </c>
      <c r="N37" s="39">
        <f t="shared" si="10"/>
        <v>812.33178624000004</v>
      </c>
      <c r="O37" s="39">
        <f t="shared" si="10"/>
        <v>812.33178624000004</v>
      </c>
      <c r="P37" s="39">
        <f>O37*(1+Assumption_Sheet!$C$22)</f>
        <v>844.82505768960004</v>
      </c>
      <c r="Q37" s="39">
        <f t="shared" si="10"/>
        <v>844.82505768960004</v>
      </c>
    </row>
    <row r="38" spans="2:18" x14ac:dyDescent="0.15">
      <c r="B38" s="6" t="s">
        <v>76</v>
      </c>
      <c r="D38" s="12">
        <v>44.86</v>
      </c>
      <c r="E38" s="12">
        <v>64.510000000000005</v>
      </c>
      <c r="F38" s="12">
        <v>7.27</v>
      </c>
      <c r="H38" s="39">
        <f t="shared" ref="H38:Q38" si="11">G38</f>
        <v>0</v>
      </c>
      <c r="I38" s="39">
        <f t="shared" si="11"/>
        <v>0</v>
      </c>
      <c r="J38" s="39">
        <f>I38*(1+4%)</f>
        <v>0</v>
      </c>
      <c r="K38" s="39">
        <f t="shared" si="11"/>
        <v>0</v>
      </c>
      <c r="L38" s="39">
        <f t="shared" si="11"/>
        <v>0</v>
      </c>
      <c r="M38" s="39">
        <f>L38*(1+4%)</f>
        <v>0</v>
      </c>
      <c r="N38" s="39">
        <f t="shared" si="11"/>
        <v>0</v>
      </c>
      <c r="O38" s="39">
        <f t="shared" si="11"/>
        <v>0</v>
      </c>
      <c r="P38" s="39">
        <f>O38*(1+4%)</f>
        <v>0</v>
      </c>
      <c r="Q38" s="39">
        <f t="shared" si="11"/>
        <v>0</v>
      </c>
    </row>
    <row r="39" spans="2:18" x14ac:dyDescent="0.15">
      <c r="B39" s="15" t="s">
        <v>77</v>
      </c>
      <c r="C39" s="30">
        <v>9163.27</v>
      </c>
      <c r="D39" s="30">
        <f t="shared" ref="D39:Q39" si="12">SUM(D36:D37)-D38</f>
        <v>9608.7999999999993</v>
      </c>
      <c r="E39" s="30">
        <f t="shared" si="12"/>
        <v>10245.959999999999</v>
      </c>
      <c r="F39" s="30">
        <f t="shared" si="12"/>
        <v>10960.849999999999</v>
      </c>
      <c r="G39" s="30">
        <f t="shared" si="12"/>
        <v>11711.896399999998</v>
      </c>
      <c r="H39" s="75">
        <f t="shared" si="12"/>
        <v>12462.942799999997</v>
      </c>
      <c r="I39" s="75">
        <f t="shared" si="12"/>
        <v>13213.989199999996</v>
      </c>
      <c r="J39" s="75">
        <f t="shared" si="12"/>
        <v>13995.077455999995</v>
      </c>
      <c r="K39" s="75">
        <f t="shared" si="12"/>
        <v>14776.165711999995</v>
      </c>
      <c r="L39" s="75">
        <f t="shared" si="12"/>
        <v>15557.253967999994</v>
      </c>
      <c r="M39" s="75">
        <f t="shared" si="12"/>
        <v>16369.585754239994</v>
      </c>
      <c r="N39" s="75">
        <f t="shared" si="12"/>
        <v>17181.917540479993</v>
      </c>
      <c r="O39" s="75">
        <f t="shared" si="12"/>
        <v>17994.249326719993</v>
      </c>
      <c r="P39" s="75">
        <f t="shared" si="12"/>
        <v>18839.074384409592</v>
      </c>
      <c r="Q39" s="75">
        <f t="shared" si="12"/>
        <v>19683.899442099191</v>
      </c>
    </row>
    <row r="40" spans="2:18" x14ac:dyDescent="0.15">
      <c r="H40" s="39"/>
      <c r="I40" s="39"/>
      <c r="J40" s="39"/>
      <c r="K40" s="39"/>
      <c r="L40" s="39"/>
      <c r="M40" s="39"/>
      <c r="N40" s="39"/>
      <c r="O40" s="39"/>
      <c r="P40" s="39"/>
      <c r="Q40" s="39"/>
    </row>
    <row r="41" spans="2:18" x14ac:dyDescent="0.15">
      <c r="B41" s="6" t="s">
        <v>78</v>
      </c>
      <c r="D41" s="12">
        <v>3456.64</v>
      </c>
      <c r="E41" s="13">
        <f>SUM(D41:D42)-D43</f>
        <v>4262.5899999999992</v>
      </c>
      <c r="F41" s="13">
        <f t="shared" ref="F41:Q41" si="13">SUM(E41:E42)-E43</f>
        <v>4996.6399999999994</v>
      </c>
      <c r="G41" s="13">
        <f t="shared" si="13"/>
        <v>5942.95</v>
      </c>
      <c r="H41" s="39">
        <f t="shared" si="13"/>
        <v>6929.0676000000003</v>
      </c>
      <c r="I41" s="39">
        <f t="shared" si="13"/>
        <v>7915.1851999999999</v>
      </c>
      <c r="J41" s="39">
        <f t="shared" si="13"/>
        <v>8901.3027999999995</v>
      </c>
      <c r="K41" s="39">
        <f t="shared" si="13"/>
        <v>9926.8651040000004</v>
      </c>
      <c r="L41" s="39">
        <f t="shared" si="13"/>
        <v>10952.427408</v>
      </c>
      <c r="M41" s="39">
        <f t="shared" si="13"/>
        <v>11977.989711999999</v>
      </c>
      <c r="N41" s="39">
        <f t="shared" si="13"/>
        <v>13044.574508159998</v>
      </c>
      <c r="O41" s="39">
        <f t="shared" si="13"/>
        <v>14111.159304319997</v>
      </c>
      <c r="P41" s="39">
        <f t="shared" si="13"/>
        <v>15177.744100479997</v>
      </c>
      <c r="Q41" s="39">
        <f t="shared" si="13"/>
        <v>16286.992288486397</v>
      </c>
      <c r="R41" s="9"/>
    </row>
    <row r="42" spans="2:18" x14ac:dyDescent="0.15">
      <c r="B42" s="6" t="s">
        <v>79</v>
      </c>
      <c r="D42" s="12">
        <v>850.51</v>
      </c>
      <c r="E42" s="12">
        <v>766.5</v>
      </c>
      <c r="F42" s="12">
        <v>948.19</v>
      </c>
      <c r="G42" s="13">
        <f>F42*(1+Assumption_Sheet!$C$23)</f>
        <v>986.11760000000004</v>
      </c>
      <c r="H42" s="39">
        <f t="shared" ref="H42:Q42" si="14">G42</f>
        <v>986.11760000000004</v>
      </c>
      <c r="I42" s="39">
        <f t="shared" si="14"/>
        <v>986.11760000000004</v>
      </c>
      <c r="J42" s="39">
        <f>I42*(1+Assumption_Sheet!$C$23)</f>
        <v>1025.562304</v>
      </c>
      <c r="K42" s="39">
        <f t="shared" si="14"/>
        <v>1025.562304</v>
      </c>
      <c r="L42" s="39">
        <f t="shared" si="14"/>
        <v>1025.562304</v>
      </c>
      <c r="M42" s="39">
        <f>L42*(1+Assumption_Sheet!$C$23)</f>
        <v>1066.58479616</v>
      </c>
      <c r="N42" s="39">
        <f t="shared" si="14"/>
        <v>1066.58479616</v>
      </c>
      <c r="O42" s="39">
        <f t="shared" si="14"/>
        <v>1066.58479616</v>
      </c>
      <c r="P42" s="39">
        <f>O42*(1+Assumption_Sheet!$C$23)</f>
        <v>1109.2481880064001</v>
      </c>
      <c r="Q42" s="39">
        <f t="shared" si="14"/>
        <v>1109.2481880064001</v>
      </c>
    </row>
    <row r="43" spans="2:18" x14ac:dyDescent="0.15">
      <c r="B43" s="6" t="s">
        <v>76</v>
      </c>
      <c r="D43" s="12">
        <v>44.56</v>
      </c>
      <c r="E43" s="12">
        <v>32.450000000000003</v>
      </c>
      <c r="F43" s="12">
        <v>1.88</v>
      </c>
      <c r="H43" s="39">
        <f t="shared" ref="H43:Q43" si="15">G43</f>
        <v>0</v>
      </c>
      <c r="I43" s="39">
        <f t="shared" si="15"/>
        <v>0</v>
      </c>
      <c r="J43" s="39">
        <f>I43*(1+4%)</f>
        <v>0</v>
      </c>
      <c r="K43" s="39">
        <f t="shared" si="15"/>
        <v>0</v>
      </c>
      <c r="L43" s="39">
        <f t="shared" si="15"/>
        <v>0</v>
      </c>
      <c r="M43" s="39">
        <f>L43*(1+4%)</f>
        <v>0</v>
      </c>
      <c r="N43" s="39">
        <f t="shared" si="15"/>
        <v>0</v>
      </c>
      <c r="O43" s="39">
        <f t="shared" si="15"/>
        <v>0</v>
      </c>
      <c r="P43" s="39">
        <f>O43*(1+4%)</f>
        <v>0</v>
      </c>
      <c r="Q43" s="39">
        <f t="shared" si="15"/>
        <v>0</v>
      </c>
    </row>
    <row r="44" spans="2:18" x14ac:dyDescent="0.15">
      <c r="B44" s="15" t="s">
        <v>80</v>
      </c>
      <c r="C44" s="17"/>
      <c r="D44" s="17">
        <f>D39-SUM(D41:D42)+D43</f>
        <v>5346.21</v>
      </c>
      <c r="E44" s="17">
        <f t="shared" ref="E44" si="16">E39-SUM(E41:E42)+E43</f>
        <v>5249.32</v>
      </c>
      <c r="F44" s="17">
        <f t="shared" ref="F44" si="17">F39-SUM(F41:F42)+F43</f>
        <v>5017.8999999999987</v>
      </c>
      <c r="G44" s="17">
        <f t="shared" ref="G44" si="18">G39-SUM(G41:G42)+G43</f>
        <v>4782.8287999999975</v>
      </c>
      <c r="H44" s="76">
        <f t="shared" ref="H44" si="19">H39-SUM(H41:H42)+H43</f>
        <v>4547.7575999999972</v>
      </c>
      <c r="I44" s="76">
        <f t="shared" ref="I44" si="20">I39-SUM(I41:I42)+I43</f>
        <v>4312.6863999999969</v>
      </c>
      <c r="J44" s="76">
        <f t="shared" ref="J44" si="21">J39-SUM(J41:J42)+J43</f>
        <v>4068.212351999995</v>
      </c>
      <c r="K44" s="76">
        <f t="shared" ref="K44" si="22">K39-SUM(K41:K42)+K43</f>
        <v>3823.738303999995</v>
      </c>
      <c r="L44" s="76">
        <f t="shared" ref="L44" si="23">L39-SUM(L41:L42)+L43</f>
        <v>3579.2642559999949</v>
      </c>
      <c r="M44" s="76">
        <f t="shared" ref="M44" si="24">M39-SUM(M41:M42)+M43</f>
        <v>3325.0112460799955</v>
      </c>
      <c r="N44" s="76">
        <f t="shared" ref="N44" si="25">N39-SUM(N41:N42)+N43</f>
        <v>3070.7582361599962</v>
      </c>
      <c r="O44" s="76">
        <f t="shared" ref="O44" si="26">O39-SUM(O41:O42)+O43</f>
        <v>2816.5052262399968</v>
      </c>
      <c r="P44" s="76">
        <f t="shared" ref="P44" si="27">P39-SUM(P41:P42)+P43</f>
        <v>2552.0820959231951</v>
      </c>
      <c r="Q44" s="76">
        <f t="shared" ref="Q44" si="28">Q39-SUM(Q41:Q42)+Q43</f>
        <v>2287.6589656063952</v>
      </c>
    </row>
    <row r="45" spans="2:18" x14ac:dyDescent="0.15">
      <c r="H45" s="39"/>
      <c r="I45" s="39"/>
      <c r="J45" s="39"/>
      <c r="K45" s="39"/>
      <c r="L45" s="39"/>
      <c r="M45" s="39"/>
      <c r="N45" s="39"/>
      <c r="O45" s="39"/>
      <c r="P45" s="39"/>
      <c r="Q45" s="39"/>
    </row>
    <row r="46" spans="2:18" x14ac:dyDescent="0.15">
      <c r="H46" s="39"/>
      <c r="I46" s="39"/>
      <c r="J46" s="39"/>
      <c r="K46" s="39"/>
      <c r="L46" s="39"/>
      <c r="M46" s="39"/>
      <c r="N46" s="39"/>
      <c r="O46" s="39"/>
      <c r="P46" s="39"/>
      <c r="Q46" s="39"/>
    </row>
    <row r="47" spans="2:18" x14ac:dyDescent="0.15">
      <c r="B47" s="15" t="s">
        <v>83</v>
      </c>
      <c r="H47" s="39"/>
      <c r="I47" s="39"/>
      <c r="J47" s="39"/>
      <c r="K47" s="39"/>
      <c r="L47" s="39"/>
      <c r="M47" s="39"/>
      <c r="N47" s="39"/>
      <c r="O47" s="39"/>
      <c r="P47" s="39"/>
      <c r="Q47" s="39"/>
    </row>
    <row r="48" spans="2:18" x14ac:dyDescent="0.15">
      <c r="B48" s="6" t="s">
        <v>74</v>
      </c>
      <c r="D48" s="13">
        <f t="shared" ref="D48:Q48" si="29">C51</f>
        <v>580.66999999999996</v>
      </c>
      <c r="E48" s="13">
        <f t="shared" si="29"/>
        <v>588.59999999999991</v>
      </c>
      <c r="F48" s="13">
        <f t="shared" si="29"/>
        <v>537.9</v>
      </c>
      <c r="G48" s="13">
        <f t="shared" si="29"/>
        <v>542.04999999999995</v>
      </c>
      <c r="H48" s="39">
        <f t="shared" si="29"/>
        <v>546.36599999999999</v>
      </c>
      <c r="I48" s="39">
        <f t="shared" si="29"/>
        <v>550.68200000000002</v>
      </c>
      <c r="J48" s="39">
        <f t="shared" si="29"/>
        <v>554.99800000000005</v>
      </c>
      <c r="K48" s="39">
        <f t="shared" si="29"/>
        <v>559.48664000000008</v>
      </c>
      <c r="L48" s="39">
        <f t="shared" si="29"/>
        <v>563.97528000000011</v>
      </c>
      <c r="M48" s="39">
        <f t="shared" si="29"/>
        <v>568.46392000000014</v>
      </c>
      <c r="N48" s="39">
        <f t="shared" si="29"/>
        <v>573.13210560000016</v>
      </c>
      <c r="O48" s="39">
        <f t="shared" si="29"/>
        <v>577.80029120000017</v>
      </c>
      <c r="P48" s="39">
        <f t="shared" si="29"/>
        <v>582.46847680000019</v>
      </c>
      <c r="Q48" s="39">
        <f t="shared" si="29"/>
        <v>587.32338982400017</v>
      </c>
      <c r="R48" s="9"/>
    </row>
    <row r="49" spans="2:18" x14ac:dyDescent="0.15">
      <c r="B49" s="6" t="s">
        <v>75</v>
      </c>
      <c r="D49" s="12">
        <v>7.93</v>
      </c>
      <c r="E49" s="12">
        <v>26.2</v>
      </c>
      <c r="F49" s="12">
        <v>4.1500000000000004</v>
      </c>
      <c r="G49" s="13">
        <f>F49*(1+Assumption_Sheet!$C$22)</f>
        <v>4.3160000000000007</v>
      </c>
      <c r="H49" s="39">
        <f t="shared" ref="H49:Q49" si="30">G49</f>
        <v>4.3160000000000007</v>
      </c>
      <c r="I49" s="39">
        <f t="shared" si="30"/>
        <v>4.3160000000000007</v>
      </c>
      <c r="J49" s="39">
        <f>I49*(1+Assumption_Sheet!$C$22)</f>
        <v>4.4886400000000011</v>
      </c>
      <c r="K49" s="39">
        <f t="shared" si="30"/>
        <v>4.4886400000000011</v>
      </c>
      <c r="L49" s="39">
        <f t="shared" si="30"/>
        <v>4.4886400000000011</v>
      </c>
      <c r="M49" s="39">
        <f>L49*(1+Assumption_Sheet!$C$22)</f>
        <v>4.668185600000001</v>
      </c>
      <c r="N49" s="39">
        <f t="shared" si="30"/>
        <v>4.668185600000001</v>
      </c>
      <c r="O49" s="39">
        <f t="shared" si="30"/>
        <v>4.668185600000001</v>
      </c>
      <c r="P49" s="39">
        <f>O49*(1+Assumption_Sheet!$C$22)</f>
        <v>4.8549130240000009</v>
      </c>
      <c r="Q49" s="39">
        <f t="shared" si="30"/>
        <v>4.8549130240000009</v>
      </c>
    </row>
    <row r="50" spans="2:18" x14ac:dyDescent="0.15">
      <c r="B50" s="6" t="s">
        <v>76</v>
      </c>
      <c r="D50" s="12">
        <v>0</v>
      </c>
      <c r="E50" s="12">
        <v>76.900000000000006</v>
      </c>
      <c r="F50" s="12">
        <v>0</v>
      </c>
      <c r="H50" s="39">
        <f t="shared" ref="H50:Q50" si="31">G50</f>
        <v>0</v>
      </c>
      <c r="I50" s="39">
        <f t="shared" si="31"/>
        <v>0</v>
      </c>
      <c r="J50" s="39">
        <f>I50*(1+4%)</f>
        <v>0</v>
      </c>
      <c r="K50" s="39">
        <f t="shared" si="31"/>
        <v>0</v>
      </c>
      <c r="L50" s="39">
        <f t="shared" si="31"/>
        <v>0</v>
      </c>
      <c r="M50" s="39">
        <f>L50*(1+4%)</f>
        <v>0</v>
      </c>
      <c r="N50" s="39">
        <f t="shared" si="31"/>
        <v>0</v>
      </c>
      <c r="O50" s="39">
        <f t="shared" si="31"/>
        <v>0</v>
      </c>
      <c r="P50" s="39">
        <f>O50*(1+4%)</f>
        <v>0</v>
      </c>
      <c r="Q50" s="39">
        <f t="shared" si="31"/>
        <v>0</v>
      </c>
    </row>
    <row r="51" spans="2:18" x14ac:dyDescent="0.15">
      <c r="B51" s="15" t="s">
        <v>77</v>
      </c>
      <c r="C51" s="30">
        <v>580.66999999999996</v>
      </c>
      <c r="D51" s="30">
        <f t="shared" ref="D51:Q51" si="32">SUM(D48:D49)-D50</f>
        <v>588.59999999999991</v>
      </c>
      <c r="E51" s="30">
        <f t="shared" si="32"/>
        <v>537.9</v>
      </c>
      <c r="F51" s="30">
        <f t="shared" si="32"/>
        <v>542.04999999999995</v>
      </c>
      <c r="G51" s="30">
        <f t="shared" si="32"/>
        <v>546.36599999999999</v>
      </c>
      <c r="H51" s="75">
        <f t="shared" si="32"/>
        <v>550.68200000000002</v>
      </c>
      <c r="I51" s="75">
        <f t="shared" si="32"/>
        <v>554.99800000000005</v>
      </c>
      <c r="J51" s="75">
        <f t="shared" si="32"/>
        <v>559.48664000000008</v>
      </c>
      <c r="K51" s="75">
        <f t="shared" si="32"/>
        <v>563.97528000000011</v>
      </c>
      <c r="L51" s="75">
        <f t="shared" si="32"/>
        <v>568.46392000000014</v>
      </c>
      <c r="M51" s="75">
        <f t="shared" si="32"/>
        <v>573.13210560000016</v>
      </c>
      <c r="N51" s="75">
        <f t="shared" si="32"/>
        <v>577.80029120000017</v>
      </c>
      <c r="O51" s="75">
        <f t="shared" si="32"/>
        <v>582.46847680000019</v>
      </c>
      <c r="P51" s="75">
        <f t="shared" si="32"/>
        <v>587.32338982400017</v>
      </c>
      <c r="Q51" s="75">
        <f t="shared" si="32"/>
        <v>592.17830284800016</v>
      </c>
    </row>
    <row r="52" spans="2:18" x14ac:dyDescent="0.15">
      <c r="H52" s="39"/>
      <c r="I52" s="39"/>
      <c r="J52" s="39"/>
      <c r="K52" s="39"/>
      <c r="L52" s="39"/>
      <c r="M52" s="39"/>
      <c r="N52" s="39"/>
      <c r="O52" s="39"/>
      <c r="P52" s="39"/>
      <c r="Q52" s="39"/>
    </row>
    <row r="53" spans="2:18" x14ac:dyDescent="0.15">
      <c r="B53" s="6" t="s">
        <v>78</v>
      </c>
      <c r="D53" s="12">
        <v>360.05</v>
      </c>
      <c r="E53" s="13">
        <f>SUM(D53:D54)-D55</f>
        <v>399.13</v>
      </c>
      <c r="F53" s="13">
        <f t="shared" ref="F53" si="33">SUM(E53:E54)-E55</f>
        <v>367.66999999999996</v>
      </c>
      <c r="G53" s="13">
        <f>F53*(1+4%)</f>
        <v>382.37679999999995</v>
      </c>
      <c r="H53" s="39">
        <f t="shared" ref="H53:Q54" si="34">G53</f>
        <v>382.37679999999995</v>
      </c>
      <c r="I53" s="39">
        <f t="shared" si="34"/>
        <v>382.37679999999995</v>
      </c>
      <c r="J53" s="39">
        <f>I53*(1+4%)</f>
        <v>397.67187199999995</v>
      </c>
      <c r="K53" s="39">
        <f t="shared" si="34"/>
        <v>397.67187199999995</v>
      </c>
      <c r="L53" s="39">
        <f t="shared" si="34"/>
        <v>397.67187199999995</v>
      </c>
      <c r="M53" s="39">
        <f>L53*(1+4%)</f>
        <v>413.57874687999998</v>
      </c>
      <c r="N53" s="39">
        <f t="shared" si="34"/>
        <v>413.57874687999998</v>
      </c>
      <c r="O53" s="39">
        <f t="shared" si="34"/>
        <v>413.57874687999998</v>
      </c>
      <c r="P53" s="39">
        <f>O53*(1+4%)</f>
        <v>430.1218967552</v>
      </c>
      <c r="Q53" s="39">
        <f t="shared" si="34"/>
        <v>430.1218967552</v>
      </c>
    </row>
    <row r="54" spans="2:18" x14ac:dyDescent="0.15">
      <c r="B54" s="6" t="s">
        <v>79</v>
      </c>
      <c r="D54" s="12">
        <v>39.08</v>
      </c>
      <c r="E54" s="12">
        <v>31.9</v>
      </c>
      <c r="F54" s="12">
        <v>33.72</v>
      </c>
      <c r="G54" s="13">
        <f>F54*(1+Assumption_Sheet!$C$23)</f>
        <v>35.068800000000003</v>
      </c>
      <c r="H54" s="39">
        <f t="shared" si="34"/>
        <v>35.068800000000003</v>
      </c>
      <c r="I54" s="39">
        <f t="shared" si="34"/>
        <v>35.068800000000003</v>
      </c>
      <c r="J54" s="39">
        <f>I54*(1+Assumption_Sheet!$C$23)</f>
        <v>36.471552000000003</v>
      </c>
      <c r="K54" s="39">
        <f t="shared" si="34"/>
        <v>36.471552000000003</v>
      </c>
      <c r="L54" s="39">
        <f t="shared" si="34"/>
        <v>36.471552000000003</v>
      </c>
      <c r="M54" s="39">
        <f>L54*(1+Assumption_Sheet!$C$23)</f>
        <v>37.930414080000006</v>
      </c>
      <c r="N54" s="39">
        <f t="shared" si="34"/>
        <v>37.930414080000006</v>
      </c>
      <c r="O54" s="39">
        <f t="shared" si="34"/>
        <v>37.930414080000006</v>
      </c>
      <c r="P54" s="39">
        <f>O54*(1+Assumption_Sheet!$C$23)</f>
        <v>39.447630643200007</v>
      </c>
      <c r="Q54" s="39">
        <f t="shared" si="34"/>
        <v>39.447630643200007</v>
      </c>
    </row>
    <row r="55" spans="2:18" x14ac:dyDescent="0.15">
      <c r="B55" s="6" t="s">
        <v>76</v>
      </c>
      <c r="D55" s="12">
        <v>0</v>
      </c>
      <c r="E55" s="12">
        <v>63.36</v>
      </c>
      <c r="F55" s="12">
        <v>0</v>
      </c>
      <c r="H55" s="39"/>
      <c r="I55" s="39"/>
      <c r="J55" s="39"/>
      <c r="K55" s="39"/>
      <c r="L55" s="39"/>
      <c r="M55" s="39"/>
      <c r="N55" s="39"/>
      <c r="O55" s="39"/>
      <c r="P55" s="39"/>
      <c r="Q55" s="39"/>
    </row>
    <row r="56" spans="2:18" x14ac:dyDescent="0.15">
      <c r="B56" s="15" t="s">
        <v>80</v>
      </c>
      <c r="C56" s="17"/>
      <c r="D56" s="17">
        <f>D51-SUM(D53:D54)+D55</f>
        <v>189.46999999999991</v>
      </c>
      <c r="E56" s="17">
        <f t="shared" ref="E56" si="35">E51-SUM(E53:E54)+E55</f>
        <v>170.23000000000002</v>
      </c>
      <c r="F56" s="17">
        <f t="shared" ref="F56" si="36">F51-SUM(F53:F54)+F55</f>
        <v>140.65999999999997</v>
      </c>
      <c r="G56" s="17">
        <f t="shared" ref="G56" si="37">G51-SUM(G53:G54)+G55</f>
        <v>128.92040000000003</v>
      </c>
      <c r="H56" s="76">
        <f t="shared" ref="H56" si="38">H51-SUM(H53:H54)+H55</f>
        <v>133.23640000000006</v>
      </c>
      <c r="I56" s="76">
        <f t="shared" ref="I56" si="39">I51-SUM(I53:I54)+I55</f>
        <v>137.55240000000009</v>
      </c>
      <c r="J56" s="76">
        <f t="shared" ref="J56" si="40">J51-SUM(J53:J54)+J55</f>
        <v>125.3432160000001</v>
      </c>
      <c r="K56" s="76">
        <f t="shared" ref="K56" si="41">K51-SUM(K53:K54)+K55</f>
        <v>129.83185600000013</v>
      </c>
      <c r="L56" s="76">
        <f t="shared" ref="L56" si="42">L51-SUM(L53:L54)+L55</f>
        <v>134.32049600000016</v>
      </c>
      <c r="M56" s="76">
        <f t="shared" ref="M56" si="43">M51-SUM(M53:M54)+M55</f>
        <v>121.62294464000018</v>
      </c>
      <c r="N56" s="76">
        <f t="shared" ref="N56" si="44">N51-SUM(N53:N54)+N55</f>
        <v>126.2911302400002</v>
      </c>
      <c r="O56" s="76">
        <f t="shared" ref="O56" si="45">O51-SUM(O53:O54)+O55</f>
        <v>130.95931584000022</v>
      </c>
      <c r="P56" s="76">
        <f t="shared" ref="P56" si="46">P51-SUM(P53:P54)+P55</f>
        <v>117.75386242560018</v>
      </c>
      <c r="Q56" s="76">
        <f t="shared" ref="Q56" si="47">Q51-SUM(Q53:Q54)+Q55</f>
        <v>122.60877544960016</v>
      </c>
    </row>
    <row r="57" spans="2:18" x14ac:dyDescent="0.15">
      <c r="H57" s="39"/>
      <c r="I57" s="39"/>
      <c r="J57" s="39"/>
      <c r="K57" s="39"/>
      <c r="L57" s="39"/>
      <c r="M57" s="39"/>
      <c r="N57" s="39"/>
      <c r="O57" s="39"/>
      <c r="P57" s="39"/>
      <c r="Q57" s="39"/>
    </row>
    <row r="58" spans="2:18" x14ac:dyDescent="0.15">
      <c r="H58" s="39"/>
      <c r="I58" s="39"/>
      <c r="J58" s="39"/>
      <c r="K58" s="39"/>
      <c r="L58" s="39"/>
      <c r="M58" s="39"/>
      <c r="N58" s="39"/>
      <c r="O58" s="39"/>
      <c r="P58" s="39"/>
      <c r="Q58" s="39"/>
    </row>
    <row r="59" spans="2:18" x14ac:dyDescent="0.15">
      <c r="B59" s="15" t="s">
        <v>84</v>
      </c>
      <c r="H59" s="39"/>
      <c r="I59" s="39"/>
      <c r="J59" s="39"/>
      <c r="K59" s="39"/>
      <c r="L59" s="39"/>
      <c r="M59" s="39"/>
      <c r="N59" s="39"/>
      <c r="O59" s="39"/>
      <c r="P59" s="39"/>
      <c r="Q59" s="39"/>
    </row>
    <row r="60" spans="2:18" x14ac:dyDescent="0.15">
      <c r="B60" s="6" t="s">
        <v>74</v>
      </c>
      <c r="D60" s="13">
        <f t="shared" ref="D60:Q60" si="48">C63</f>
        <v>8611.6200000000008</v>
      </c>
      <c r="E60" s="13">
        <f t="shared" si="48"/>
        <v>10233.750000000002</v>
      </c>
      <c r="F60" s="13">
        <f t="shared" si="48"/>
        <v>10214.990000000002</v>
      </c>
      <c r="G60" s="13">
        <f t="shared" si="48"/>
        <v>10949.800000000003</v>
      </c>
      <c r="H60" s="39">
        <f t="shared" si="48"/>
        <v>11714.491200000002</v>
      </c>
      <c r="I60" s="39">
        <f t="shared" si="48"/>
        <v>12479.182400000002</v>
      </c>
      <c r="J60" s="39">
        <f t="shared" si="48"/>
        <v>13243.873600000001</v>
      </c>
      <c r="K60" s="39">
        <f t="shared" si="48"/>
        <v>14039.152448000001</v>
      </c>
      <c r="L60" s="39">
        <f t="shared" si="48"/>
        <v>14834.431296000001</v>
      </c>
      <c r="M60" s="39">
        <f t="shared" si="48"/>
        <v>15629.710144000001</v>
      </c>
      <c r="N60" s="39">
        <f t="shared" si="48"/>
        <v>16456.800145920002</v>
      </c>
      <c r="O60" s="39">
        <f t="shared" si="48"/>
        <v>17283.890147840004</v>
      </c>
      <c r="P60" s="39">
        <f t="shared" si="48"/>
        <v>18110.980149760006</v>
      </c>
      <c r="Q60" s="39">
        <f t="shared" si="48"/>
        <v>18971.153751756807</v>
      </c>
      <c r="R60" s="9"/>
    </row>
    <row r="61" spans="2:18" x14ac:dyDescent="0.15">
      <c r="B61" s="6" t="s">
        <v>75</v>
      </c>
      <c r="D61" s="12">
        <v>1683.71</v>
      </c>
      <c r="E61" s="12">
        <v>235.22</v>
      </c>
      <c r="F61" s="12">
        <v>735.28</v>
      </c>
      <c r="G61" s="13">
        <f>F61*(1+Assumption_Sheet!$C$22)</f>
        <v>764.69119999999998</v>
      </c>
      <c r="H61" s="39">
        <f t="shared" ref="H61:Q61" si="49">G61</f>
        <v>764.69119999999998</v>
      </c>
      <c r="I61" s="39">
        <f t="shared" si="49"/>
        <v>764.69119999999998</v>
      </c>
      <c r="J61" s="39">
        <f>I61*(1+Assumption_Sheet!$C$22)</f>
        <v>795.27884800000004</v>
      </c>
      <c r="K61" s="39">
        <f t="shared" si="49"/>
        <v>795.27884800000004</v>
      </c>
      <c r="L61" s="39">
        <f t="shared" si="49"/>
        <v>795.27884800000004</v>
      </c>
      <c r="M61" s="39">
        <f>L61*(1+Assumption_Sheet!$C$22)</f>
        <v>827.09000192000008</v>
      </c>
      <c r="N61" s="39">
        <f t="shared" si="49"/>
        <v>827.09000192000008</v>
      </c>
      <c r="O61" s="39">
        <f t="shared" si="49"/>
        <v>827.09000192000008</v>
      </c>
      <c r="P61" s="39">
        <f>O61*(1+Assumption_Sheet!$C$22)</f>
        <v>860.17360199680013</v>
      </c>
      <c r="Q61" s="39">
        <f t="shared" si="49"/>
        <v>860.17360199680013</v>
      </c>
    </row>
    <row r="62" spans="2:18" x14ac:dyDescent="0.15">
      <c r="B62" s="6" t="s">
        <v>76</v>
      </c>
      <c r="D62" s="12">
        <v>61.58</v>
      </c>
      <c r="E62" s="12">
        <v>253.98</v>
      </c>
      <c r="F62" s="12">
        <v>0.47</v>
      </c>
      <c r="G62" s="13">
        <v>0</v>
      </c>
      <c r="H62" s="39">
        <v>0</v>
      </c>
      <c r="I62" s="39">
        <v>0</v>
      </c>
      <c r="J62" s="39">
        <v>0</v>
      </c>
      <c r="K62" s="39">
        <v>0</v>
      </c>
      <c r="L62" s="39">
        <v>0</v>
      </c>
      <c r="M62" s="39">
        <v>0</v>
      </c>
      <c r="N62" s="39">
        <v>0</v>
      </c>
      <c r="O62" s="39">
        <v>0</v>
      </c>
      <c r="P62" s="39">
        <v>0</v>
      </c>
      <c r="Q62" s="39">
        <v>0</v>
      </c>
    </row>
    <row r="63" spans="2:18" x14ac:dyDescent="0.15">
      <c r="B63" s="15" t="s">
        <v>77</v>
      </c>
      <c r="C63" s="30">
        <v>8611.6200000000008</v>
      </c>
      <c r="D63" s="30">
        <f t="shared" ref="D63:Q63" si="50">SUM(D60:D61)-D62</f>
        <v>10233.750000000002</v>
      </c>
      <c r="E63" s="30">
        <f t="shared" si="50"/>
        <v>10214.990000000002</v>
      </c>
      <c r="F63" s="30">
        <f t="shared" si="50"/>
        <v>10949.800000000003</v>
      </c>
      <c r="G63" s="30">
        <f t="shared" si="50"/>
        <v>11714.491200000002</v>
      </c>
      <c r="H63" s="75">
        <f t="shared" si="50"/>
        <v>12479.182400000002</v>
      </c>
      <c r="I63" s="75">
        <f t="shared" si="50"/>
        <v>13243.873600000001</v>
      </c>
      <c r="J63" s="75">
        <f t="shared" si="50"/>
        <v>14039.152448000001</v>
      </c>
      <c r="K63" s="75">
        <f t="shared" si="50"/>
        <v>14834.431296000001</v>
      </c>
      <c r="L63" s="75">
        <f t="shared" si="50"/>
        <v>15629.710144000001</v>
      </c>
      <c r="M63" s="75">
        <f t="shared" si="50"/>
        <v>16456.800145920002</v>
      </c>
      <c r="N63" s="75">
        <f t="shared" si="50"/>
        <v>17283.890147840004</v>
      </c>
      <c r="O63" s="75">
        <f t="shared" si="50"/>
        <v>18110.980149760006</v>
      </c>
      <c r="P63" s="75">
        <f t="shared" si="50"/>
        <v>18971.153751756807</v>
      </c>
      <c r="Q63" s="75">
        <f t="shared" si="50"/>
        <v>19831.327353753608</v>
      </c>
    </row>
    <row r="64" spans="2:18" x14ac:dyDescent="0.15">
      <c r="H64" s="39"/>
      <c r="I64" s="39"/>
      <c r="J64" s="39"/>
      <c r="K64" s="39"/>
      <c r="L64" s="39"/>
      <c r="M64" s="39"/>
      <c r="N64" s="39"/>
      <c r="O64" s="39"/>
      <c r="P64" s="39"/>
      <c r="Q64" s="39"/>
    </row>
    <row r="65" spans="2:18" x14ac:dyDescent="0.15">
      <c r="B65" s="6" t="s">
        <v>78</v>
      </c>
      <c r="D65" s="12">
        <v>6840.44</v>
      </c>
      <c r="E65" s="13">
        <f>SUM(D65:D66)-D67</f>
        <v>7619.4099999999989</v>
      </c>
      <c r="F65" s="13">
        <f t="shared" ref="F65:Q65" si="51">SUM(E65:E66)-E67</f>
        <v>8109.449999999998</v>
      </c>
      <c r="G65" s="13">
        <f t="shared" si="51"/>
        <v>8845.2899999999972</v>
      </c>
      <c r="H65" s="39">
        <f t="shared" si="51"/>
        <v>9609.3051999999971</v>
      </c>
      <c r="I65" s="39">
        <f t="shared" si="51"/>
        <v>10373.320399999997</v>
      </c>
      <c r="J65" s="39">
        <f t="shared" si="51"/>
        <v>11137.335599999997</v>
      </c>
      <c r="K65" s="39">
        <f t="shared" si="51"/>
        <v>11931.911407999996</v>
      </c>
      <c r="L65" s="39">
        <f t="shared" si="51"/>
        <v>12726.487215999996</v>
      </c>
      <c r="M65" s="39">
        <f t="shared" si="51"/>
        <v>13521.063023999995</v>
      </c>
      <c r="N65" s="39">
        <f t="shared" si="51"/>
        <v>14347.421864319997</v>
      </c>
      <c r="O65" s="39">
        <f t="shared" si="51"/>
        <v>15173.780704639998</v>
      </c>
      <c r="P65" s="39">
        <f t="shared" si="51"/>
        <v>16000.139544959999</v>
      </c>
      <c r="Q65" s="39">
        <f t="shared" si="51"/>
        <v>16859.552738892799</v>
      </c>
    </row>
    <row r="66" spans="2:18" x14ac:dyDescent="0.15">
      <c r="B66" s="6" t="s">
        <v>79</v>
      </c>
      <c r="D66" s="12">
        <v>835.94</v>
      </c>
      <c r="E66" s="12">
        <v>732.6</v>
      </c>
      <c r="F66" s="12">
        <v>734.63</v>
      </c>
      <c r="G66" s="13">
        <f>F66*(1+Assumption_Sheet!$C$23)</f>
        <v>764.01520000000005</v>
      </c>
      <c r="H66" s="39">
        <f t="shared" ref="H66:Q66" si="52">G66</f>
        <v>764.01520000000005</v>
      </c>
      <c r="I66" s="39">
        <f t="shared" si="52"/>
        <v>764.01520000000005</v>
      </c>
      <c r="J66" s="39">
        <f>I66*(1+Assumption_Sheet!$C$23)</f>
        <v>794.57580800000005</v>
      </c>
      <c r="K66" s="39">
        <f t="shared" si="52"/>
        <v>794.57580800000005</v>
      </c>
      <c r="L66" s="39">
        <f t="shared" si="52"/>
        <v>794.57580800000005</v>
      </c>
      <c r="M66" s="39">
        <f>L66*(1+Assumption_Sheet!$C$23)</f>
        <v>826.35884032000013</v>
      </c>
      <c r="N66" s="39">
        <f t="shared" si="52"/>
        <v>826.35884032000013</v>
      </c>
      <c r="O66" s="39">
        <f t="shared" si="52"/>
        <v>826.35884032000013</v>
      </c>
      <c r="P66" s="39">
        <f>O66*(1+Assumption_Sheet!$C$23)</f>
        <v>859.41319393280014</v>
      </c>
      <c r="Q66" s="39">
        <f t="shared" si="52"/>
        <v>859.41319393280014</v>
      </c>
    </row>
    <row r="67" spans="2:18" x14ac:dyDescent="0.15">
      <c r="B67" s="6" t="s">
        <v>76</v>
      </c>
      <c r="D67" s="12">
        <v>56.97</v>
      </c>
      <c r="E67" s="12">
        <v>242.56</v>
      </c>
      <c r="F67" s="12">
        <v>-1.21</v>
      </c>
      <c r="G67" s="13">
        <v>0</v>
      </c>
      <c r="H67" s="39">
        <v>0</v>
      </c>
      <c r="I67" s="39">
        <v>0</v>
      </c>
      <c r="J67" s="39">
        <v>0</v>
      </c>
      <c r="K67" s="39">
        <v>0</v>
      </c>
      <c r="L67" s="39">
        <v>0</v>
      </c>
      <c r="M67" s="39">
        <v>0</v>
      </c>
      <c r="N67" s="39">
        <v>0</v>
      </c>
      <c r="O67" s="39">
        <v>0</v>
      </c>
      <c r="P67" s="39">
        <v>0</v>
      </c>
      <c r="Q67" s="39">
        <v>0</v>
      </c>
    </row>
    <row r="68" spans="2:18" x14ac:dyDescent="0.15">
      <c r="B68" s="15" t="s">
        <v>80</v>
      </c>
      <c r="C68" s="17"/>
      <c r="D68" s="17">
        <f>D63-SUM(D65:D66)+D67</f>
        <v>2614.3400000000024</v>
      </c>
      <c r="E68" s="17">
        <f t="shared" ref="E68" si="53">E63-SUM(E65:E66)+E67</f>
        <v>2105.5400000000031</v>
      </c>
      <c r="F68" s="17">
        <f t="shared" ref="F68" si="54">F63-SUM(F65:F66)+F67</f>
        <v>2104.5100000000048</v>
      </c>
      <c r="G68" s="17">
        <f t="shared" ref="G68" si="55">G63-SUM(G65:G66)+G67</f>
        <v>2105.1860000000052</v>
      </c>
      <c r="H68" s="76">
        <f t="shared" ref="H68" si="56">H63-SUM(H65:H66)+H67</f>
        <v>2105.8620000000046</v>
      </c>
      <c r="I68" s="76">
        <f t="shared" ref="I68" si="57">I63-SUM(I65:I66)+I67</f>
        <v>2106.5380000000041</v>
      </c>
      <c r="J68" s="76">
        <f t="shared" ref="J68" si="58">J63-SUM(J65:J66)+J67</f>
        <v>2107.2410400000044</v>
      </c>
      <c r="K68" s="76">
        <f t="shared" ref="K68" si="59">K63-SUM(K65:K66)+K67</f>
        <v>2107.9440800000048</v>
      </c>
      <c r="L68" s="76">
        <f t="shared" ref="L68" si="60">L63-SUM(L65:L66)+L67</f>
        <v>2108.6471200000051</v>
      </c>
      <c r="M68" s="76">
        <f t="shared" ref="M68" si="61">M63-SUM(M65:M66)+M67</f>
        <v>2109.3782816000057</v>
      </c>
      <c r="N68" s="76">
        <f t="shared" ref="N68" si="62">N63-SUM(N65:N66)+N67</f>
        <v>2110.1094432000064</v>
      </c>
      <c r="O68" s="76">
        <f t="shared" ref="O68" si="63">O63-SUM(O65:O66)+O67</f>
        <v>2110.840604800007</v>
      </c>
      <c r="P68" s="76">
        <f t="shared" ref="P68" si="64">P63-SUM(P65:P66)+P67</f>
        <v>2111.6010128640082</v>
      </c>
      <c r="Q68" s="76">
        <f t="shared" ref="Q68" si="65">Q63-SUM(Q65:Q66)+Q67</f>
        <v>2112.3614209280095</v>
      </c>
    </row>
    <row r="69" spans="2:18" x14ac:dyDescent="0.15">
      <c r="H69" s="39"/>
      <c r="I69" s="39"/>
      <c r="J69" s="39"/>
      <c r="K69" s="39"/>
      <c r="L69" s="39"/>
      <c r="M69" s="39"/>
      <c r="N69" s="39"/>
      <c r="O69" s="39"/>
      <c r="P69" s="39"/>
      <c r="Q69" s="39"/>
    </row>
    <row r="70" spans="2:18" x14ac:dyDescent="0.15">
      <c r="H70" s="39"/>
      <c r="I70" s="39"/>
      <c r="J70" s="39"/>
      <c r="K70" s="39"/>
      <c r="L70" s="39"/>
      <c r="M70" s="39"/>
      <c r="N70" s="39"/>
      <c r="O70" s="39"/>
      <c r="P70" s="39"/>
      <c r="Q70" s="39"/>
    </row>
    <row r="71" spans="2:18" x14ac:dyDescent="0.15">
      <c r="B71" s="15" t="s">
        <v>85</v>
      </c>
      <c r="H71" s="39"/>
      <c r="I71" s="39"/>
      <c r="J71" s="39"/>
      <c r="K71" s="39"/>
      <c r="L71" s="39"/>
      <c r="M71" s="39"/>
      <c r="N71" s="39"/>
      <c r="O71" s="39"/>
      <c r="P71" s="39"/>
      <c r="Q71" s="39"/>
    </row>
    <row r="72" spans="2:18" x14ac:dyDescent="0.15">
      <c r="B72" s="6" t="s">
        <v>74</v>
      </c>
      <c r="D72" s="13">
        <f t="shared" ref="D72:Q72" si="66">C75</f>
        <v>2052.37</v>
      </c>
      <c r="E72" s="13">
        <f t="shared" si="66"/>
        <v>2076.2199999999998</v>
      </c>
      <c r="F72" s="13">
        <f t="shared" si="66"/>
        <v>1965.6499999999999</v>
      </c>
      <c r="G72" s="13">
        <f t="shared" si="66"/>
        <v>2077.75</v>
      </c>
      <c r="H72" s="39">
        <f t="shared" si="66"/>
        <v>2241.3524000000002</v>
      </c>
      <c r="I72" s="39">
        <f t="shared" si="66"/>
        <v>2404.9548000000004</v>
      </c>
      <c r="J72" s="39">
        <f t="shared" si="66"/>
        <v>2568.5572000000006</v>
      </c>
      <c r="K72" s="39">
        <f t="shared" si="66"/>
        <v>2738.7036960000005</v>
      </c>
      <c r="L72" s="39">
        <f t="shared" si="66"/>
        <v>2908.8501920000003</v>
      </c>
      <c r="M72" s="39">
        <f t="shared" si="66"/>
        <v>3078.9966880000002</v>
      </c>
      <c r="N72" s="39">
        <f t="shared" si="66"/>
        <v>3255.9490438400003</v>
      </c>
      <c r="O72" s="39">
        <f t="shared" si="66"/>
        <v>3432.9013996800004</v>
      </c>
      <c r="P72" s="39">
        <f t="shared" si="66"/>
        <v>3609.8537555200005</v>
      </c>
      <c r="Q72" s="39">
        <f t="shared" si="66"/>
        <v>3793.8842055936007</v>
      </c>
      <c r="R72" s="9"/>
    </row>
    <row r="73" spans="2:18" x14ac:dyDescent="0.15">
      <c r="B73" s="6" t="s">
        <v>75</v>
      </c>
      <c r="D73" s="12">
        <f>3.6+73.28</f>
        <v>76.88</v>
      </c>
      <c r="E73" s="12">
        <f>11.74+72.12</f>
        <v>83.86</v>
      </c>
      <c r="F73" s="12">
        <f>25.23+132.08</f>
        <v>157.31</v>
      </c>
      <c r="G73" s="13">
        <f>F73*(1+Assumption_Sheet!$C$22)</f>
        <v>163.60240000000002</v>
      </c>
      <c r="H73" s="39">
        <f t="shared" ref="H73:Q73" si="67">G73</f>
        <v>163.60240000000002</v>
      </c>
      <c r="I73" s="39">
        <f t="shared" si="67"/>
        <v>163.60240000000002</v>
      </c>
      <c r="J73" s="39">
        <f>I73*(1+Assumption_Sheet!$C$22)</f>
        <v>170.14649600000001</v>
      </c>
      <c r="K73" s="39">
        <f t="shared" si="67"/>
        <v>170.14649600000001</v>
      </c>
      <c r="L73" s="39">
        <f t="shared" si="67"/>
        <v>170.14649600000001</v>
      </c>
      <c r="M73" s="39">
        <f>L73*(1+Assumption_Sheet!$C$22)</f>
        <v>176.95235584000002</v>
      </c>
      <c r="N73" s="39">
        <f t="shared" si="67"/>
        <v>176.95235584000002</v>
      </c>
      <c r="O73" s="39">
        <f t="shared" si="67"/>
        <v>176.95235584000002</v>
      </c>
      <c r="P73" s="39">
        <f>O73*(1+Assumption_Sheet!$C$22)</f>
        <v>184.03045007360004</v>
      </c>
      <c r="Q73" s="39">
        <f t="shared" si="67"/>
        <v>184.03045007360004</v>
      </c>
    </row>
    <row r="74" spans="2:18" x14ac:dyDescent="0.15">
      <c r="B74" s="6" t="s">
        <v>76</v>
      </c>
      <c r="D74" s="12">
        <f>5.59+47.44</f>
        <v>53.03</v>
      </c>
      <c r="E74" s="12">
        <f>24.69+169.74</f>
        <v>194.43</v>
      </c>
      <c r="F74" s="12">
        <f>2.06+43.15</f>
        <v>45.21</v>
      </c>
      <c r="G74" s="13">
        <v>0</v>
      </c>
      <c r="H74" s="39">
        <v>0</v>
      </c>
      <c r="I74" s="39">
        <v>0</v>
      </c>
      <c r="J74" s="39">
        <v>0</v>
      </c>
      <c r="K74" s="39">
        <v>0</v>
      </c>
      <c r="L74" s="39">
        <v>0</v>
      </c>
      <c r="M74" s="39">
        <v>0</v>
      </c>
      <c r="N74" s="39">
        <v>0</v>
      </c>
      <c r="O74" s="39">
        <v>0</v>
      </c>
      <c r="P74" s="39">
        <v>0</v>
      </c>
      <c r="Q74" s="39">
        <v>0</v>
      </c>
    </row>
    <row r="75" spans="2:18" x14ac:dyDescent="0.15">
      <c r="B75" s="15" t="s">
        <v>77</v>
      </c>
      <c r="C75" s="30">
        <v>2052.37</v>
      </c>
      <c r="D75" s="30">
        <f t="shared" ref="D75:Q75" si="68">SUM(D72:D73)-D74</f>
        <v>2076.2199999999998</v>
      </c>
      <c r="E75" s="30">
        <f t="shared" si="68"/>
        <v>1965.6499999999999</v>
      </c>
      <c r="F75" s="30">
        <f t="shared" si="68"/>
        <v>2077.75</v>
      </c>
      <c r="G75" s="30">
        <f t="shared" si="68"/>
        <v>2241.3524000000002</v>
      </c>
      <c r="H75" s="75">
        <f t="shared" si="68"/>
        <v>2404.9548000000004</v>
      </c>
      <c r="I75" s="75">
        <f t="shared" si="68"/>
        <v>2568.5572000000006</v>
      </c>
      <c r="J75" s="75">
        <f t="shared" si="68"/>
        <v>2738.7036960000005</v>
      </c>
      <c r="K75" s="75">
        <f t="shared" si="68"/>
        <v>2908.8501920000003</v>
      </c>
      <c r="L75" s="75">
        <f t="shared" si="68"/>
        <v>3078.9966880000002</v>
      </c>
      <c r="M75" s="75">
        <f t="shared" si="68"/>
        <v>3255.9490438400003</v>
      </c>
      <c r="N75" s="75">
        <f t="shared" si="68"/>
        <v>3432.9013996800004</v>
      </c>
      <c r="O75" s="75">
        <f t="shared" si="68"/>
        <v>3609.8537555200005</v>
      </c>
      <c r="P75" s="75">
        <f t="shared" si="68"/>
        <v>3793.8842055936007</v>
      </c>
      <c r="Q75" s="75">
        <f t="shared" si="68"/>
        <v>3977.9146556672008</v>
      </c>
    </row>
    <row r="76" spans="2:18" x14ac:dyDescent="0.15">
      <c r="H76" s="39"/>
      <c r="I76" s="39"/>
      <c r="J76" s="39"/>
      <c r="K76" s="39"/>
      <c r="L76" s="39"/>
      <c r="M76" s="39"/>
      <c r="N76" s="39"/>
      <c r="O76" s="39"/>
      <c r="P76" s="39"/>
      <c r="Q76" s="39"/>
    </row>
    <row r="77" spans="2:18" x14ac:dyDescent="0.15">
      <c r="B77" s="6" t="s">
        <v>78</v>
      </c>
      <c r="D77" s="12">
        <f>335.98+1187.95</f>
        <v>1523.93</v>
      </c>
      <c r="E77" s="13">
        <f>SUM(D77:D78)-D79</f>
        <v>1608.01</v>
      </c>
      <c r="F77" s="13">
        <f t="shared" ref="F77:Q77" si="69">SUM(E77:E78)-E79</f>
        <v>1555.1699999999998</v>
      </c>
      <c r="G77" s="13">
        <f t="shared" si="69"/>
        <v>1645.87</v>
      </c>
      <c r="H77" s="39">
        <f t="shared" si="69"/>
        <v>1778.6884</v>
      </c>
      <c r="I77" s="39">
        <f t="shared" si="69"/>
        <v>1911.5068000000001</v>
      </c>
      <c r="J77" s="39">
        <f t="shared" si="69"/>
        <v>2044.3252000000002</v>
      </c>
      <c r="K77" s="39">
        <f t="shared" si="69"/>
        <v>2182.4563360000002</v>
      </c>
      <c r="L77" s="39">
        <f t="shared" si="69"/>
        <v>2320.5874720000002</v>
      </c>
      <c r="M77" s="39">
        <f t="shared" si="69"/>
        <v>2458.7186080000001</v>
      </c>
      <c r="N77" s="39">
        <f t="shared" si="69"/>
        <v>2602.3749894400003</v>
      </c>
      <c r="O77" s="39">
        <f t="shared" si="69"/>
        <v>2746.0313708800004</v>
      </c>
      <c r="P77" s="39">
        <f t="shared" si="69"/>
        <v>2889.6877523200005</v>
      </c>
      <c r="Q77" s="39">
        <f t="shared" si="69"/>
        <v>3039.0903890176005</v>
      </c>
    </row>
    <row r="78" spans="2:18" x14ac:dyDescent="0.15">
      <c r="B78" s="6" t="s">
        <v>79</v>
      </c>
      <c r="D78" s="12">
        <f>31.11+98.66</f>
        <v>129.76999999999998</v>
      </c>
      <c r="E78" s="12">
        <f>34.02+92.08</f>
        <v>126.1</v>
      </c>
      <c r="F78" s="12">
        <f>29.63+98.08</f>
        <v>127.71</v>
      </c>
      <c r="G78" s="13">
        <f>F78*(1+Assumption_Sheet!$C$23)</f>
        <v>132.8184</v>
      </c>
      <c r="H78" s="39">
        <f t="shared" ref="H78:Q78" si="70">G78</f>
        <v>132.8184</v>
      </c>
      <c r="I78" s="39">
        <f t="shared" si="70"/>
        <v>132.8184</v>
      </c>
      <c r="J78" s="39">
        <f>I78*(1+Assumption_Sheet!$C$23)</f>
        <v>138.131136</v>
      </c>
      <c r="K78" s="39">
        <f t="shared" si="70"/>
        <v>138.131136</v>
      </c>
      <c r="L78" s="39">
        <f t="shared" si="70"/>
        <v>138.131136</v>
      </c>
      <c r="M78" s="39">
        <f>L78*(1+Assumption_Sheet!$C$23)</f>
        <v>143.65638143999999</v>
      </c>
      <c r="N78" s="39">
        <f t="shared" si="70"/>
        <v>143.65638143999999</v>
      </c>
      <c r="O78" s="39">
        <f t="shared" si="70"/>
        <v>143.65638143999999</v>
      </c>
      <c r="P78" s="39">
        <f>O78*(1+Assumption_Sheet!$C$23)</f>
        <v>149.4026366976</v>
      </c>
      <c r="Q78" s="39">
        <f t="shared" si="70"/>
        <v>149.4026366976</v>
      </c>
    </row>
    <row r="79" spans="2:18" x14ac:dyDescent="0.15">
      <c r="B79" s="6" t="s">
        <v>76</v>
      </c>
      <c r="D79" s="12">
        <f>5.31+40.38</f>
        <v>45.690000000000005</v>
      </c>
      <c r="E79" s="12">
        <f>21.24+157.7</f>
        <v>178.94</v>
      </c>
      <c r="F79" s="12">
        <f>1.56+35.45</f>
        <v>37.010000000000005</v>
      </c>
      <c r="G79" s="13">
        <v>0</v>
      </c>
      <c r="H79" s="39">
        <v>0</v>
      </c>
      <c r="I79" s="39">
        <v>0</v>
      </c>
      <c r="J79" s="39">
        <v>0</v>
      </c>
      <c r="K79" s="39">
        <v>0</v>
      </c>
      <c r="L79" s="39">
        <v>0</v>
      </c>
      <c r="M79" s="39">
        <v>0</v>
      </c>
      <c r="N79" s="39">
        <v>0</v>
      </c>
      <c r="O79" s="39">
        <v>0</v>
      </c>
      <c r="P79" s="39">
        <v>0</v>
      </c>
      <c r="Q79" s="39">
        <v>0</v>
      </c>
    </row>
    <row r="80" spans="2:18" x14ac:dyDescent="0.15">
      <c r="B80" s="15" t="s">
        <v>80</v>
      </c>
      <c r="C80" s="17"/>
      <c r="D80" s="17">
        <f>D75-SUM(D77:D78)+D79</f>
        <v>468.20999999999975</v>
      </c>
      <c r="E80" s="17">
        <f t="shared" ref="E80" si="71">E75-SUM(E77:E78)+E79</f>
        <v>410.47999999999996</v>
      </c>
      <c r="F80" s="17">
        <f t="shared" ref="F80" si="72">F75-SUM(F77:F78)+F79</f>
        <v>431.88000000000011</v>
      </c>
      <c r="G80" s="17">
        <f t="shared" ref="G80" si="73">G75-SUM(G77:G78)+G79</f>
        <v>462.66400000000021</v>
      </c>
      <c r="H80" s="76">
        <f t="shared" ref="H80" si="74">H75-SUM(H77:H78)+H79</f>
        <v>493.44800000000032</v>
      </c>
      <c r="I80" s="76">
        <f t="shared" ref="I80" si="75">I75-SUM(I77:I78)+I79</f>
        <v>524.23200000000043</v>
      </c>
      <c r="J80" s="76">
        <f t="shared" ref="J80" si="76">J75-SUM(J77:J78)+J79</f>
        <v>556.2473600000003</v>
      </c>
      <c r="K80" s="76">
        <f t="shared" ref="K80" si="77">K75-SUM(K77:K78)+K79</f>
        <v>588.26272000000017</v>
      </c>
      <c r="L80" s="76">
        <f t="shared" ref="L80" si="78">L75-SUM(L77:L78)+L79</f>
        <v>620.27808000000005</v>
      </c>
      <c r="M80" s="76">
        <f t="shared" ref="M80" si="79">M75-SUM(M77:M78)+M79</f>
        <v>653.57405440000002</v>
      </c>
      <c r="N80" s="76">
        <f t="shared" ref="N80" si="80">N75-SUM(N77:N78)+N79</f>
        <v>686.8700288</v>
      </c>
      <c r="O80" s="76">
        <f t="shared" ref="O80" si="81">O75-SUM(O77:O78)+O79</f>
        <v>720.16600319999998</v>
      </c>
      <c r="P80" s="76">
        <f t="shared" ref="P80" si="82">P75-SUM(P77:P78)+P79</f>
        <v>754.79381657600015</v>
      </c>
      <c r="Q80" s="76">
        <f t="shared" ref="Q80" si="83">Q75-SUM(Q77:Q78)+Q79</f>
        <v>789.42162995200033</v>
      </c>
    </row>
    <row r="81" spans="2:18" x14ac:dyDescent="0.15">
      <c r="H81" s="39"/>
      <c r="I81" s="39"/>
      <c r="J81" s="39"/>
      <c r="K81" s="39"/>
      <c r="L81" s="39"/>
      <c r="M81" s="39"/>
      <c r="N81" s="39"/>
      <c r="O81" s="39"/>
      <c r="P81" s="39"/>
      <c r="Q81" s="39"/>
    </row>
    <row r="82" spans="2:18" x14ac:dyDescent="0.15">
      <c r="H82" s="39"/>
      <c r="I82" s="39"/>
      <c r="J82" s="39"/>
      <c r="K82" s="39"/>
      <c r="L82" s="39"/>
      <c r="M82" s="39"/>
      <c r="N82" s="39"/>
      <c r="O82" s="39"/>
      <c r="P82" s="39"/>
      <c r="Q82" s="39"/>
    </row>
    <row r="83" spans="2:18" x14ac:dyDescent="0.15">
      <c r="B83" s="15" t="s">
        <v>86</v>
      </c>
      <c r="H83" s="39"/>
      <c r="I83" s="39"/>
      <c r="J83" s="39"/>
      <c r="K83" s="39"/>
      <c r="L83" s="39"/>
      <c r="M83" s="39"/>
      <c r="N83" s="39"/>
      <c r="O83" s="39"/>
      <c r="P83" s="39"/>
      <c r="Q83" s="39"/>
    </row>
    <row r="84" spans="2:18" x14ac:dyDescent="0.15">
      <c r="B84" s="6" t="s">
        <v>74</v>
      </c>
      <c r="D84" s="13">
        <f t="shared" ref="D84:Q84" si="84">C87</f>
        <v>651.32000000000005</v>
      </c>
      <c r="E84" s="13">
        <f t="shared" si="84"/>
        <v>668.76</v>
      </c>
      <c r="F84" s="13">
        <f t="shared" si="84"/>
        <v>671.34999999999991</v>
      </c>
      <c r="G84" s="13">
        <f t="shared" si="84"/>
        <v>689.43999999999994</v>
      </c>
      <c r="H84" s="39">
        <f t="shared" si="84"/>
        <v>720.07839999999999</v>
      </c>
      <c r="I84" s="39">
        <f t="shared" si="84"/>
        <v>750.71680000000003</v>
      </c>
      <c r="J84" s="39">
        <f t="shared" si="84"/>
        <v>781.35520000000008</v>
      </c>
      <c r="K84" s="39">
        <f t="shared" si="84"/>
        <v>813.21913600000005</v>
      </c>
      <c r="L84" s="39">
        <f t="shared" si="84"/>
        <v>845.08307200000002</v>
      </c>
      <c r="M84" s="39">
        <f t="shared" si="84"/>
        <v>876.94700799999998</v>
      </c>
      <c r="N84" s="39">
        <f t="shared" si="84"/>
        <v>910.08550144000003</v>
      </c>
      <c r="O84" s="39">
        <f t="shared" si="84"/>
        <v>943.22399488000008</v>
      </c>
      <c r="P84" s="39">
        <f t="shared" si="84"/>
        <v>976.36248832000012</v>
      </c>
      <c r="Q84" s="39">
        <f t="shared" si="84"/>
        <v>1010.8265214976001</v>
      </c>
      <c r="R84" s="9"/>
    </row>
    <row r="85" spans="2:18" x14ac:dyDescent="0.15">
      <c r="B85" s="6" t="s">
        <v>75</v>
      </c>
      <c r="D85" s="12">
        <v>20.67</v>
      </c>
      <c r="E85" s="12">
        <v>16.91</v>
      </c>
      <c r="F85" s="12">
        <v>29.46</v>
      </c>
      <c r="G85" s="13">
        <f>F85*(1+Assumption_Sheet!$C$22)</f>
        <v>30.638400000000001</v>
      </c>
      <c r="H85" s="39">
        <f t="shared" ref="H85:Q85" si="85">G85</f>
        <v>30.638400000000001</v>
      </c>
      <c r="I85" s="39">
        <f t="shared" si="85"/>
        <v>30.638400000000001</v>
      </c>
      <c r="J85" s="39">
        <f>I85*(1+Assumption_Sheet!$C$22)</f>
        <v>31.863936000000002</v>
      </c>
      <c r="K85" s="39">
        <f t="shared" si="85"/>
        <v>31.863936000000002</v>
      </c>
      <c r="L85" s="39">
        <f t="shared" si="85"/>
        <v>31.863936000000002</v>
      </c>
      <c r="M85" s="39">
        <f>L85*(1+Assumption_Sheet!$C$22)</f>
        <v>33.138493440000005</v>
      </c>
      <c r="N85" s="39">
        <f t="shared" si="85"/>
        <v>33.138493440000005</v>
      </c>
      <c r="O85" s="39">
        <f t="shared" si="85"/>
        <v>33.138493440000005</v>
      </c>
      <c r="P85" s="39">
        <f>O85*(1+Assumption_Sheet!$C$22)</f>
        <v>34.464033177600008</v>
      </c>
      <c r="Q85" s="39">
        <f t="shared" si="85"/>
        <v>34.464033177600008</v>
      </c>
    </row>
    <row r="86" spans="2:18" x14ac:dyDescent="0.15">
      <c r="B86" s="6" t="s">
        <v>76</v>
      </c>
      <c r="D86" s="12">
        <v>3.23</v>
      </c>
      <c r="E86" s="12">
        <v>14.32</v>
      </c>
      <c r="F86" s="12">
        <v>11.37</v>
      </c>
      <c r="H86" s="39"/>
      <c r="I86" s="39"/>
      <c r="J86" s="39"/>
      <c r="K86" s="39"/>
      <c r="L86" s="39"/>
      <c r="M86" s="39"/>
      <c r="N86" s="39"/>
      <c r="O86" s="39"/>
      <c r="P86" s="39"/>
      <c r="Q86" s="39"/>
    </row>
    <row r="87" spans="2:18" x14ac:dyDescent="0.15">
      <c r="B87" s="15" t="s">
        <v>77</v>
      </c>
      <c r="C87" s="30">
        <v>651.32000000000005</v>
      </c>
      <c r="D87" s="30">
        <f t="shared" ref="D87:Q87" si="86">SUM(D84:D85)-D86</f>
        <v>668.76</v>
      </c>
      <c r="E87" s="30">
        <f t="shared" si="86"/>
        <v>671.34999999999991</v>
      </c>
      <c r="F87" s="30">
        <f t="shared" si="86"/>
        <v>689.43999999999994</v>
      </c>
      <c r="G87" s="30">
        <f t="shared" si="86"/>
        <v>720.07839999999999</v>
      </c>
      <c r="H87" s="75">
        <f t="shared" si="86"/>
        <v>750.71680000000003</v>
      </c>
      <c r="I87" s="75">
        <f t="shared" si="86"/>
        <v>781.35520000000008</v>
      </c>
      <c r="J87" s="75">
        <f t="shared" si="86"/>
        <v>813.21913600000005</v>
      </c>
      <c r="K87" s="75">
        <f t="shared" si="86"/>
        <v>845.08307200000002</v>
      </c>
      <c r="L87" s="75">
        <f t="shared" si="86"/>
        <v>876.94700799999998</v>
      </c>
      <c r="M87" s="75">
        <f t="shared" si="86"/>
        <v>910.08550144000003</v>
      </c>
      <c r="N87" s="75">
        <f t="shared" si="86"/>
        <v>943.22399488000008</v>
      </c>
      <c r="O87" s="75">
        <f t="shared" si="86"/>
        <v>976.36248832000012</v>
      </c>
      <c r="P87" s="75">
        <f t="shared" si="86"/>
        <v>1010.8265214976001</v>
      </c>
      <c r="Q87" s="75">
        <f t="shared" si="86"/>
        <v>1045.2905546752002</v>
      </c>
    </row>
    <row r="88" spans="2:18" x14ac:dyDescent="0.15">
      <c r="H88" s="39"/>
      <c r="I88" s="39"/>
      <c r="J88" s="39"/>
      <c r="K88" s="39"/>
      <c r="L88" s="39"/>
      <c r="M88" s="39"/>
      <c r="N88" s="39"/>
      <c r="O88" s="39"/>
      <c r="P88" s="39"/>
      <c r="Q88" s="39"/>
    </row>
    <row r="89" spans="2:18" x14ac:dyDescent="0.15">
      <c r="B89" s="6" t="s">
        <v>78</v>
      </c>
      <c r="D89" s="12">
        <v>411.91</v>
      </c>
      <c r="E89" s="13">
        <f>SUM(D89:D90)-D91</f>
        <v>443.44000000000005</v>
      </c>
      <c r="F89" s="13">
        <f t="shared" ref="F89:Q89" si="87">SUM(E89:E90)-E91</f>
        <v>469.66</v>
      </c>
      <c r="G89" s="13">
        <f t="shared" si="87"/>
        <v>497.73</v>
      </c>
      <c r="H89" s="39">
        <f t="shared" si="87"/>
        <v>538.22760000000005</v>
      </c>
      <c r="I89" s="39">
        <f t="shared" si="87"/>
        <v>578.72520000000009</v>
      </c>
      <c r="J89" s="39">
        <f t="shared" si="87"/>
        <v>619.22280000000012</v>
      </c>
      <c r="K89" s="39">
        <f t="shared" si="87"/>
        <v>661.34030400000006</v>
      </c>
      <c r="L89" s="39">
        <f t="shared" si="87"/>
        <v>703.45780800000011</v>
      </c>
      <c r="M89" s="39">
        <f t="shared" si="87"/>
        <v>745.57531200000017</v>
      </c>
      <c r="N89" s="39">
        <f t="shared" si="87"/>
        <v>789.37751616000014</v>
      </c>
      <c r="O89" s="39">
        <f t="shared" si="87"/>
        <v>833.17972032000011</v>
      </c>
      <c r="P89" s="39">
        <f t="shared" si="87"/>
        <v>876.98192448000009</v>
      </c>
      <c r="Q89" s="39">
        <f t="shared" si="87"/>
        <v>922.53621680640003</v>
      </c>
    </row>
    <row r="90" spans="2:18" x14ac:dyDescent="0.15">
      <c r="B90" s="6" t="s">
        <v>79</v>
      </c>
      <c r="D90" s="12">
        <v>34.49</v>
      </c>
      <c r="E90" s="12">
        <v>39.130000000000003</v>
      </c>
      <c r="F90" s="12">
        <v>38.94</v>
      </c>
      <c r="G90" s="13">
        <f>F90*(1+Assumption_Sheet!$C$23)</f>
        <v>40.497599999999998</v>
      </c>
      <c r="H90" s="39">
        <f t="shared" ref="H90:Q90" si="88">G90</f>
        <v>40.497599999999998</v>
      </c>
      <c r="I90" s="39">
        <f t="shared" si="88"/>
        <v>40.497599999999998</v>
      </c>
      <c r="J90" s="39">
        <f>I90*(1+Assumption_Sheet!$C$23)</f>
        <v>42.117503999999997</v>
      </c>
      <c r="K90" s="39">
        <f t="shared" si="88"/>
        <v>42.117503999999997</v>
      </c>
      <c r="L90" s="39">
        <f t="shared" si="88"/>
        <v>42.117503999999997</v>
      </c>
      <c r="M90" s="39">
        <f>L90*(1+Assumption_Sheet!$C$23)</f>
        <v>43.802204159999995</v>
      </c>
      <c r="N90" s="39">
        <f t="shared" si="88"/>
        <v>43.802204159999995</v>
      </c>
      <c r="O90" s="39">
        <f t="shared" si="88"/>
        <v>43.802204159999995</v>
      </c>
      <c r="P90" s="39">
        <f>O90*(1+Assumption_Sheet!$C$23)</f>
        <v>45.554292326399995</v>
      </c>
      <c r="Q90" s="39">
        <f t="shared" si="88"/>
        <v>45.554292326399995</v>
      </c>
    </row>
    <row r="91" spans="2:18" x14ac:dyDescent="0.15">
      <c r="B91" s="6" t="s">
        <v>76</v>
      </c>
      <c r="D91" s="12">
        <v>2.96</v>
      </c>
      <c r="E91" s="12">
        <v>12.91</v>
      </c>
      <c r="F91" s="12">
        <v>10.87</v>
      </c>
      <c r="H91" s="39"/>
      <c r="I91" s="39"/>
      <c r="J91" s="39"/>
      <c r="K91" s="39"/>
      <c r="L91" s="39"/>
      <c r="M91" s="39"/>
      <c r="N91" s="39"/>
      <c r="O91" s="39"/>
      <c r="P91" s="39"/>
      <c r="Q91" s="39"/>
    </row>
    <row r="92" spans="2:18" x14ac:dyDescent="0.15">
      <c r="B92" s="15" t="s">
        <v>80</v>
      </c>
      <c r="C92" s="17"/>
      <c r="D92" s="17">
        <f>D87-SUM(D89:D90)+D91</f>
        <v>225.31999999999996</v>
      </c>
      <c r="E92" s="17">
        <f t="shared" ref="E92" si="89">E87-SUM(E89:E90)+E91</f>
        <v>201.68999999999986</v>
      </c>
      <c r="F92" s="17">
        <f t="shared" ref="F92" si="90">F87-SUM(F89:F90)+F91</f>
        <v>191.70999999999992</v>
      </c>
      <c r="G92" s="17">
        <f t="shared" ref="G92" si="91">G87-SUM(G89:G90)+G91</f>
        <v>181.85079999999994</v>
      </c>
      <c r="H92" s="76">
        <f t="shared" ref="H92" si="92">H87-SUM(H89:H90)+H91</f>
        <v>171.99159999999995</v>
      </c>
      <c r="I92" s="76">
        <f t="shared" ref="I92" si="93">I87-SUM(I89:I90)+I91</f>
        <v>162.13239999999996</v>
      </c>
      <c r="J92" s="76">
        <f t="shared" ref="J92" si="94">J87-SUM(J89:J90)+J91</f>
        <v>151.87883199999999</v>
      </c>
      <c r="K92" s="76">
        <f t="shared" ref="K92" si="95">K87-SUM(K89:K90)+K91</f>
        <v>141.6252639999999</v>
      </c>
      <c r="L92" s="76">
        <f t="shared" ref="L92" si="96">L87-SUM(L89:L90)+L91</f>
        <v>131.37169599999982</v>
      </c>
      <c r="M92" s="76">
        <f t="shared" ref="M92" si="97">M87-SUM(M89:M90)+M91</f>
        <v>120.70798527999989</v>
      </c>
      <c r="N92" s="76">
        <f t="shared" ref="N92" si="98">N87-SUM(N89:N90)+N91</f>
        <v>110.04427455999996</v>
      </c>
      <c r="O92" s="76">
        <f t="shared" ref="O92" si="99">O87-SUM(O89:O90)+O91</f>
        <v>99.380563840000036</v>
      </c>
      <c r="P92" s="76">
        <f t="shared" ref="P92" si="100">P87-SUM(P89:P90)+P91</f>
        <v>88.290304691200049</v>
      </c>
      <c r="Q92" s="76">
        <f t="shared" ref="Q92" si="101">Q87-SUM(Q89:Q90)+Q91</f>
        <v>77.200045542400176</v>
      </c>
    </row>
    <row r="93" spans="2:18" x14ac:dyDescent="0.15">
      <c r="H93" s="39"/>
      <c r="I93" s="39"/>
      <c r="J93" s="39"/>
      <c r="K93" s="39"/>
      <c r="L93" s="39"/>
      <c r="M93" s="39"/>
      <c r="N93" s="39"/>
      <c r="O93" s="39"/>
      <c r="P93" s="39"/>
      <c r="Q93" s="39"/>
    </row>
    <row r="94" spans="2:18" x14ac:dyDescent="0.15">
      <c r="H94" s="39"/>
      <c r="I94" s="39"/>
      <c r="J94" s="39"/>
      <c r="K94" s="39"/>
      <c r="L94" s="39"/>
      <c r="M94" s="39"/>
      <c r="N94" s="39"/>
      <c r="O94" s="39"/>
      <c r="P94" s="39"/>
      <c r="Q94" s="39"/>
    </row>
    <row r="95" spans="2:18" x14ac:dyDescent="0.15">
      <c r="B95" s="15" t="s">
        <v>87</v>
      </c>
      <c r="H95" s="39"/>
      <c r="I95" s="39"/>
      <c r="J95" s="39"/>
      <c r="K95" s="39"/>
      <c r="L95" s="39"/>
      <c r="M95" s="39"/>
      <c r="N95" s="39"/>
      <c r="O95" s="39"/>
      <c r="P95" s="39"/>
      <c r="Q95" s="39"/>
    </row>
    <row r="96" spans="2:18" x14ac:dyDescent="0.15">
      <c r="B96" s="6" t="s">
        <v>74</v>
      </c>
      <c r="D96" s="13">
        <f t="shared" ref="D96:Q96" si="102">C99</f>
        <v>5202.46</v>
      </c>
      <c r="E96" s="13">
        <f t="shared" si="102"/>
        <v>5202.46</v>
      </c>
      <c r="F96" s="13">
        <f t="shared" si="102"/>
        <v>5202.46</v>
      </c>
      <c r="G96" s="13">
        <f t="shared" si="102"/>
        <v>5202.46</v>
      </c>
      <c r="H96" s="39">
        <f t="shared" si="102"/>
        <v>5410.5583999999999</v>
      </c>
      <c r="I96" s="39">
        <f t="shared" si="102"/>
        <v>5618.6567999999997</v>
      </c>
      <c r="J96" s="39">
        <f t="shared" si="102"/>
        <v>5826.7551999999996</v>
      </c>
      <c r="K96" s="39">
        <f t="shared" si="102"/>
        <v>6043.1775359999992</v>
      </c>
      <c r="L96" s="39">
        <f t="shared" si="102"/>
        <v>6259.5998719999989</v>
      </c>
      <c r="M96" s="39">
        <f t="shared" si="102"/>
        <v>6476.0222079999985</v>
      </c>
      <c r="N96" s="39">
        <f t="shared" si="102"/>
        <v>6701.1014374399983</v>
      </c>
      <c r="O96" s="39">
        <f t="shared" si="102"/>
        <v>6926.1806668799982</v>
      </c>
      <c r="P96" s="39">
        <f t="shared" si="102"/>
        <v>7151.259896319998</v>
      </c>
      <c r="Q96" s="39">
        <f t="shared" si="102"/>
        <v>7385.3422949375981</v>
      </c>
      <c r="R96" s="9"/>
    </row>
    <row r="97" spans="2:18" x14ac:dyDescent="0.15">
      <c r="B97" s="6" t="s">
        <v>75</v>
      </c>
      <c r="D97" s="12">
        <v>0</v>
      </c>
      <c r="E97" s="12">
        <v>0</v>
      </c>
      <c r="F97" s="12">
        <v>0</v>
      </c>
      <c r="G97" s="73">
        <f>F96*(Assumption_Sheet!$C$22)</f>
        <v>208.0984</v>
      </c>
      <c r="H97" s="39">
        <f t="shared" ref="H97:Q97" si="103">G97</f>
        <v>208.0984</v>
      </c>
      <c r="I97" s="39">
        <f t="shared" si="103"/>
        <v>208.0984</v>
      </c>
      <c r="J97" s="39">
        <f>I97*(1+Assumption_Sheet!$C$22)</f>
        <v>216.422336</v>
      </c>
      <c r="K97" s="39">
        <f t="shared" si="103"/>
        <v>216.422336</v>
      </c>
      <c r="L97" s="39">
        <f t="shared" si="103"/>
        <v>216.422336</v>
      </c>
      <c r="M97" s="39">
        <f>L97*(1+Assumption_Sheet!$C$22)</f>
        <v>225.07922944000001</v>
      </c>
      <c r="N97" s="39">
        <f t="shared" si="103"/>
        <v>225.07922944000001</v>
      </c>
      <c r="O97" s="39">
        <f t="shared" si="103"/>
        <v>225.07922944000001</v>
      </c>
      <c r="P97" s="39">
        <f>O97*(1+Assumption_Sheet!$C$22)</f>
        <v>234.08239861760001</v>
      </c>
      <c r="Q97" s="39">
        <f t="shared" si="103"/>
        <v>234.08239861760001</v>
      </c>
    </row>
    <row r="98" spans="2:18" x14ac:dyDescent="0.15">
      <c r="B98" s="6" t="s">
        <v>76</v>
      </c>
      <c r="D98" s="12">
        <v>0</v>
      </c>
      <c r="E98" s="12">
        <v>0</v>
      </c>
      <c r="F98" s="12">
        <v>0</v>
      </c>
      <c r="H98" s="39"/>
      <c r="I98" s="39"/>
      <c r="J98" s="39"/>
      <c r="K98" s="39"/>
      <c r="L98" s="39"/>
      <c r="M98" s="39"/>
      <c r="N98" s="39"/>
      <c r="O98" s="39"/>
      <c r="P98" s="39"/>
      <c r="Q98" s="39"/>
    </row>
    <row r="99" spans="2:18" x14ac:dyDescent="0.15">
      <c r="B99" s="15" t="s">
        <v>77</v>
      </c>
      <c r="C99" s="30">
        <v>5202.46</v>
      </c>
      <c r="D99" s="30">
        <f t="shared" ref="D99:Q99" si="104">SUM(D96:D97)-D98</f>
        <v>5202.46</v>
      </c>
      <c r="E99" s="30">
        <f t="shared" si="104"/>
        <v>5202.46</v>
      </c>
      <c r="F99" s="30">
        <f t="shared" si="104"/>
        <v>5202.46</v>
      </c>
      <c r="G99" s="30">
        <f t="shared" si="104"/>
        <v>5410.5583999999999</v>
      </c>
      <c r="H99" s="75">
        <f t="shared" si="104"/>
        <v>5618.6567999999997</v>
      </c>
      <c r="I99" s="75">
        <f t="shared" si="104"/>
        <v>5826.7551999999996</v>
      </c>
      <c r="J99" s="75">
        <f t="shared" si="104"/>
        <v>6043.1775359999992</v>
      </c>
      <c r="K99" s="75">
        <f t="shared" si="104"/>
        <v>6259.5998719999989</v>
      </c>
      <c r="L99" s="75">
        <f t="shared" si="104"/>
        <v>6476.0222079999985</v>
      </c>
      <c r="M99" s="75">
        <f t="shared" si="104"/>
        <v>6701.1014374399983</v>
      </c>
      <c r="N99" s="75">
        <f t="shared" si="104"/>
        <v>6926.1806668799982</v>
      </c>
      <c r="O99" s="75">
        <f t="shared" si="104"/>
        <v>7151.259896319998</v>
      </c>
      <c r="P99" s="75">
        <f t="shared" si="104"/>
        <v>7385.3422949375981</v>
      </c>
      <c r="Q99" s="75">
        <f t="shared" si="104"/>
        <v>7619.4246935551982</v>
      </c>
    </row>
    <row r="100" spans="2:18" x14ac:dyDescent="0.15">
      <c r="H100" s="39"/>
      <c r="I100" s="39"/>
      <c r="J100" s="39"/>
      <c r="K100" s="39"/>
      <c r="L100" s="39"/>
      <c r="M100" s="39"/>
      <c r="N100" s="39"/>
      <c r="O100" s="39"/>
      <c r="P100" s="39"/>
      <c r="Q100" s="39"/>
    </row>
    <row r="101" spans="2:18" x14ac:dyDescent="0.15">
      <c r="B101" s="6" t="s">
        <v>78</v>
      </c>
      <c r="D101" s="12">
        <v>3720.22</v>
      </c>
      <c r="E101" s="13">
        <f>SUM(D101:D102)-D103</f>
        <v>3960.27</v>
      </c>
      <c r="F101" s="13">
        <f t="shared" ref="F101:Q101" si="105">SUM(E101:E102)-E103</f>
        <v>4200.28</v>
      </c>
      <c r="G101" s="13">
        <f t="shared" si="105"/>
        <v>4440.17</v>
      </c>
      <c r="H101" s="39">
        <f t="shared" si="105"/>
        <v>4689.6556</v>
      </c>
      <c r="I101" s="39">
        <f t="shared" si="105"/>
        <v>4939.1412</v>
      </c>
      <c r="J101" s="39">
        <f t="shared" si="105"/>
        <v>5188.6268</v>
      </c>
      <c r="K101" s="39">
        <f t="shared" si="105"/>
        <v>5448.0918240000001</v>
      </c>
      <c r="L101" s="39">
        <f t="shared" si="105"/>
        <v>5707.5568480000002</v>
      </c>
      <c r="M101" s="39">
        <f t="shared" si="105"/>
        <v>5967.0218720000003</v>
      </c>
      <c r="N101" s="39">
        <f t="shared" si="105"/>
        <v>6236.8654969600002</v>
      </c>
      <c r="O101" s="39">
        <f t="shared" si="105"/>
        <v>6506.7091219200001</v>
      </c>
      <c r="P101" s="39">
        <f t="shared" si="105"/>
        <v>6776.5527468800001</v>
      </c>
      <c r="Q101" s="39">
        <f t="shared" si="105"/>
        <v>7057.1901168384002</v>
      </c>
    </row>
    <row r="102" spans="2:18" x14ac:dyDescent="0.15">
      <c r="B102" s="6" t="s">
        <v>79</v>
      </c>
      <c r="D102" s="12">
        <v>240.05</v>
      </c>
      <c r="E102" s="12">
        <v>240.01</v>
      </c>
      <c r="F102" s="12">
        <v>239.89</v>
      </c>
      <c r="G102" s="13">
        <f>F102*(1+Assumption_Sheet!$C$23)</f>
        <v>249.48560000000001</v>
      </c>
      <c r="H102" s="39">
        <f t="shared" ref="H102:Q102" si="106">G102</f>
        <v>249.48560000000001</v>
      </c>
      <c r="I102" s="39">
        <f t="shared" si="106"/>
        <v>249.48560000000001</v>
      </c>
      <c r="J102" s="39">
        <f>I102*(1+Assumption_Sheet!$C$23)</f>
        <v>259.46502400000003</v>
      </c>
      <c r="K102" s="39">
        <f t="shared" si="106"/>
        <v>259.46502400000003</v>
      </c>
      <c r="L102" s="39">
        <f t="shared" si="106"/>
        <v>259.46502400000003</v>
      </c>
      <c r="M102" s="39">
        <f>L102*(1+Assumption_Sheet!$C$23)</f>
        <v>269.84362496000006</v>
      </c>
      <c r="N102" s="39">
        <f t="shared" si="106"/>
        <v>269.84362496000006</v>
      </c>
      <c r="O102" s="39">
        <f t="shared" si="106"/>
        <v>269.84362496000006</v>
      </c>
      <c r="P102" s="39">
        <f>O102*(1+Assumption_Sheet!$C$23)</f>
        <v>280.63736995840009</v>
      </c>
      <c r="Q102" s="39">
        <f t="shared" si="106"/>
        <v>280.63736995840009</v>
      </c>
      <c r="R102" s="13"/>
    </row>
    <row r="103" spans="2:18" x14ac:dyDescent="0.15">
      <c r="B103" s="6" t="s">
        <v>76</v>
      </c>
      <c r="D103" s="12">
        <v>0</v>
      </c>
      <c r="E103" s="12">
        <v>0</v>
      </c>
      <c r="F103" s="13">
        <v>0</v>
      </c>
      <c r="H103" s="39">
        <f t="shared" ref="H103:Q103" si="107">G103</f>
        <v>0</v>
      </c>
      <c r="I103" s="39">
        <f t="shared" si="107"/>
        <v>0</v>
      </c>
      <c r="J103" s="39">
        <f>I103*(1+4%)</f>
        <v>0</v>
      </c>
      <c r="K103" s="39">
        <f t="shared" si="107"/>
        <v>0</v>
      </c>
      <c r="L103" s="39">
        <f t="shared" si="107"/>
        <v>0</v>
      </c>
      <c r="M103" s="39">
        <f>L103*(1+4%)</f>
        <v>0</v>
      </c>
      <c r="N103" s="39">
        <f t="shared" si="107"/>
        <v>0</v>
      </c>
      <c r="O103" s="39">
        <f t="shared" si="107"/>
        <v>0</v>
      </c>
      <c r="P103" s="39">
        <f>O103*(1+4%)</f>
        <v>0</v>
      </c>
      <c r="Q103" s="39">
        <f t="shared" si="107"/>
        <v>0</v>
      </c>
    </row>
    <row r="104" spans="2:18" x14ac:dyDescent="0.15">
      <c r="B104" s="15" t="s">
        <v>80</v>
      </c>
      <c r="C104" s="17"/>
      <c r="D104" s="17">
        <f>D99-SUM(D101:D102)+D103</f>
        <v>1242.19</v>
      </c>
      <c r="E104" s="17">
        <f t="shared" ref="E104" si="108">E99-SUM(E101:E102)+E103</f>
        <v>1002.1800000000003</v>
      </c>
      <c r="F104" s="17">
        <f t="shared" ref="F104" si="109">F99-SUM(F101:F102)+F103</f>
        <v>762.29</v>
      </c>
      <c r="G104" s="17">
        <f t="shared" ref="G104" si="110">G99-SUM(G101:G102)+G103</f>
        <v>720.90279999999984</v>
      </c>
      <c r="H104" s="76">
        <f t="shared" ref="H104" si="111">H99-SUM(H101:H102)+H103</f>
        <v>679.51559999999972</v>
      </c>
      <c r="I104" s="76">
        <f t="shared" ref="I104" si="112">I99-SUM(I101:I102)+I103</f>
        <v>638.1283999999996</v>
      </c>
      <c r="J104" s="76">
        <f t="shared" ref="J104" si="113">J99-SUM(J101:J102)+J103</f>
        <v>595.08571199999915</v>
      </c>
      <c r="K104" s="76">
        <f t="shared" ref="K104" si="114">K99-SUM(K101:K102)+K103</f>
        <v>552.0430239999987</v>
      </c>
      <c r="L104" s="76">
        <f t="shared" ref="L104" si="115">L99-SUM(L101:L102)+L103</f>
        <v>509.00033599999824</v>
      </c>
      <c r="M104" s="76">
        <f t="shared" ref="M104" si="116">M99-SUM(M101:M102)+M103</f>
        <v>464.23594047999813</v>
      </c>
      <c r="N104" s="76">
        <f t="shared" ref="N104" si="117">N99-SUM(N101:N102)+N103</f>
        <v>419.47154495999803</v>
      </c>
      <c r="O104" s="76">
        <f t="shared" ref="O104" si="118">O99-SUM(O101:O102)+O103</f>
        <v>374.70714943999792</v>
      </c>
      <c r="P104" s="76">
        <f t="shared" ref="P104" si="119">P99-SUM(P101:P102)+P103</f>
        <v>328.15217809919795</v>
      </c>
      <c r="Q104" s="76">
        <f t="shared" ref="Q104" si="120">Q99-SUM(Q101:Q102)+Q103</f>
        <v>281.59720675839799</v>
      </c>
    </row>
    <row r="105" spans="2:18" x14ac:dyDescent="0.15">
      <c r="H105" s="39"/>
      <c r="I105" s="39"/>
      <c r="J105" s="39"/>
      <c r="K105" s="39"/>
      <c r="L105" s="39"/>
      <c r="M105" s="39"/>
      <c r="N105" s="39"/>
      <c r="O105" s="39"/>
      <c r="P105" s="39"/>
      <c r="Q105" s="39"/>
    </row>
    <row r="106" spans="2:18" ht="15" thickBot="1" x14ac:dyDescent="0.2">
      <c r="H106" s="39"/>
      <c r="I106" s="39"/>
      <c r="J106" s="39"/>
      <c r="K106" s="39"/>
      <c r="L106" s="39"/>
      <c r="M106" s="39"/>
      <c r="N106" s="39"/>
      <c r="O106" s="39"/>
      <c r="P106" s="39"/>
      <c r="Q106" s="39"/>
    </row>
    <row r="107" spans="2:18" ht="16" thickTop="1" thickBot="1" x14ac:dyDescent="0.2">
      <c r="B107" s="15" t="s">
        <v>101</v>
      </c>
      <c r="C107" s="31"/>
      <c r="D107" s="31">
        <f t="shared" ref="D107:Q107" si="121">SUM(D104,D92,D80,D68,D56,D44,D32,D20)</f>
        <v>19707.280000000006</v>
      </c>
      <c r="E107" s="31">
        <f t="shared" si="121"/>
        <v>20528.190000000006</v>
      </c>
      <c r="F107" s="31">
        <f t="shared" si="121"/>
        <v>22368.660000000011</v>
      </c>
      <c r="G107" s="31">
        <f t="shared" si="121"/>
        <v>22590.994800000004</v>
      </c>
      <c r="H107" s="74">
        <f t="shared" si="121"/>
        <v>23410.145200000006</v>
      </c>
      <c r="I107" s="74">
        <f t="shared" si="121"/>
        <v>24229.295600000005</v>
      </c>
      <c r="J107" s="74">
        <f t="shared" si="121"/>
        <v>25064.514192000002</v>
      </c>
      <c r="K107" s="74">
        <f t="shared" si="121"/>
        <v>25916.430608000002</v>
      </c>
      <c r="L107" s="74">
        <f t="shared" si="121"/>
        <v>26768.347023999999</v>
      </c>
      <c r="M107" s="74">
        <f t="shared" si="121"/>
        <v>27636.974359680004</v>
      </c>
      <c r="N107" s="74">
        <f t="shared" si="121"/>
        <v>28522.967432320005</v>
      </c>
      <c r="O107" s="74">
        <f t="shared" si="121"/>
        <v>29408.960504960007</v>
      </c>
      <c r="P107" s="74">
        <f t="shared" si="121"/>
        <v>30312.332934067206</v>
      </c>
      <c r="Q107" s="74">
        <f t="shared" si="121"/>
        <v>31233.765729612809</v>
      </c>
    </row>
    <row r="108" spans="2:18" ht="15" thickTop="1" x14ac:dyDescent="0.15">
      <c r="H108" s="39"/>
      <c r="I108" s="39"/>
      <c r="J108" s="39"/>
      <c r="K108" s="39"/>
      <c r="L108" s="39"/>
      <c r="M108" s="39"/>
      <c r="N108" s="39"/>
      <c r="O108" s="39"/>
      <c r="P108" s="39"/>
      <c r="Q108" s="39"/>
    </row>
    <row r="109" spans="2:18" x14ac:dyDescent="0.15">
      <c r="C109" s="13">
        <f>BS_Input!C16</f>
        <v>15585.09</v>
      </c>
      <c r="D109" s="13">
        <f>BS_Input!D16</f>
        <v>19707.28</v>
      </c>
      <c r="E109" s="13">
        <f>BS_Input!E16</f>
        <v>20528.189999999999</v>
      </c>
      <c r="F109" s="13">
        <f>BS_Input!F16</f>
        <v>22368.66</v>
      </c>
      <c r="G109" s="13">
        <f>BS_Input!G16</f>
        <v>22590.99</v>
      </c>
      <c r="H109" s="77"/>
      <c r="I109" s="39"/>
      <c r="J109" s="39"/>
      <c r="K109" s="39"/>
      <c r="L109" s="39"/>
      <c r="M109" s="39"/>
      <c r="N109" s="39"/>
      <c r="O109" s="39"/>
      <c r="P109" s="39"/>
      <c r="Q109" s="39"/>
    </row>
    <row r="110" spans="2:18" x14ac:dyDescent="0.15">
      <c r="H110" s="39"/>
      <c r="I110" s="39"/>
      <c r="J110" s="39"/>
      <c r="K110" s="39"/>
      <c r="L110" s="39"/>
      <c r="M110" s="39"/>
      <c r="N110" s="39"/>
      <c r="O110" s="39"/>
      <c r="P110" s="39"/>
      <c r="Q110" s="39"/>
    </row>
    <row r="111" spans="2:18" ht="17" x14ac:dyDescent="0.2">
      <c r="B111" s="26" t="s">
        <v>29</v>
      </c>
      <c r="C111" s="26"/>
      <c r="D111" s="26"/>
      <c r="E111" s="26"/>
      <c r="F111" s="26"/>
      <c r="G111" s="26"/>
      <c r="H111" s="26"/>
      <c r="I111" s="26"/>
      <c r="J111" s="26"/>
      <c r="K111" s="26"/>
      <c r="L111" s="26"/>
      <c r="M111" s="26"/>
      <c r="N111" s="26"/>
      <c r="O111" s="26"/>
      <c r="P111" s="26"/>
      <c r="Q111" s="26"/>
    </row>
    <row r="112" spans="2:18" x14ac:dyDescent="0.15">
      <c r="H112" s="39"/>
      <c r="I112" s="39"/>
      <c r="J112" s="39"/>
      <c r="K112" s="39"/>
      <c r="L112" s="39"/>
      <c r="M112" s="39"/>
      <c r="N112" s="39"/>
      <c r="O112" s="39"/>
      <c r="P112" s="39"/>
      <c r="Q112" s="39"/>
    </row>
    <row r="113" spans="2:17" x14ac:dyDescent="0.15">
      <c r="H113" s="39"/>
      <c r="I113" s="39"/>
      <c r="J113" s="39"/>
      <c r="K113" s="39"/>
      <c r="L113" s="39"/>
      <c r="M113" s="39"/>
      <c r="N113" s="39"/>
      <c r="O113" s="39"/>
      <c r="P113" s="39"/>
      <c r="Q113" s="39"/>
    </row>
    <row r="114" spans="2:17" x14ac:dyDescent="0.15">
      <c r="H114" s="39"/>
      <c r="I114" s="39"/>
      <c r="J114" s="39"/>
      <c r="K114" s="39"/>
      <c r="L114" s="39"/>
      <c r="M114" s="39"/>
      <c r="N114" s="39"/>
      <c r="O114" s="39"/>
      <c r="P114" s="39"/>
      <c r="Q114" s="39"/>
    </row>
    <row r="115" spans="2:17" x14ac:dyDescent="0.15">
      <c r="B115" s="15" t="s">
        <v>88</v>
      </c>
      <c r="H115" s="39"/>
      <c r="I115" s="39"/>
      <c r="J115" s="39"/>
      <c r="K115" s="39"/>
      <c r="L115" s="39"/>
      <c r="M115" s="39"/>
      <c r="N115" s="39"/>
      <c r="O115" s="39"/>
      <c r="P115" s="39"/>
      <c r="Q115" s="39"/>
    </row>
    <row r="116" spans="2:17" x14ac:dyDescent="0.15">
      <c r="B116" s="6" t="s">
        <v>74</v>
      </c>
      <c r="C116" s="12">
        <v>464.66</v>
      </c>
      <c r="D116" s="13">
        <f t="shared" ref="D116:Q116" si="122">C119</f>
        <v>464.66</v>
      </c>
      <c r="E116" s="13">
        <f t="shared" si="122"/>
        <v>464.66</v>
      </c>
      <c r="F116" s="13">
        <f t="shared" si="122"/>
        <v>464.66</v>
      </c>
      <c r="G116" s="13">
        <f t="shared" si="122"/>
        <v>464.66</v>
      </c>
      <c r="H116" s="39">
        <f t="shared" si="122"/>
        <v>464.66</v>
      </c>
      <c r="I116" s="39">
        <f t="shared" si="122"/>
        <v>464.66</v>
      </c>
      <c r="J116" s="39">
        <f t="shared" si="122"/>
        <v>464.66</v>
      </c>
      <c r="K116" s="39">
        <f t="shared" si="122"/>
        <v>464.66</v>
      </c>
      <c r="L116" s="39">
        <f t="shared" si="122"/>
        <v>464.66</v>
      </c>
      <c r="M116" s="39">
        <f t="shared" si="122"/>
        <v>464.66</v>
      </c>
      <c r="N116" s="39">
        <f t="shared" si="122"/>
        <v>464.66</v>
      </c>
      <c r="O116" s="39">
        <f t="shared" si="122"/>
        <v>464.66</v>
      </c>
      <c r="P116" s="39">
        <f t="shared" si="122"/>
        <v>464.66</v>
      </c>
      <c r="Q116" s="39">
        <f t="shared" si="122"/>
        <v>464.66</v>
      </c>
    </row>
    <row r="117" spans="2:17" x14ac:dyDescent="0.15">
      <c r="B117" s="6" t="s">
        <v>75</v>
      </c>
      <c r="C117" s="12">
        <v>0</v>
      </c>
      <c r="D117" s="12">
        <v>0</v>
      </c>
      <c r="E117" s="12">
        <v>0</v>
      </c>
      <c r="F117" s="12">
        <v>0</v>
      </c>
      <c r="G117" s="13">
        <f>F117*(1+Assumption_Sheet!$C$22)</f>
        <v>0</v>
      </c>
      <c r="H117" s="39">
        <f t="shared" ref="H117:Q117" si="123">G117</f>
        <v>0</v>
      </c>
      <c r="I117" s="39">
        <f t="shared" si="123"/>
        <v>0</v>
      </c>
      <c r="J117" s="39">
        <f>I117*(1+Assumption_Sheet!$C$22)</f>
        <v>0</v>
      </c>
      <c r="K117" s="39">
        <f t="shared" si="123"/>
        <v>0</v>
      </c>
      <c r="L117" s="39">
        <f t="shared" si="123"/>
        <v>0</v>
      </c>
      <c r="M117" s="39">
        <f>L117*(1+Assumption_Sheet!$C$22)</f>
        <v>0</v>
      </c>
      <c r="N117" s="39">
        <f t="shared" si="123"/>
        <v>0</v>
      </c>
      <c r="O117" s="39">
        <f t="shared" si="123"/>
        <v>0</v>
      </c>
      <c r="P117" s="39">
        <f>O117*(1+Assumption_Sheet!$C$22)</f>
        <v>0</v>
      </c>
      <c r="Q117" s="39">
        <f t="shared" si="123"/>
        <v>0</v>
      </c>
    </row>
    <row r="118" spans="2:17" x14ac:dyDescent="0.15">
      <c r="B118" s="6" t="s">
        <v>76</v>
      </c>
      <c r="C118" s="12">
        <v>0</v>
      </c>
      <c r="D118" s="12">
        <v>0</v>
      </c>
      <c r="E118" s="12">
        <v>0</v>
      </c>
      <c r="F118" s="12">
        <v>0</v>
      </c>
      <c r="H118" s="39"/>
      <c r="I118" s="39"/>
      <c r="J118" s="39"/>
      <c r="K118" s="39"/>
      <c r="L118" s="39"/>
      <c r="M118" s="39"/>
      <c r="N118" s="39"/>
      <c r="O118" s="39"/>
      <c r="P118" s="39"/>
      <c r="Q118" s="39"/>
    </row>
    <row r="119" spans="2:17" x14ac:dyDescent="0.15">
      <c r="B119" s="15" t="s">
        <v>77</v>
      </c>
      <c r="C119" s="30">
        <f t="shared" ref="C119:Q119" si="124">SUM(C116:C117)-C118</f>
        <v>464.66</v>
      </c>
      <c r="D119" s="30">
        <f t="shared" si="124"/>
        <v>464.66</v>
      </c>
      <c r="E119" s="30">
        <f t="shared" si="124"/>
        <v>464.66</v>
      </c>
      <c r="F119" s="30">
        <f t="shared" si="124"/>
        <v>464.66</v>
      </c>
      <c r="G119" s="30">
        <f t="shared" si="124"/>
        <v>464.66</v>
      </c>
      <c r="H119" s="75">
        <f t="shared" si="124"/>
        <v>464.66</v>
      </c>
      <c r="I119" s="75">
        <f t="shared" si="124"/>
        <v>464.66</v>
      </c>
      <c r="J119" s="75">
        <f t="shared" si="124"/>
        <v>464.66</v>
      </c>
      <c r="K119" s="75">
        <f t="shared" si="124"/>
        <v>464.66</v>
      </c>
      <c r="L119" s="75">
        <f t="shared" si="124"/>
        <v>464.66</v>
      </c>
      <c r="M119" s="75">
        <f t="shared" si="124"/>
        <v>464.66</v>
      </c>
      <c r="N119" s="75">
        <f t="shared" si="124"/>
        <v>464.66</v>
      </c>
      <c r="O119" s="75">
        <f t="shared" si="124"/>
        <v>464.66</v>
      </c>
      <c r="P119" s="75">
        <f t="shared" si="124"/>
        <v>464.66</v>
      </c>
      <c r="Q119" s="75">
        <f t="shared" si="124"/>
        <v>464.66</v>
      </c>
    </row>
    <row r="120" spans="2:17" x14ac:dyDescent="0.15">
      <c r="H120" s="39"/>
      <c r="I120" s="39"/>
      <c r="J120" s="39"/>
      <c r="K120" s="39"/>
      <c r="L120" s="39"/>
      <c r="M120" s="39"/>
      <c r="N120" s="39"/>
      <c r="O120" s="39"/>
      <c r="P120" s="39"/>
      <c r="Q120" s="39"/>
    </row>
    <row r="121" spans="2:17" x14ac:dyDescent="0.15">
      <c r="B121" s="6" t="s">
        <v>78</v>
      </c>
      <c r="C121" s="12">
        <v>0</v>
      </c>
      <c r="D121" s="13">
        <f>SUM(C121:C122)-C123</f>
        <v>0</v>
      </c>
      <c r="E121" s="13">
        <f>SUM(D121:D122)-D123</f>
        <v>0</v>
      </c>
      <c r="F121" s="13">
        <f t="shared" ref="F121:Q121" si="125">SUM(E121:E122)-E123</f>
        <v>0</v>
      </c>
      <c r="G121" s="13">
        <f t="shared" si="125"/>
        <v>0</v>
      </c>
      <c r="H121" s="39">
        <f t="shared" si="125"/>
        <v>0</v>
      </c>
      <c r="I121" s="39">
        <f t="shared" si="125"/>
        <v>0</v>
      </c>
      <c r="J121" s="39">
        <f t="shared" si="125"/>
        <v>0</v>
      </c>
      <c r="K121" s="39">
        <f t="shared" si="125"/>
        <v>0</v>
      </c>
      <c r="L121" s="39">
        <f t="shared" si="125"/>
        <v>0</v>
      </c>
      <c r="M121" s="39">
        <f t="shared" si="125"/>
        <v>0</v>
      </c>
      <c r="N121" s="39">
        <f t="shared" si="125"/>
        <v>0</v>
      </c>
      <c r="O121" s="39">
        <f t="shared" si="125"/>
        <v>0</v>
      </c>
      <c r="P121" s="39">
        <f t="shared" si="125"/>
        <v>0</v>
      </c>
      <c r="Q121" s="39">
        <f t="shared" si="125"/>
        <v>0</v>
      </c>
    </row>
    <row r="122" spans="2:17" x14ac:dyDescent="0.15">
      <c r="B122" s="6" t="s">
        <v>79</v>
      </c>
      <c r="C122" s="12">
        <v>0</v>
      </c>
      <c r="D122" s="12">
        <v>0</v>
      </c>
      <c r="E122" s="12">
        <v>0</v>
      </c>
      <c r="F122" s="12">
        <v>0</v>
      </c>
      <c r="G122" s="13">
        <f>F122*(1+Assumption_Sheet!$C$23)</f>
        <v>0</v>
      </c>
      <c r="H122" s="39">
        <f t="shared" ref="H122:Q122" si="126">G122</f>
        <v>0</v>
      </c>
      <c r="I122" s="39">
        <f t="shared" si="126"/>
        <v>0</v>
      </c>
      <c r="J122" s="39">
        <f>I122*(1+Assumption_Sheet!$C$23)</f>
        <v>0</v>
      </c>
      <c r="K122" s="39">
        <f t="shared" si="126"/>
        <v>0</v>
      </c>
      <c r="L122" s="39">
        <f t="shared" si="126"/>
        <v>0</v>
      </c>
      <c r="M122" s="39">
        <f>L122*(1+Assumption_Sheet!$C$23)</f>
        <v>0</v>
      </c>
      <c r="N122" s="39">
        <f t="shared" si="126"/>
        <v>0</v>
      </c>
      <c r="O122" s="39">
        <f t="shared" si="126"/>
        <v>0</v>
      </c>
      <c r="P122" s="39">
        <f>O122*(1+Assumption_Sheet!$C$23)</f>
        <v>0</v>
      </c>
      <c r="Q122" s="39">
        <f t="shared" si="126"/>
        <v>0</v>
      </c>
    </row>
    <row r="123" spans="2:17" x14ac:dyDescent="0.15">
      <c r="B123" s="6" t="s">
        <v>76</v>
      </c>
      <c r="C123" s="12">
        <v>0</v>
      </c>
      <c r="D123" s="12">
        <v>0</v>
      </c>
      <c r="E123" s="12">
        <v>0</v>
      </c>
      <c r="F123" s="12">
        <v>0</v>
      </c>
      <c r="H123" s="39"/>
      <c r="I123" s="39"/>
      <c r="J123" s="39"/>
      <c r="K123" s="39"/>
      <c r="L123" s="39"/>
      <c r="M123" s="39"/>
      <c r="N123" s="39"/>
      <c r="O123" s="39"/>
      <c r="P123" s="39"/>
      <c r="Q123" s="39"/>
    </row>
    <row r="124" spans="2:17" x14ac:dyDescent="0.15">
      <c r="B124" s="15" t="s">
        <v>80</v>
      </c>
      <c r="C124" s="17">
        <f>C119-SUM(C121:C122)+C123</f>
        <v>464.66</v>
      </c>
      <c r="D124" s="17">
        <f>D119-SUM(D121:D122)+D123</f>
        <v>464.66</v>
      </c>
      <c r="E124" s="17">
        <f t="shared" ref="E124" si="127">E119-SUM(E121:E122)+E123</f>
        <v>464.66</v>
      </c>
      <c r="F124" s="17">
        <f t="shared" ref="F124" si="128">F119-SUM(F121:F122)+F123</f>
        <v>464.66</v>
      </c>
      <c r="G124" s="17">
        <f t="shared" ref="G124" si="129">G119-SUM(G121:G122)+G123</f>
        <v>464.66</v>
      </c>
      <c r="H124" s="76">
        <f t="shared" ref="H124" si="130">H119-SUM(H121:H122)+H123</f>
        <v>464.66</v>
      </c>
      <c r="I124" s="76">
        <f t="shared" ref="I124" si="131">I119-SUM(I121:I122)+I123</f>
        <v>464.66</v>
      </c>
      <c r="J124" s="76">
        <f t="shared" ref="J124" si="132">J119-SUM(J121:J122)+J123</f>
        <v>464.66</v>
      </c>
      <c r="K124" s="76">
        <f t="shared" ref="K124" si="133">K119-SUM(K121:K122)+K123</f>
        <v>464.66</v>
      </c>
      <c r="L124" s="76">
        <f t="shared" ref="L124" si="134">L119-SUM(L121:L122)+L123</f>
        <v>464.66</v>
      </c>
      <c r="M124" s="76">
        <f t="shared" ref="M124" si="135">M119-SUM(M121:M122)+M123</f>
        <v>464.66</v>
      </c>
      <c r="N124" s="76">
        <f t="shared" ref="N124" si="136">N119-SUM(N121:N122)+N123</f>
        <v>464.66</v>
      </c>
      <c r="O124" s="76">
        <f t="shared" ref="O124" si="137">O119-SUM(O121:O122)+O123</f>
        <v>464.66</v>
      </c>
      <c r="P124" s="76">
        <f t="shared" ref="P124" si="138">P119-SUM(P121:P122)+P123</f>
        <v>464.66</v>
      </c>
      <c r="Q124" s="76">
        <f t="shared" ref="Q124" si="139">Q119-SUM(Q121:Q122)+Q123</f>
        <v>464.66</v>
      </c>
    </row>
    <row r="125" spans="2:17" x14ac:dyDescent="0.15">
      <c r="H125" s="39"/>
      <c r="I125" s="39"/>
      <c r="J125" s="39"/>
      <c r="K125" s="39"/>
      <c r="L125" s="39"/>
      <c r="M125" s="39"/>
      <c r="N125" s="39"/>
      <c r="O125" s="39"/>
      <c r="P125" s="39"/>
      <c r="Q125" s="39"/>
    </row>
    <row r="126" spans="2:17" x14ac:dyDescent="0.15">
      <c r="H126" s="39"/>
      <c r="I126" s="39"/>
      <c r="J126" s="39"/>
      <c r="K126" s="39"/>
      <c r="L126" s="39"/>
      <c r="M126" s="39"/>
      <c r="N126" s="39"/>
      <c r="O126" s="39"/>
      <c r="P126" s="39"/>
      <c r="Q126" s="39"/>
    </row>
    <row r="127" spans="2:17" x14ac:dyDescent="0.15">
      <c r="B127" s="15" t="s">
        <v>89</v>
      </c>
      <c r="H127" s="39"/>
      <c r="I127" s="39"/>
      <c r="J127" s="39"/>
      <c r="K127" s="39"/>
      <c r="L127" s="39"/>
      <c r="M127" s="39"/>
      <c r="N127" s="39"/>
      <c r="O127" s="39"/>
      <c r="P127" s="39"/>
      <c r="Q127" s="39"/>
    </row>
    <row r="128" spans="2:17" x14ac:dyDescent="0.15">
      <c r="B128" s="6" t="s">
        <v>74</v>
      </c>
      <c r="C128" s="12">
        <v>2326.0500000000002</v>
      </c>
      <c r="D128" s="13">
        <f t="shared" ref="D128:Q128" si="140">C131</f>
        <v>2336.3100000000004</v>
      </c>
      <c r="E128" s="13">
        <f t="shared" si="140"/>
        <v>2368.5200000000004</v>
      </c>
      <c r="F128" s="13">
        <f t="shared" si="140"/>
        <v>2368.5200000000004</v>
      </c>
      <c r="G128" s="13">
        <f t="shared" si="140"/>
        <v>2368.5200000000004</v>
      </c>
      <c r="H128" s="39">
        <f t="shared" si="140"/>
        <v>2368.5200000000004</v>
      </c>
      <c r="I128" s="39">
        <f t="shared" si="140"/>
        <v>2368.5200000000004</v>
      </c>
      <c r="J128" s="39">
        <f t="shared" si="140"/>
        <v>2368.5200000000004</v>
      </c>
      <c r="K128" s="39">
        <f t="shared" si="140"/>
        <v>2368.5200000000004</v>
      </c>
      <c r="L128" s="39">
        <f t="shared" si="140"/>
        <v>2368.5200000000004</v>
      </c>
      <c r="M128" s="39">
        <f t="shared" si="140"/>
        <v>2368.5200000000004</v>
      </c>
      <c r="N128" s="39">
        <f t="shared" si="140"/>
        <v>2368.5200000000004</v>
      </c>
      <c r="O128" s="39">
        <f t="shared" si="140"/>
        <v>2368.5200000000004</v>
      </c>
      <c r="P128" s="39">
        <f t="shared" si="140"/>
        <v>2368.5200000000004</v>
      </c>
      <c r="Q128" s="39">
        <f t="shared" si="140"/>
        <v>2368.5200000000004</v>
      </c>
    </row>
    <row r="129" spans="2:17" x14ac:dyDescent="0.15">
      <c r="B129" s="6" t="s">
        <v>75</v>
      </c>
      <c r="C129" s="12">
        <v>10.26</v>
      </c>
      <c r="D129" s="12">
        <v>32.21</v>
      </c>
      <c r="E129" s="12">
        <v>0</v>
      </c>
      <c r="F129" s="12">
        <v>0</v>
      </c>
      <c r="G129" s="13">
        <f>F129*(1+Assumption_Sheet!$C$22)</f>
        <v>0</v>
      </c>
      <c r="H129" s="39">
        <f t="shared" ref="H129:Q129" si="141">G129</f>
        <v>0</v>
      </c>
      <c r="I129" s="39">
        <f t="shared" si="141"/>
        <v>0</v>
      </c>
      <c r="J129" s="39">
        <f>I129*(1+Assumption_Sheet!$C$22)</f>
        <v>0</v>
      </c>
      <c r="K129" s="39">
        <f t="shared" si="141"/>
        <v>0</v>
      </c>
      <c r="L129" s="39">
        <f t="shared" si="141"/>
        <v>0</v>
      </c>
      <c r="M129" s="39">
        <f>L129*(1+Assumption_Sheet!$C$22)</f>
        <v>0</v>
      </c>
      <c r="N129" s="39">
        <f t="shared" si="141"/>
        <v>0</v>
      </c>
      <c r="O129" s="39">
        <f t="shared" si="141"/>
        <v>0</v>
      </c>
      <c r="P129" s="39">
        <f>O129*(1+Assumption_Sheet!$C$22)</f>
        <v>0</v>
      </c>
      <c r="Q129" s="39">
        <f t="shared" si="141"/>
        <v>0</v>
      </c>
    </row>
    <row r="130" spans="2:17" x14ac:dyDescent="0.15">
      <c r="B130" s="6" t="s">
        <v>76</v>
      </c>
      <c r="C130" s="12">
        <v>0</v>
      </c>
      <c r="D130" s="12">
        <v>0</v>
      </c>
      <c r="E130" s="12">
        <v>0</v>
      </c>
      <c r="F130" s="12">
        <v>0</v>
      </c>
      <c r="G130" s="13">
        <v>0</v>
      </c>
      <c r="H130" s="39">
        <f t="shared" ref="H130:I130" si="142">G130</f>
        <v>0</v>
      </c>
      <c r="I130" s="39">
        <f t="shared" si="142"/>
        <v>0</v>
      </c>
      <c r="J130" s="39">
        <f t="shared" ref="J130" si="143">I130*(1+4%)</f>
        <v>0</v>
      </c>
      <c r="K130" s="39">
        <f t="shared" ref="K130:L130" si="144">J130</f>
        <v>0</v>
      </c>
      <c r="L130" s="39">
        <f t="shared" si="144"/>
        <v>0</v>
      </c>
      <c r="M130" s="39">
        <f t="shared" ref="M130" si="145">L130*(1+4%)</f>
        <v>0</v>
      </c>
      <c r="N130" s="39">
        <f t="shared" ref="N130:O130" si="146">M130</f>
        <v>0</v>
      </c>
      <c r="O130" s="39">
        <f t="shared" si="146"/>
        <v>0</v>
      </c>
      <c r="P130" s="39">
        <f t="shared" ref="P130" si="147">O130*(1+4%)</f>
        <v>0</v>
      </c>
      <c r="Q130" s="39">
        <f t="shared" ref="Q130" si="148">P130</f>
        <v>0</v>
      </c>
    </row>
    <row r="131" spans="2:17" x14ac:dyDescent="0.15">
      <c r="B131" s="15" t="s">
        <v>77</v>
      </c>
      <c r="C131" s="30">
        <f t="shared" ref="C131:Q131" si="149">SUM(C128:C129)-C130</f>
        <v>2336.3100000000004</v>
      </c>
      <c r="D131" s="30">
        <f t="shared" si="149"/>
        <v>2368.5200000000004</v>
      </c>
      <c r="E131" s="30">
        <f t="shared" si="149"/>
        <v>2368.5200000000004</v>
      </c>
      <c r="F131" s="30">
        <f t="shared" si="149"/>
        <v>2368.5200000000004</v>
      </c>
      <c r="G131" s="30">
        <f t="shared" si="149"/>
        <v>2368.5200000000004</v>
      </c>
      <c r="H131" s="75">
        <f t="shared" si="149"/>
        <v>2368.5200000000004</v>
      </c>
      <c r="I131" s="75">
        <f t="shared" si="149"/>
        <v>2368.5200000000004</v>
      </c>
      <c r="J131" s="75">
        <f t="shared" si="149"/>
        <v>2368.5200000000004</v>
      </c>
      <c r="K131" s="75">
        <f t="shared" si="149"/>
        <v>2368.5200000000004</v>
      </c>
      <c r="L131" s="75">
        <f t="shared" si="149"/>
        <v>2368.5200000000004</v>
      </c>
      <c r="M131" s="75">
        <f t="shared" si="149"/>
        <v>2368.5200000000004</v>
      </c>
      <c r="N131" s="75">
        <f t="shared" si="149"/>
        <v>2368.5200000000004</v>
      </c>
      <c r="O131" s="75">
        <f t="shared" si="149"/>
        <v>2368.5200000000004</v>
      </c>
      <c r="P131" s="75">
        <f t="shared" si="149"/>
        <v>2368.5200000000004</v>
      </c>
      <c r="Q131" s="75">
        <f t="shared" si="149"/>
        <v>2368.5200000000004</v>
      </c>
    </row>
    <row r="132" spans="2:17" x14ac:dyDescent="0.15">
      <c r="H132" s="39"/>
      <c r="I132" s="39"/>
      <c r="J132" s="39"/>
      <c r="K132" s="39"/>
      <c r="L132" s="39"/>
      <c r="M132" s="39"/>
      <c r="N132" s="39"/>
      <c r="O132" s="39"/>
      <c r="P132" s="39"/>
      <c r="Q132" s="39"/>
    </row>
    <row r="133" spans="2:17" x14ac:dyDescent="0.15">
      <c r="B133" s="6" t="s">
        <v>78</v>
      </c>
      <c r="C133" s="12">
        <v>25.12</v>
      </c>
      <c r="D133" s="13">
        <f>SUM(C133:C134)-C135</f>
        <v>62.150000000000006</v>
      </c>
      <c r="E133" s="13">
        <f>SUM(D133:D134)-D135</f>
        <v>99.62</v>
      </c>
      <c r="F133" s="13">
        <f t="shared" ref="F133:Q133" si="150">SUM(E133:E134)-E135</f>
        <v>137.23000000000002</v>
      </c>
      <c r="G133" s="13">
        <f t="shared" si="150"/>
        <v>174.79000000000002</v>
      </c>
      <c r="H133" s="39">
        <f t="shared" si="150"/>
        <v>212.20750000000004</v>
      </c>
      <c r="I133" s="39">
        <f t="shared" si="150"/>
        <v>249.62500000000006</v>
      </c>
      <c r="J133" s="39">
        <f t="shared" si="150"/>
        <v>287.04250000000008</v>
      </c>
      <c r="K133" s="39">
        <f t="shared" si="150"/>
        <v>325.95670000000007</v>
      </c>
      <c r="L133" s="39">
        <f t="shared" si="150"/>
        <v>364.87090000000006</v>
      </c>
      <c r="M133" s="39">
        <f t="shared" si="150"/>
        <v>403.78510000000006</v>
      </c>
      <c r="N133" s="39">
        <f t="shared" si="150"/>
        <v>444.25586800000008</v>
      </c>
      <c r="O133" s="39">
        <f t="shared" si="150"/>
        <v>484.7266360000001</v>
      </c>
      <c r="P133" s="39">
        <f t="shared" si="150"/>
        <v>525.19740400000012</v>
      </c>
      <c r="Q133" s="39">
        <f t="shared" si="150"/>
        <v>567.28700272000015</v>
      </c>
    </row>
    <row r="134" spans="2:17" x14ac:dyDescent="0.15">
      <c r="B134" s="6" t="s">
        <v>79</v>
      </c>
      <c r="C134" s="12">
        <v>37.03</v>
      </c>
      <c r="D134" s="12">
        <v>37.47</v>
      </c>
      <c r="E134" s="12">
        <v>37.61</v>
      </c>
      <c r="F134" s="12">
        <v>37.56</v>
      </c>
      <c r="G134" s="71">
        <f>AVERAGE(C134:F134)</f>
        <v>37.417500000000004</v>
      </c>
      <c r="H134" s="39">
        <f t="shared" ref="H134:Q134" si="151">G134</f>
        <v>37.417500000000004</v>
      </c>
      <c r="I134" s="39">
        <f t="shared" si="151"/>
        <v>37.417500000000004</v>
      </c>
      <c r="J134" s="39">
        <f>I134*(1+Assumption_Sheet!$C$23)</f>
        <v>38.914200000000008</v>
      </c>
      <c r="K134" s="39">
        <f t="shared" si="151"/>
        <v>38.914200000000008</v>
      </c>
      <c r="L134" s="39">
        <f t="shared" si="151"/>
        <v>38.914200000000008</v>
      </c>
      <c r="M134" s="39">
        <f>L134*(1+Assumption_Sheet!$C$23)</f>
        <v>40.470768000000007</v>
      </c>
      <c r="N134" s="39">
        <f t="shared" si="151"/>
        <v>40.470768000000007</v>
      </c>
      <c r="O134" s="39">
        <f t="shared" si="151"/>
        <v>40.470768000000007</v>
      </c>
      <c r="P134" s="39">
        <f>O134*(1+Assumption_Sheet!$C$23)</f>
        <v>42.089598720000005</v>
      </c>
      <c r="Q134" s="39">
        <f t="shared" si="151"/>
        <v>42.089598720000005</v>
      </c>
    </row>
    <row r="135" spans="2:17" x14ac:dyDescent="0.15">
      <c r="B135" s="6" t="s">
        <v>76</v>
      </c>
      <c r="C135" s="12">
        <v>0</v>
      </c>
      <c r="D135" s="12">
        <v>0</v>
      </c>
      <c r="E135" s="12">
        <v>0</v>
      </c>
      <c r="F135" s="12">
        <v>0</v>
      </c>
      <c r="H135" s="39"/>
      <c r="I135" s="39"/>
      <c r="J135" s="39"/>
      <c r="K135" s="39"/>
      <c r="L135" s="39"/>
      <c r="M135" s="39"/>
      <c r="N135" s="39"/>
      <c r="O135" s="39"/>
      <c r="P135" s="39"/>
      <c r="Q135" s="39"/>
    </row>
    <row r="136" spans="2:17" x14ac:dyDescent="0.15">
      <c r="B136" s="15" t="s">
        <v>80</v>
      </c>
      <c r="C136" s="17">
        <f>C131-SUM(C133:C134)+C135</f>
        <v>2274.1600000000003</v>
      </c>
      <c r="D136" s="17">
        <f>D131-SUM(D133:D134)+D135</f>
        <v>2268.9000000000005</v>
      </c>
      <c r="E136" s="17">
        <f t="shared" ref="E136" si="152">E131-SUM(E133:E134)+E135</f>
        <v>2231.2900000000004</v>
      </c>
      <c r="F136" s="17">
        <f t="shared" ref="F136" si="153">F131-SUM(F133:F134)+F135</f>
        <v>2193.7300000000005</v>
      </c>
      <c r="G136" s="17">
        <f t="shared" ref="G136" si="154">G131-SUM(G133:G134)+G135</f>
        <v>2156.3125000000005</v>
      </c>
      <c r="H136" s="76">
        <f t="shared" ref="H136" si="155">H131-SUM(H133:H134)+H135</f>
        <v>2118.8950000000004</v>
      </c>
      <c r="I136" s="76">
        <f t="shared" ref="I136" si="156">I131-SUM(I133:I134)+I135</f>
        <v>2081.4775000000004</v>
      </c>
      <c r="J136" s="76">
        <f t="shared" ref="J136" si="157">J131-SUM(J133:J134)+J135</f>
        <v>2042.5633000000003</v>
      </c>
      <c r="K136" s="76">
        <f t="shared" ref="K136" si="158">K131-SUM(K133:K134)+K135</f>
        <v>2003.6491000000003</v>
      </c>
      <c r="L136" s="76">
        <f t="shared" ref="L136" si="159">L131-SUM(L133:L134)+L135</f>
        <v>1964.7349000000004</v>
      </c>
      <c r="M136" s="76">
        <f t="shared" ref="M136" si="160">M131-SUM(M133:M134)+M135</f>
        <v>1924.2641320000002</v>
      </c>
      <c r="N136" s="76">
        <f t="shared" ref="N136" si="161">N131-SUM(N133:N134)+N135</f>
        <v>1883.7933640000003</v>
      </c>
      <c r="O136" s="76">
        <f t="shared" ref="O136" si="162">O131-SUM(O133:O134)+O135</f>
        <v>1843.3225960000004</v>
      </c>
      <c r="P136" s="76">
        <f t="shared" ref="P136" si="163">P131-SUM(P133:P134)+P135</f>
        <v>1801.2329972800003</v>
      </c>
      <c r="Q136" s="76">
        <f t="shared" ref="Q136" si="164">Q131-SUM(Q133:Q134)+Q135</f>
        <v>1759.1433985600002</v>
      </c>
    </row>
    <row r="137" spans="2:17" x14ac:dyDescent="0.15">
      <c r="H137" s="39"/>
      <c r="I137" s="39"/>
      <c r="J137" s="39"/>
      <c r="K137" s="39"/>
      <c r="L137" s="39"/>
      <c r="M137" s="39"/>
      <c r="N137" s="39"/>
      <c r="O137" s="39"/>
      <c r="P137" s="39"/>
      <c r="Q137" s="39"/>
    </row>
    <row r="138" spans="2:17" ht="15" thickBot="1" x14ac:dyDescent="0.2">
      <c r="H138" s="39"/>
      <c r="I138" s="39"/>
      <c r="J138" s="39"/>
      <c r="K138" s="39"/>
      <c r="L138" s="39"/>
      <c r="M138" s="39"/>
      <c r="N138" s="39"/>
      <c r="O138" s="39"/>
      <c r="P138" s="39"/>
      <c r="Q138" s="39"/>
    </row>
    <row r="139" spans="2:17" ht="16" thickTop="1" thickBot="1" x14ac:dyDescent="0.2">
      <c r="B139" s="15" t="s">
        <v>100</v>
      </c>
      <c r="C139" s="31">
        <f t="shared" ref="C139:Q139" si="165">SUM(C136,C124)</f>
        <v>2738.82</v>
      </c>
      <c r="D139" s="31">
        <f t="shared" si="165"/>
        <v>2733.5600000000004</v>
      </c>
      <c r="E139" s="31">
        <f t="shared" si="165"/>
        <v>2695.9500000000003</v>
      </c>
      <c r="F139" s="31">
        <f t="shared" si="165"/>
        <v>2658.3900000000003</v>
      </c>
      <c r="G139" s="31">
        <f t="shared" si="165"/>
        <v>2620.9725000000003</v>
      </c>
      <c r="H139" s="74">
        <f t="shared" si="165"/>
        <v>2583.5550000000003</v>
      </c>
      <c r="I139" s="74">
        <f t="shared" si="165"/>
        <v>2546.1375000000003</v>
      </c>
      <c r="J139" s="74">
        <f t="shared" si="165"/>
        <v>2507.2233000000001</v>
      </c>
      <c r="K139" s="74">
        <f t="shared" si="165"/>
        <v>2468.3091000000004</v>
      </c>
      <c r="L139" s="74">
        <f t="shared" si="165"/>
        <v>2429.3949000000002</v>
      </c>
      <c r="M139" s="74">
        <f t="shared" si="165"/>
        <v>2388.9241320000001</v>
      </c>
      <c r="N139" s="74">
        <f t="shared" si="165"/>
        <v>2348.4533640000004</v>
      </c>
      <c r="O139" s="74">
        <f t="shared" si="165"/>
        <v>2307.9825960000003</v>
      </c>
      <c r="P139" s="74">
        <f t="shared" si="165"/>
        <v>2265.8929972800001</v>
      </c>
      <c r="Q139" s="74">
        <f t="shared" si="165"/>
        <v>2223.80339856</v>
      </c>
    </row>
    <row r="140" spans="2:17" ht="15" thickTop="1" x14ac:dyDescent="0.15">
      <c r="H140" s="39"/>
      <c r="I140" s="39"/>
      <c r="J140" s="39"/>
      <c r="K140" s="39"/>
      <c r="L140" s="39"/>
      <c r="M140" s="39"/>
      <c r="N140" s="39"/>
      <c r="O140" s="39"/>
      <c r="P140" s="39"/>
      <c r="Q140" s="39"/>
    </row>
    <row r="141" spans="2:17" x14ac:dyDescent="0.15">
      <c r="C141" s="13">
        <f>BS_Input!C18</f>
        <v>2738.82</v>
      </c>
      <c r="D141" s="13">
        <f>BS_Input!D18</f>
        <v>2733.56</v>
      </c>
      <c r="E141" s="13">
        <f>BS_Input!E18</f>
        <v>2695.95</v>
      </c>
      <c r="F141" s="13">
        <f>BS_Input!F18</f>
        <v>2658.39</v>
      </c>
      <c r="G141" s="13">
        <f>BS_Input!G18</f>
        <v>2620.73</v>
      </c>
      <c r="H141" s="39"/>
      <c r="I141" s="39"/>
      <c r="J141" s="39"/>
      <c r="K141" s="39"/>
      <c r="L141" s="39"/>
      <c r="M141" s="39"/>
      <c r="N141" s="39"/>
      <c r="O141" s="39"/>
      <c r="P141" s="39"/>
      <c r="Q141" s="39"/>
    </row>
    <row r="142" spans="2:17" x14ac:dyDescent="0.15">
      <c r="H142" s="39"/>
      <c r="I142" s="39"/>
      <c r="J142" s="39"/>
      <c r="K142" s="39"/>
      <c r="L142" s="39"/>
      <c r="M142" s="39"/>
      <c r="N142" s="39"/>
      <c r="O142" s="39"/>
      <c r="P142" s="39"/>
      <c r="Q142" s="39"/>
    </row>
    <row r="143" spans="2:17" ht="17" x14ac:dyDescent="0.2">
      <c r="B143" s="26" t="s">
        <v>30</v>
      </c>
      <c r="C143" s="26"/>
      <c r="D143" s="26"/>
      <c r="E143" s="26"/>
      <c r="F143" s="26"/>
      <c r="G143" s="26"/>
      <c r="H143" s="26"/>
      <c r="I143" s="26"/>
      <c r="J143" s="26"/>
      <c r="K143" s="26"/>
      <c r="L143" s="26"/>
      <c r="M143" s="26"/>
      <c r="N143" s="26"/>
      <c r="O143" s="26"/>
      <c r="P143" s="26"/>
      <c r="Q143" s="26"/>
    </row>
    <row r="144" spans="2:17" x14ac:dyDescent="0.15">
      <c r="H144" s="39"/>
      <c r="I144" s="39"/>
      <c r="J144" s="39"/>
      <c r="K144" s="39"/>
      <c r="L144" s="39"/>
      <c r="M144" s="39"/>
      <c r="N144" s="39"/>
      <c r="O144" s="39"/>
      <c r="P144" s="39"/>
      <c r="Q144" s="39"/>
    </row>
    <row r="145" spans="2:17" x14ac:dyDescent="0.15">
      <c r="H145" s="39"/>
      <c r="I145" s="39"/>
      <c r="J145" s="39"/>
      <c r="K145" s="39"/>
      <c r="L145" s="39"/>
      <c r="M145" s="39"/>
      <c r="N145" s="39"/>
      <c r="O145" s="39"/>
      <c r="P145" s="39"/>
      <c r="Q145" s="39"/>
    </row>
    <row r="146" spans="2:17" x14ac:dyDescent="0.15">
      <c r="B146" s="15" t="s">
        <v>90</v>
      </c>
      <c r="H146" s="39"/>
      <c r="I146" s="39"/>
      <c r="J146" s="39"/>
      <c r="K146" s="39"/>
      <c r="L146" s="39"/>
      <c r="M146" s="39"/>
      <c r="N146" s="39"/>
      <c r="O146" s="39"/>
      <c r="P146" s="39"/>
      <c r="Q146" s="39"/>
    </row>
    <row r="147" spans="2:17" x14ac:dyDescent="0.15">
      <c r="B147" s="6" t="s">
        <v>74</v>
      </c>
      <c r="C147" s="12">
        <v>3273.78</v>
      </c>
      <c r="D147" s="13">
        <f t="shared" ref="D147:Q147" si="166">C150</f>
        <v>3279.98</v>
      </c>
      <c r="E147" s="13">
        <f t="shared" si="166"/>
        <v>3803.88</v>
      </c>
      <c r="F147" s="13">
        <f t="shared" si="166"/>
        <v>1253.9000000000001</v>
      </c>
      <c r="G147" s="13">
        <f t="shared" si="166"/>
        <v>1261.3400000000001</v>
      </c>
      <c r="H147" s="39">
        <f t="shared" si="166"/>
        <v>1413.4952000000001</v>
      </c>
      <c r="I147" s="39">
        <f t="shared" si="166"/>
        <v>1565.6504</v>
      </c>
      <c r="J147" s="39">
        <f t="shared" si="166"/>
        <v>1717.8055999999999</v>
      </c>
      <c r="K147" s="39">
        <f t="shared" si="166"/>
        <v>1876.047008</v>
      </c>
      <c r="L147" s="39">
        <f t="shared" si="166"/>
        <v>2034.2884160000001</v>
      </c>
      <c r="M147" s="39">
        <f t="shared" si="166"/>
        <v>2192.5298240000002</v>
      </c>
      <c r="N147" s="39">
        <f t="shared" si="166"/>
        <v>2357.1008883200002</v>
      </c>
      <c r="O147" s="39">
        <f t="shared" si="166"/>
        <v>2521.6719526400002</v>
      </c>
      <c r="P147" s="39">
        <f t="shared" si="166"/>
        <v>2686.2430169600002</v>
      </c>
      <c r="Q147" s="39">
        <f t="shared" si="166"/>
        <v>2857.3969238528002</v>
      </c>
    </row>
    <row r="148" spans="2:17" x14ac:dyDescent="0.15">
      <c r="B148" s="6" t="s">
        <v>75</v>
      </c>
      <c r="C148" s="12">
        <v>6.2</v>
      </c>
      <c r="D148" s="12">
        <v>523.9</v>
      </c>
      <c r="E148" s="12">
        <v>38.880000000000003</v>
      </c>
      <c r="F148" s="12">
        <v>7.44</v>
      </c>
      <c r="G148" s="70">
        <f>E147*(Assumption_Sheet!$C$22)</f>
        <v>152.15520000000001</v>
      </c>
      <c r="H148" s="39">
        <f t="shared" ref="H148:Q148" si="167">G148</f>
        <v>152.15520000000001</v>
      </c>
      <c r="I148" s="39">
        <f t="shared" si="167"/>
        <v>152.15520000000001</v>
      </c>
      <c r="J148" s="39">
        <f>I148*(1+Assumption_Sheet!$C$22)</f>
        <v>158.24140800000001</v>
      </c>
      <c r="K148" s="39">
        <f t="shared" si="167"/>
        <v>158.24140800000001</v>
      </c>
      <c r="L148" s="39">
        <f t="shared" si="167"/>
        <v>158.24140800000001</v>
      </c>
      <c r="M148" s="39">
        <f>L148*(1+Assumption_Sheet!$C$22)</f>
        <v>164.57106432</v>
      </c>
      <c r="N148" s="39">
        <f t="shared" si="167"/>
        <v>164.57106432</v>
      </c>
      <c r="O148" s="39">
        <f t="shared" si="167"/>
        <v>164.57106432</v>
      </c>
      <c r="P148" s="39">
        <f>O148*(1+Assumption_Sheet!$C$22)</f>
        <v>171.15390689280002</v>
      </c>
      <c r="Q148" s="39">
        <f t="shared" si="167"/>
        <v>171.15390689280002</v>
      </c>
    </row>
    <row r="149" spans="2:17" x14ac:dyDescent="0.15">
      <c r="B149" s="6" t="s">
        <v>76</v>
      </c>
      <c r="C149" s="12">
        <v>0</v>
      </c>
      <c r="D149" s="12">
        <v>0</v>
      </c>
      <c r="E149" s="12">
        <v>2588.86</v>
      </c>
      <c r="F149" s="12">
        <v>0</v>
      </c>
      <c r="H149" s="39">
        <v>0</v>
      </c>
      <c r="I149" s="39">
        <v>0</v>
      </c>
      <c r="J149" s="39">
        <v>0</v>
      </c>
      <c r="K149" s="39">
        <v>0</v>
      </c>
      <c r="L149" s="39">
        <v>0</v>
      </c>
      <c r="M149" s="39">
        <v>0</v>
      </c>
      <c r="N149" s="39">
        <v>0</v>
      </c>
      <c r="O149" s="39">
        <v>0</v>
      </c>
      <c r="P149" s="39">
        <v>0</v>
      </c>
      <c r="Q149" s="39">
        <v>0</v>
      </c>
    </row>
    <row r="150" spans="2:17" x14ac:dyDescent="0.15">
      <c r="B150" s="15" t="s">
        <v>77</v>
      </c>
      <c r="C150" s="30">
        <f t="shared" ref="C150:Q150" si="168">SUM(C147:C148)-C149</f>
        <v>3279.98</v>
      </c>
      <c r="D150" s="30">
        <f t="shared" si="168"/>
        <v>3803.88</v>
      </c>
      <c r="E150" s="30">
        <f t="shared" si="168"/>
        <v>1253.9000000000001</v>
      </c>
      <c r="F150" s="30">
        <f t="shared" si="168"/>
        <v>1261.3400000000001</v>
      </c>
      <c r="G150" s="30">
        <f t="shared" si="168"/>
        <v>1413.4952000000001</v>
      </c>
      <c r="H150" s="75">
        <f t="shared" si="168"/>
        <v>1565.6504</v>
      </c>
      <c r="I150" s="75">
        <f t="shared" si="168"/>
        <v>1717.8055999999999</v>
      </c>
      <c r="J150" s="75">
        <f t="shared" si="168"/>
        <v>1876.047008</v>
      </c>
      <c r="K150" s="75">
        <f t="shared" si="168"/>
        <v>2034.2884160000001</v>
      </c>
      <c r="L150" s="75">
        <f t="shared" si="168"/>
        <v>2192.5298240000002</v>
      </c>
      <c r="M150" s="75">
        <f t="shared" si="168"/>
        <v>2357.1008883200002</v>
      </c>
      <c r="N150" s="75">
        <f t="shared" si="168"/>
        <v>2521.6719526400002</v>
      </c>
      <c r="O150" s="75">
        <f t="shared" si="168"/>
        <v>2686.2430169600002</v>
      </c>
      <c r="P150" s="75">
        <f t="shared" si="168"/>
        <v>2857.3969238528002</v>
      </c>
      <c r="Q150" s="75">
        <f t="shared" si="168"/>
        <v>3028.5508307456003</v>
      </c>
    </row>
    <row r="151" spans="2:17" x14ac:dyDescent="0.15">
      <c r="H151" s="39"/>
      <c r="I151" s="39"/>
      <c r="J151" s="39"/>
      <c r="K151" s="39"/>
      <c r="L151" s="39"/>
      <c r="M151" s="39"/>
      <c r="N151" s="39"/>
      <c r="O151" s="39"/>
      <c r="P151" s="39"/>
      <c r="Q151" s="39"/>
    </row>
    <row r="152" spans="2:17" x14ac:dyDescent="0.15">
      <c r="B152" s="6" t="s">
        <v>78</v>
      </c>
      <c r="C152" s="12">
        <v>2596.3200000000002</v>
      </c>
      <c r="D152" s="13">
        <f>SUM(C152:C153)-C154</f>
        <v>2895.19</v>
      </c>
      <c r="E152" s="13">
        <f>SUM(D152:D153)-D154</f>
        <v>3159.7400000000002</v>
      </c>
      <c r="F152" s="13">
        <f t="shared" ref="F152:Q152" si="169">SUM(E152:E153)-E154</f>
        <v>729.65000000000009</v>
      </c>
      <c r="G152" s="13">
        <f t="shared" si="169"/>
        <v>988.10000000000014</v>
      </c>
      <c r="H152" s="39">
        <f t="shared" si="169"/>
        <v>1136.8880000000001</v>
      </c>
      <c r="I152" s="39">
        <f t="shared" si="169"/>
        <v>1285.6760000000002</v>
      </c>
      <c r="J152" s="39">
        <f t="shared" si="169"/>
        <v>1434.4640000000002</v>
      </c>
      <c r="K152" s="39">
        <f t="shared" si="169"/>
        <v>1589.2035200000003</v>
      </c>
      <c r="L152" s="39">
        <f t="shared" si="169"/>
        <v>1743.9430400000003</v>
      </c>
      <c r="M152" s="39">
        <f t="shared" si="169"/>
        <v>1898.6825600000004</v>
      </c>
      <c r="N152" s="39">
        <f t="shared" si="169"/>
        <v>2059.6116608000007</v>
      </c>
      <c r="O152" s="39">
        <f t="shared" si="169"/>
        <v>2220.5407616000007</v>
      </c>
      <c r="P152" s="39">
        <f t="shared" si="169"/>
        <v>2381.4698624000007</v>
      </c>
      <c r="Q152" s="39">
        <f t="shared" si="169"/>
        <v>2548.8361272320008</v>
      </c>
    </row>
    <row r="153" spans="2:17" x14ac:dyDescent="0.15">
      <c r="B153" s="6" t="s">
        <v>79</v>
      </c>
      <c r="C153" s="12">
        <v>298.87</v>
      </c>
      <c r="D153" s="12">
        <v>264.55</v>
      </c>
      <c r="E153" s="12">
        <v>158.77000000000001</v>
      </c>
      <c r="F153" s="12">
        <v>258.45</v>
      </c>
      <c r="G153" s="12">
        <f>F153*(1+Assumption_Sheet!$C$23)</f>
        <v>268.78800000000001</v>
      </c>
      <c r="H153" s="39">
        <f t="shared" ref="H153:Q153" si="170">G153</f>
        <v>268.78800000000001</v>
      </c>
      <c r="I153" s="39">
        <f t="shared" si="170"/>
        <v>268.78800000000001</v>
      </c>
      <c r="J153" s="39">
        <f>I153*(1+Assumption_Sheet!$C$23)</f>
        <v>279.53952000000004</v>
      </c>
      <c r="K153" s="39">
        <f t="shared" si="170"/>
        <v>279.53952000000004</v>
      </c>
      <c r="L153" s="39">
        <f t="shared" si="170"/>
        <v>279.53952000000004</v>
      </c>
      <c r="M153" s="39">
        <f>L153*(1+Assumption_Sheet!$C$23)</f>
        <v>290.72110080000004</v>
      </c>
      <c r="N153" s="39">
        <f t="shared" si="170"/>
        <v>290.72110080000004</v>
      </c>
      <c r="O153" s="39">
        <f t="shared" si="170"/>
        <v>290.72110080000004</v>
      </c>
      <c r="P153" s="39">
        <f>O153*(1+Assumption_Sheet!$C$23)</f>
        <v>302.34994483200006</v>
      </c>
      <c r="Q153" s="39">
        <f t="shared" si="170"/>
        <v>302.34994483200006</v>
      </c>
    </row>
    <row r="154" spans="2:17" x14ac:dyDescent="0.15">
      <c r="B154" s="6" t="s">
        <v>76</v>
      </c>
      <c r="C154" s="12">
        <v>0</v>
      </c>
      <c r="D154" s="12">
        <v>0</v>
      </c>
      <c r="E154" s="12">
        <v>2588.86</v>
      </c>
      <c r="F154" s="12">
        <v>0</v>
      </c>
      <c r="G154" s="72">
        <v>120</v>
      </c>
      <c r="H154" s="39">
        <f t="shared" ref="H154:Q154" si="171">G154</f>
        <v>120</v>
      </c>
      <c r="I154" s="39">
        <f t="shared" si="171"/>
        <v>120</v>
      </c>
      <c r="J154" s="39">
        <f>I154*(1+4%)</f>
        <v>124.80000000000001</v>
      </c>
      <c r="K154" s="39">
        <f t="shared" si="171"/>
        <v>124.80000000000001</v>
      </c>
      <c r="L154" s="39">
        <f t="shared" si="171"/>
        <v>124.80000000000001</v>
      </c>
      <c r="M154" s="39">
        <f>L154*(1+4%)</f>
        <v>129.79200000000003</v>
      </c>
      <c r="N154" s="39">
        <f t="shared" si="171"/>
        <v>129.79200000000003</v>
      </c>
      <c r="O154" s="39">
        <f t="shared" si="171"/>
        <v>129.79200000000003</v>
      </c>
      <c r="P154" s="39">
        <f>O154*(1+4%)</f>
        <v>134.98368000000005</v>
      </c>
      <c r="Q154" s="39">
        <f t="shared" si="171"/>
        <v>134.98368000000005</v>
      </c>
    </row>
    <row r="155" spans="2:17" x14ac:dyDescent="0.15">
      <c r="B155" s="15" t="s">
        <v>80</v>
      </c>
      <c r="C155" s="17">
        <f>C150-SUM(C152:C153)+C154</f>
        <v>384.78999999999996</v>
      </c>
      <c r="D155" s="17">
        <f>D150-SUM(D152:D153)+D154</f>
        <v>644.13999999999987</v>
      </c>
      <c r="E155" s="17">
        <f t="shared" ref="E155" si="172">E150-SUM(E152:E153)+E154</f>
        <v>524.25</v>
      </c>
      <c r="F155" s="17">
        <f t="shared" ref="F155" si="173">F150-SUM(F152:F153)+F154</f>
        <v>273.24</v>
      </c>
      <c r="G155" s="17">
        <f t="shared" ref="G155" si="174">G150-SUM(G152:G153)+G154</f>
        <v>276.60719999999992</v>
      </c>
      <c r="H155" s="76">
        <f t="shared" ref="H155" si="175">H150-SUM(H152:H153)+H154</f>
        <v>279.97439999999983</v>
      </c>
      <c r="I155" s="76">
        <f t="shared" ref="I155" si="176">I150-SUM(I152:I153)+I154</f>
        <v>283.34159999999974</v>
      </c>
      <c r="J155" s="76">
        <f t="shared" ref="J155" si="177">J150-SUM(J152:J153)+J154</f>
        <v>286.84348799999981</v>
      </c>
      <c r="K155" s="76">
        <f t="shared" ref="K155" si="178">K150-SUM(K152:K153)+K154</f>
        <v>290.34537599999982</v>
      </c>
      <c r="L155" s="76">
        <f t="shared" ref="L155" si="179">L150-SUM(L152:L153)+L154</f>
        <v>293.84726399999983</v>
      </c>
      <c r="M155" s="76">
        <f t="shared" ref="M155" si="180">M150-SUM(M152:M153)+M154</f>
        <v>297.48922751999964</v>
      </c>
      <c r="N155" s="76">
        <f t="shared" ref="N155" si="181">N150-SUM(N152:N153)+N154</f>
        <v>301.13119103999963</v>
      </c>
      <c r="O155" s="76">
        <f t="shared" ref="O155" si="182">O150-SUM(O152:O153)+O154</f>
        <v>304.77315455999963</v>
      </c>
      <c r="P155" s="76">
        <f t="shared" ref="P155" si="183">P150-SUM(P152:P153)+P154</f>
        <v>308.56079662079969</v>
      </c>
      <c r="Q155" s="76">
        <f t="shared" ref="Q155" si="184">Q150-SUM(Q152:Q153)+Q154</f>
        <v>312.34843868159965</v>
      </c>
    </row>
    <row r="156" spans="2:17" x14ac:dyDescent="0.15">
      <c r="H156" s="39"/>
      <c r="I156" s="39"/>
      <c r="J156" s="39"/>
      <c r="K156" s="39"/>
      <c r="L156" s="39"/>
      <c r="M156" s="39"/>
      <c r="N156" s="39"/>
      <c r="O156" s="39"/>
      <c r="P156" s="39"/>
      <c r="Q156" s="39"/>
    </row>
    <row r="157" spans="2:17" x14ac:dyDescent="0.15">
      <c r="H157" s="39"/>
      <c r="I157" s="39"/>
      <c r="J157" s="39"/>
      <c r="K157" s="39"/>
      <c r="L157" s="39"/>
      <c r="M157" s="39"/>
      <c r="N157" s="39"/>
      <c r="O157" s="39"/>
      <c r="P157" s="39"/>
      <c r="Q157" s="39"/>
    </row>
    <row r="158" spans="2:17" x14ac:dyDescent="0.15">
      <c r="B158" s="15" t="s">
        <v>91</v>
      </c>
      <c r="H158" s="39"/>
      <c r="I158" s="39"/>
      <c r="J158" s="39"/>
      <c r="K158" s="39"/>
      <c r="L158" s="39"/>
      <c r="M158" s="39"/>
      <c r="N158" s="39"/>
      <c r="O158" s="39"/>
      <c r="P158" s="39"/>
      <c r="Q158" s="39"/>
    </row>
    <row r="159" spans="2:17" x14ac:dyDescent="0.15">
      <c r="B159" s="6" t="s">
        <v>74</v>
      </c>
      <c r="C159" s="12">
        <v>1445.07</v>
      </c>
      <c r="D159" s="13">
        <f t="shared" ref="D159:Q159" si="185">C162</f>
        <v>1445.07</v>
      </c>
      <c r="E159" s="13">
        <f t="shared" si="185"/>
        <v>1445.07</v>
      </c>
      <c r="F159" s="13">
        <f t="shared" si="185"/>
        <v>70.519999999999982</v>
      </c>
      <c r="G159" s="13">
        <f t="shared" si="185"/>
        <v>70.519999999999982</v>
      </c>
      <c r="H159" s="39">
        <f t="shared" si="185"/>
        <v>128.32279999999997</v>
      </c>
      <c r="I159" s="39">
        <f t="shared" si="185"/>
        <v>186.12559999999996</v>
      </c>
      <c r="J159" s="39">
        <f t="shared" si="185"/>
        <v>243.92839999999995</v>
      </c>
      <c r="K159" s="39">
        <f t="shared" si="185"/>
        <v>304.04331199999996</v>
      </c>
      <c r="L159" s="39">
        <f t="shared" si="185"/>
        <v>364.15822399999996</v>
      </c>
      <c r="M159" s="39">
        <f t="shared" si="185"/>
        <v>424.27313599999997</v>
      </c>
      <c r="N159" s="39">
        <f t="shared" si="185"/>
        <v>486.79264447999998</v>
      </c>
      <c r="O159" s="39">
        <f t="shared" si="185"/>
        <v>549.31215295999993</v>
      </c>
      <c r="P159" s="39">
        <f t="shared" si="185"/>
        <v>611.83166143999995</v>
      </c>
      <c r="Q159" s="39">
        <f t="shared" si="185"/>
        <v>676.85195025919995</v>
      </c>
    </row>
    <row r="160" spans="2:17" x14ac:dyDescent="0.15">
      <c r="B160" s="6" t="s">
        <v>75</v>
      </c>
      <c r="C160" s="12">
        <v>0</v>
      </c>
      <c r="D160" s="12">
        <v>0</v>
      </c>
      <c r="E160" s="12">
        <v>0</v>
      </c>
      <c r="F160" s="12">
        <v>0</v>
      </c>
      <c r="G160" s="70">
        <f>E159*(Assumption_Sheet!$C$22)</f>
        <v>57.802799999999998</v>
      </c>
      <c r="H160" s="39">
        <f t="shared" ref="H160:Q160" si="186">G160</f>
        <v>57.802799999999998</v>
      </c>
      <c r="I160" s="39">
        <f t="shared" si="186"/>
        <v>57.802799999999998</v>
      </c>
      <c r="J160" s="39">
        <f>I160*(1+Assumption_Sheet!$C$22)</f>
        <v>60.114911999999997</v>
      </c>
      <c r="K160" s="39">
        <f t="shared" si="186"/>
        <v>60.114911999999997</v>
      </c>
      <c r="L160" s="39">
        <f t="shared" si="186"/>
        <v>60.114911999999997</v>
      </c>
      <c r="M160" s="39">
        <f>L160*(1+Assumption_Sheet!$C$22)</f>
        <v>62.519508479999999</v>
      </c>
      <c r="N160" s="39">
        <f t="shared" si="186"/>
        <v>62.519508479999999</v>
      </c>
      <c r="O160" s="39">
        <f t="shared" si="186"/>
        <v>62.519508479999999</v>
      </c>
      <c r="P160" s="39">
        <f>O160*(1+Assumption_Sheet!$C$22)</f>
        <v>65.020288819200005</v>
      </c>
      <c r="Q160" s="39">
        <f t="shared" si="186"/>
        <v>65.020288819200005</v>
      </c>
    </row>
    <row r="161" spans="2:17" x14ac:dyDescent="0.15">
      <c r="B161" s="6" t="s">
        <v>76</v>
      </c>
      <c r="C161" s="12">
        <v>0</v>
      </c>
      <c r="D161" s="12">
        <v>0</v>
      </c>
      <c r="E161" s="12">
        <v>1374.55</v>
      </c>
      <c r="F161" s="12">
        <v>0</v>
      </c>
      <c r="G161" s="13">
        <v>0</v>
      </c>
      <c r="H161" s="39">
        <f t="shared" ref="H161:I161" si="187">G161</f>
        <v>0</v>
      </c>
      <c r="I161" s="39">
        <f t="shared" si="187"/>
        <v>0</v>
      </c>
      <c r="J161" s="39">
        <f t="shared" ref="J161" si="188">I161*(1+4%)</f>
        <v>0</v>
      </c>
      <c r="K161" s="39">
        <f t="shared" ref="K161:L161" si="189">J161</f>
        <v>0</v>
      </c>
      <c r="L161" s="39">
        <f t="shared" si="189"/>
        <v>0</v>
      </c>
      <c r="M161" s="39">
        <f t="shared" ref="M161" si="190">L161*(1+4%)</f>
        <v>0</v>
      </c>
      <c r="N161" s="39">
        <f t="shared" ref="N161:O161" si="191">M161</f>
        <v>0</v>
      </c>
      <c r="O161" s="39">
        <f t="shared" si="191"/>
        <v>0</v>
      </c>
      <c r="P161" s="39">
        <f t="shared" ref="P161" si="192">O161*(1+4%)</f>
        <v>0</v>
      </c>
      <c r="Q161" s="39">
        <f t="shared" ref="Q161" si="193">P161</f>
        <v>0</v>
      </c>
    </row>
    <row r="162" spans="2:17" x14ac:dyDescent="0.15">
      <c r="B162" s="15" t="s">
        <v>77</v>
      </c>
      <c r="C162" s="30">
        <f t="shared" ref="C162:Q162" si="194">SUM(C159:C160)-C161</f>
        <v>1445.07</v>
      </c>
      <c r="D162" s="30">
        <f t="shared" si="194"/>
        <v>1445.07</v>
      </c>
      <c r="E162" s="30">
        <f t="shared" si="194"/>
        <v>70.519999999999982</v>
      </c>
      <c r="F162" s="30">
        <f t="shared" si="194"/>
        <v>70.519999999999982</v>
      </c>
      <c r="G162" s="30">
        <f t="shared" si="194"/>
        <v>128.32279999999997</v>
      </c>
      <c r="H162" s="75">
        <f t="shared" si="194"/>
        <v>186.12559999999996</v>
      </c>
      <c r="I162" s="75">
        <f t="shared" si="194"/>
        <v>243.92839999999995</v>
      </c>
      <c r="J162" s="75">
        <f t="shared" si="194"/>
        <v>304.04331199999996</v>
      </c>
      <c r="K162" s="75">
        <f t="shared" si="194"/>
        <v>364.15822399999996</v>
      </c>
      <c r="L162" s="75">
        <f t="shared" si="194"/>
        <v>424.27313599999997</v>
      </c>
      <c r="M162" s="75">
        <f t="shared" si="194"/>
        <v>486.79264447999998</v>
      </c>
      <c r="N162" s="75">
        <f t="shared" si="194"/>
        <v>549.31215295999993</v>
      </c>
      <c r="O162" s="75">
        <f t="shared" si="194"/>
        <v>611.83166143999995</v>
      </c>
      <c r="P162" s="75">
        <f t="shared" si="194"/>
        <v>676.85195025919995</v>
      </c>
      <c r="Q162" s="75">
        <f t="shared" si="194"/>
        <v>741.87223907839996</v>
      </c>
    </row>
    <row r="163" spans="2:17" x14ac:dyDescent="0.15">
      <c r="H163" s="39"/>
      <c r="I163" s="39"/>
      <c r="J163" s="39"/>
      <c r="K163" s="39"/>
      <c r="L163" s="39"/>
      <c r="M163" s="39"/>
      <c r="N163" s="39"/>
      <c r="O163" s="39"/>
      <c r="P163" s="39"/>
      <c r="Q163" s="39"/>
    </row>
    <row r="164" spans="2:17" x14ac:dyDescent="0.15">
      <c r="B164" s="6" t="s">
        <v>78</v>
      </c>
      <c r="C164" s="12">
        <v>1367.72</v>
      </c>
      <c r="D164" s="13">
        <f>SUM(C164:C165)-C166</f>
        <v>1395.79</v>
      </c>
      <c r="E164" s="13">
        <f>SUM(D164:D165)-D166</f>
        <v>1419.96</v>
      </c>
      <c r="F164" s="13">
        <f t="shared" ref="F164:Q164" si="195">SUM(E164:E165)-E166</f>
        <v>58.310000000000173</v>
      </c>
      <c r="G164" s="13">
        <f t="shared" si="195"/>
        <v>70.510000000000176</v>
      </c>
      <c r="H164" s="39">
        <f t="shared" si="195"/>
        <v>83.198000000000178</v>
      </c>
      <c r="I164" s="39">
        <f t="shared" si="195"/>
        <v>95.88600000000018</v>
      </c>
      <c r="J164" s="39">
        <f t="shared" si="195"/>
        <v>108.57400000000018</v>
      </c>
      <c r="K164" s="39">
        <f t="shared" si="195"/>
        <v>121.76952000000018</v>
      </c>
      <c r="L164" s="39">
        <f t="shared" si="195"/>
        <v>134.96504000000019</v>
      </c>
      <c r="M164" s="39">
        <f t="shared" si="195"/>
        <v>148.16056000000017</v>
      </c>
      <c r="N164" s="39">
        <f t="shared" si="195"/>
        <v>161.88390080000016</v>
      </c>
      <c r="O164" s="39">
        <f t="shared" si="195"/>
        <v>175.60724160000015</v>
      </c>
      <c r="P164" s="39">
        <f t="shared" si="195"/>
        <v>189.33058240000014</v>
      </c>
      <c r="Q164" s="39">
        <f t="shared" si="195"/>
        <v>203.60285683200013</v>
      </c>
    </row>
    <row r="165" spans="2:17" x14ac:dyDescent="0.15">
      <c r="B165" s="6" t="s">
        <v>79</v>
      </c>
      <c r="C165" s="12">
        <v>28.07</v>
      </c>
      <c r="D165" s="12">
        <v>24.17</v>
      </c>
      <c r="E165" s="12">
        <v>12.9</v>
      </c>
      <c r="F165" s="12">
        <v>12.2</v>
      </c>
      <c r="G165" s="13">
        <f>F165*(1+Assumption_Sheet!$C$23)</f>
        <v>12.687999999999999</v>
      </c>
      <c r="H165" s="39">
        <f t="shared" ref="H165:Q165" si="196">G165</f>
        <v>12.687999999999999</v>
      </c>
      <c r="I165" s="39">
        <f t="shared" si="196"/>
        <v>12.687999999999999</v>
      </c>
      <c r="J165" s="39">
        <f>I165*(1+Assumption_Sheet!$C$23)</f>
        <v>13.195519999999998</v>
      </c>
      <c r="K165" s="39">
        <f t="shared" si="196"/>
        <v>13.195519999999998</v>
      </c>
      <c r="L165" s="39">
        <f t="shared" si="196"/>
        <v>13.195519999999998</v>
      </c>
      <c r="M165" s="39">
        <f>L165*(1+Assumption_Sheet!$C$23)</f>
        <v>13.723340799999999</v>
      </c>
      <c r="N165" s="39">
        <f t="shared" si="196"/>
        <v>13.723340799999999</v>
      </c>
      <c r="O165" s="39">
        <f t="shared" si="196"/>
        <v>13.723340799999999</v>
      </c>
      <c r="P165" s="39">
        <f>O165*(1+Assumption_Sheet!$C$23)</f>
        <v>14.272274432</v>
      </c>
      <c r="Q165" s="39">
        <f t="shared" si="196"/>
        <v>14.272274432</v>
      </c>
    </row>
    <row r="166" spans="2:17" x14ac:dyDescent="0.15">
      <c r="B166" s="6" t="s">
        <v>76</v>
      </c>
      <c r="C166" s="12">
        <v>0</v>
      </c>
      <c r="D166" s="12">
        <v>0</v>
      </c>
      <c r="E166" s="12">
        <v>1374.55</v>
      </c>
      <c r="F166" s="12">
        <v>0</v>
      </c>
      <c r="H166" s="39"/>
      <c r="I166" s="39"/>
      <c r="J166" s="39"/>
      <c r="K166" s="39"/>
      <c r="L166" s="39"/>
      <c r="M166" s="39"/>
      <c r="N166" s="39"/>
      <c r="O166" s="39"/>
      <c r="P166" s="39"/>
      <c r="Q166" s="39"/>
    </row>
    <row r="167" spans="2:17" x14ac:dyDescent="0.15">
      <c r="B167" s="15" t="s">
        <v>80</v>
      </c>
      <c r="C167" s="17">
        <f>C162-SUM(C164:C165)+C166</f>
        <v>49.279999999999973</v>
      </c>
      <c r="D167" s="17">
        <f>D162-SUM(D164:D165)+D166</f>
        <v>25.1099999999999</v>
      </c>
      <c r="E167" s="17">
        <f t="shared" ref="E167" si="197">E162-SUM(E164:E165)+E166</f>
        <v>12.209999999999809</v>
      </c>
      <c r="F167" s="17">
        <f t="shared" ref="F167" si="198">F162-SUM(F164:F165)+F166</f>
        <v>9.9999999998061639E-3</v>
      </c>
      <c r="G167" s="17">
        <f t="shared" ref="G167" si="199">G162-SUM(G164:G165)+G166</f>
        <v>45.124799999999794</v>
      </c>
      <c r="H167" s="76">
        <f t="shared" ref="H167" si="200">H162-SUM(H164:H165)+H166</f>
        <v>90.239599999999783</v>
      </c>
      <c r="I167" s="76">
        <f t="shared" ref="I167" si="201">I162-SUM(I164:I165)+I166</f>
        <v>135.35439999999977</v>
      </c>
      <c r="J167" s="76">
        <f t="shared" ref="J167" si="202">J162-SUM(J164:J165)+J166</f>
        <v>182.27379199999979</v>
      </c>
      <c r="K167" s="76">
        <f t="shared" ref="K167" si="203">K162-SUM(K164:K165)+K166</f>
        <v>229.19318399999977</v>
      </c>
      <c r="L167" s="76">
        <f t="shared" ref="L167" si="204">L162-SUM(L164:L165)+L166</f>
        <v>276.11257599999976</v>
      </c>
      <c r="M167" s="76">
        <f t="shared" ref="M167" si="205">M162-SUM(M164:M165)+M166</f>
        <v>324.90874367999982</v>
      </c>
      <c r="N167" s="76">
        <f t="shared" ref="N167" si="206">N162-SUM(N164:N165)+N166</f>
        <v>373.70491135999976</v>
      </c>
      <c r="O167" s="76">
        <f t="shared" ref="O167" si="207">O162-SUM(O164:O165)+O166</f>
        <v>422.50107903999981</v>
      </c>
      <c r="P167" s="76">
        <f t="shared" ref="P167" si="208">P162-SUM(P164:P165)+P166</f>
        <v>473.2490934271998</v>
      </c>
      <c r="Q167" s="76">
        <f t="shared" ref="Q167" si="209">Q162-SUM(Q164:Q165)+Q166</f>
        <v>523.9971078143999</v>
      </c>
    </row>
    <row r="168" spans="2:17" x14ac:dyDescent="0.15">
      <c r="H168" s="39"/>
      <c r="I168" s="39"/>
      <c r="J168" s="39"/>
      <c r="K168" s="39"/>
      <c r="L168" s="39"/>
      <c r="M168" s="39"/>
      <c r="N168" s="39"/>
      <c r="O168" s="39"/>
      <c r="P168" s="39"/>
      <c r="Q168" s="39"/>
    </row>
    <row r="169" spans="2:17" ht="15" thickBot="1" x14ac:dyDescent="0.2">
      <c r="H169" s="39"/>
      <c r="I169" s="39"/>
      <c r="J169" s="39"/>
      <c r="K169" s="39"/>
      <c r="L169" s="39"/>
      <c r="M169" s="39"/>
      <c r="N169" s="39"/>
      <c r="O169" s="39"/>
      <c r="P169" s="39"/>
      <c r="Q169" s="39"/>
    </row>
    <row r="170" spans="2:17" ht="16" thickTop="1" thickBot="1" x14ac:dyDescent="0.2">
      <c r="B170" s="15" t="s">
        <v>99</v>
      </c>
      <c r="C170" s="31">
        <f t="shared" ref="C170:Q170" si="210">SUM(C167,C155)</f>
        <v>434.06999999999994</v>
      </c>
      <c r="D170" s="31">
        <f t="shared" si="210"/>
        <v>669.24999999999977</v>
      </c>
      <c r="E170" s="31">
        <f t="shared" si="210"/>
        <v>536.45999999999981</v>
      </c>
      <c r="F170" s="31">
        <f t="shared" si="210"/>
        <v>273.24999999999983</v>
      </c>
      <c r="G170" s="31">
        <f t="shared" si="210"/>
        <v>321.73199999999974</v>
      </c>
      <c r="H170" s="74">
        <f t="shared" si="210"/>
        <v>370.2139999999996</v>
      </c>
      <c r="I170" s="74">
        <f t="shared" si="210"/>
        <v>418.69599999999951</v>
      </c>
      <c r="J170" s="74">
        <f t="shared" si="210"/>
        <v>469.1172799999996</v>
      </c>
      <c r="K170" s="74">
        <f t="shared" si="210"/>
        <v>519.53855999999962</v>
      </c>
      <c r="L170" s="74">
        <f t="shared" si="210"/>
        <v>569.95983999999953</v>
      </c>
      <c r="M170" s="74">
        <f t="shared" si="210"/>
        <v>622.39797119999946</v>
      </c>
      <c r="N170" s="74">
        <f t="shared" si="210"/>
        <v>674.83610239999939</v>
      </c>
      <c r="O170" s="74">
        <f t="shared" si="210"/>
        <v>727.27423359999943</v>
      </c>
      <c r="P170" s="74">
        <f t="shared" si="210"/>
        <v>781.80989004799949</v>
      </c>
      <c r="Q170" s="74">
        <f t="shared" si="210"/>
        <v>836.34554649599954</v>
      </c>
    </row>
    <row r="171" spans="2:17" ht="15" thickTop="1" x14ac:dyDescent="0.15">
      <c r="H171" s="39"/>
      <c r="I171" s="39"/>
      <c r="J171" s="39"/>
      <c r="K171" s="39"/>
      <c r="L171" s="39"/>
      <c r="M171" s="39"/>
      <c r="N171" s="39"/>
      <c r="O171" s="39"/>
      <c r="P171" s="39"/>
      <c r="Q171" s="39"/>
    </row>
    <row r="172" spans="2:17" x14ac:dyDescent="0.15">
      <c r="C172" s="13">
        <f>BS_Input!C19</f>
        <v>434.07</v>
      </c>
      <c r="D172" s="13">
        <f>BS_Input!D19</f>
        <v>669.25</v>
      </c>
      <c r="E172" s="13">
        <f>BS_Input!E19</f>
        <v>536.46</v>
      </c>
      <c r="F172" s="13">
        <f>BS_Input!F19</f>
        <v>273.25</v>
      </c>
      <c r="G172" s="13">
        <f>BS_Input!G19</f>
        <v>321.73</v>
      </c>
      <c r="H172" s="39"/>
      <c r="I172" s="39"/>
      <c r="J172" s="39"/>
      <c r="K172" s="39"/>
      <c r="L172" s="39"/>
      <c r="M172" s="39"/>
      <c r="N172" s="39"/>
      <c r="O172" s="39"/>
      <c r="P172" s="39"/>
      <c r="Q172" s="39"/>
    </row>
    <row r="173" spans="2:17" x14ac:dyDescent="0.15">
      <c r="H173" s="39"/>
      <c r="I173" s="39"/>
      <c r="J173" s="39"/>
      <c r="K173" s="39"/>
      <c r="L173" s="39"/>
      <c r="M173" s="39"/>
      <c r="N173" s="39"/>
      <c r="O173" s="39"/>
      <c r="P173" s="39"/>
      <c r="Q173" s="39"/>
    </row>
    <row r="174" spans="2:17" ht="17" x14ac:dyDescent="0.2">
      <c r="B174" s="26" t="s">
        <v>92</v>
      </c>
      <c r="C174" s="26"/>
      <c r="D174" s="26"/>
      <c r="E174" s="26"/>
      <c r="F174" s="26"/>
      <c r="G174" s="26"/>
      <c r="H174" s="26"/>
      <c r="I174" s="26"/>
      <c r="J174" s="26"/>
      <c r="K174" s="26"/>
      <c r="L174" s="26"/>
      <c r="M174" s="26"/>
      <c r="N174" s="26"/>
      <c r="O174" s="26"/>
      <c r="P174" s="26"/>
      <c r="Q174" s="26"/>
    </row>
    <row r="175" spans="2:17" x14ac:dyDescent="0.15">
      <c r="H175" s="39"/>
      <c r="I175" s="39"/>
      <c r="J175" s="39"/>
      <c r="K175" s="39"/>
      <c r="L175" s="39"/>
      <c r="M175" s="39"/>
      <c r="N175" s="39"/>
      <c r="O175" s="39"/>
      <c r="P175" s="39"/>
      <c r="Q175" s="39"/>
    </row>
    <row r="176" spans="2:17" x14ac:dyDescent="0.15">
      <c r="H176" s="39"/>
      <c r="I176" s="39"/>
      <c r="J176" s="39"/>
      <c r="K176" s="39"/>
      <c r="L176" s="39"/>
      <c r="M176" s="39"/>
      <c r="N176" s="39"/>
      <c r="O176" s="39"/>
      <c r="P176" s="39"/>
      <c r="Q176" s="39"/>
    </row>
    <row r="177" spans="2:18" x14ac:dyDescent="0.15">
      <c r="B177" s="15" t="s">
        <v>93</v>
      </c>
      <c r="H177" s="39"/>
      <c r="I177" s="39"/>
      <c r="J177" s="39"/>
      <c r="K177" s="39"/>
      <c r="L177" s="39"/>
      <c r="M177" s="39"/>
      <c r="N177" s="39"/>
      <c r="O177" s="39"/>
      <c r="P177" s="39"/>
      <c r="Q177" s="39"/>
    </row>
    <row r="178" spans="2:18" x14ac:dyDescent="0.15">
      <c r="B178" s="6" t="s">
        <v>74</v>
      </c>
      <c r="D178" s="12">
        <v>3896.15</v>
      </c>
      <c r="E178" s="13">
        <f t="shared" ref="E178:Q178" si="211">D181</f>
        <v>4140.46</v>
      </c>
      <c r="F178" s="13">
        <f t="shared" si="211"/>
        <v>3967.9800000000005</v>
      </c>
      <c r="G178" s="13">
        <f t="shared" si="211"/>
        <v>3423.8700000000008</v>
      </c>
      <c r="H178" s="39">
        <f t="shared" si="211"/>
        <v>3465.8028000000008</v>
      </c>
      <c r="I178" s="39">
        <f t="shared" si="211"/>
        <v>3507.7356000000009</v>
      </c>
      <c r="J178" s="39">
        <f t="shared" si="211"/>
        <v>3549.6684000000009</v>
      </c>
      <c r="K178" s="39">
        <f t="shared" si="211"/>
        <v>3593.2785120000008</v>
      </c>
      <c r="L178" s="39">
        <f t="shared" si="211"/>
        <v>3636.8886240000006</v>
      </c>
      <c r="M178" s="39">
        <f t="shared" si="211"/>
        <v>3680.4987360000005</v>
      </c>
      <c r="N178" s="39">
        <f t="shared" si="211"/>
        <v>3725.8532524800003</v>
      </c>
      <c r="O178" s="39">
        <f t="shared" si="211"/>
        <v>3771.2077689600001</v>
      </c>
      <c r="P178" s="39">
        <f t="shared" si="211"/>
        <v>3816.5622854399999</v>
      </c>
      <c r="Q178" s="39">
        <f t="shared" si="211"/>
        <v>3863.7309825791999</v>
      </c>
    </row>
    <row r="179" spans="2:18" x14ac:dyDescent="0.15">
      <c r="B179" s="6" t="s">
        <v>75</v>
      </c>
      <c r="D179" s="12">
        <v>247.89</v>
      </c>
      <c r="E179" s="12">
        <v>174.93</v>
      </c>
      <c r="F179" s="12">
        <v>40.32</v>
      </c>
      <c r="G179" s="13">
        <f>F179*(1+Assumption_Sheet!$C$22)</f>
        <v>41.9328</v>
      </c>
      <c r="H179" s="39">
        <f t="shared" ref="H179:Q179" si="212">G179</f>
        <v>41.9328</v>
      </c>
      <c r="I179" s="39">
        <f t="shared" si="212"/>
        <v>41.9328</v>
      </c>
      <c r="J179" s="39">
        <f>I179*(1+Assumption_Sheet!$C$22)</f>
        <v>43.610112000000001</v>
      </c>
      <c r="K179" s="39">
        <f t="shared" si="212"/>
        <v>43.610112000000001</v>
      </c>
      <c r="L179" s="39">
        <f t="shared" si="212"/>
        <v>43.610112000000001</v>
      </c>
      <c r="M179" s="39">
        <f>L179*(1+Assumption_Sheet!$C$22)</f>
        <v>45.354516480000001</v>
      </c>
      <c r="N179" s="39">
        <f t="shared" si="212"/>
        <v>45.354516480000001</v>
      </c>
      <c r="O179" s="39">
        <f t="shared" si="212"/>
        <v>45.354516480000001</v>
      </c>
      <c r="P179" s="39">
        <f>O179*(1+Assumption_Sheet!$C$22)</f>
        <v>47.168697139200006</v>
      </c>
      <c r="Q179" s="39">
        <f t="shared" si="212"/>
        <v>47.168697139200006</v>
      </c>
    </row>
    <row r="180" spans="2:18" x14ac:dyDescent="0.15">
      <c r="B180" s="6" t="s">
        <v>76</v>
      </c>
      <c r="D180" s="12">
        <v>3.58</v>
      </c>
      <c r="E180" s="12">
        <v>347.41</v>
      </c>
      <c r="F180" s="12">
        <v>584.42999999999995</v>
      </c>
      <c r="H180" s="39">
        <f t="shared" ref="H180:Q180" si="213">G180</f>
        <v>0</v>
      </c>
      <c r="I180" s="39">
        <f t="shared" si="213"/>
        <v>0</v>
      </c>
      <c r="J180" s="39">
        <f>I180*(1+4%)</f>
        <v>0</v>
      </c>
      <c r="K180" s="39">
        <f t="shared" si="213"/>
        <v>0</v>
      </c>
      <c r="L180" s="39">
        <f t="shared" si="213"/>
        <v>0</v>
      </c>
      <c r="M180" s="39">
        <f>L180*(1+4%)</f>
        <v>0</v>
      </c>
      <c r="N180" s="39">
        <f t="shared" si="213"/>
        <v>0</v>
      </c>
      <c r="O180" s="39">
        <f t="shared" si="213"/>
        <v>0</v>
      </c>
      <c r="P180" s="39">
        <f>O180*(1+4%)</f>
        <v>0</v>
      </c>
      <c r="Q180" s="39">
        <f t="shared" si="213"/>
        <v>0</v>
      </c>
    </row>
    <row r="181" spans="2:18" x14ac:dyDescent="0.15">
      <c r="B181" s="15" t="s">
        <v>77</v>
      </c>
      <c r="C181" s="30"/>
      <c r="D181" s="30">
        <f t="shared" ref="D181:Q181" si="214">SUM(D178:D179)-D180</f>
        <v>4140.46</v>
      </c>
      <c r="E181" s="30">
        <f t="shared" si="214"/>
        <v>3967.9800000000005</v>
      </c>
      <c r="F181" s="30">
        <f t="shared" si="214"/>
        <v>3423.8700000000008</v>
      </c>
      <c r="G181" s="30">
        <f t="shared" si="214"/>
        <v>3465.8028000000008</v>
      </c>
      <c r="H181" s="75">
        <f t="shared" si="214"/>
        <v>3507.7356000000009</v>
      </c>
      <c r="I181" s="75">
        <f t="shared" si="214"/>
        <v>3549.6684000000009</v>
      </c>
      <c r="J181" s="75">
        <f t="shared" si="214"/>
        <v>3593.2785120000008</v>
      </c>
      <c r="K181" s="75">
        <f t="shared" si="214"/>
        <v>3636.8886240000006</v>
      </c>
      <c r="L181" s="75">
        <f t="shared" si="214"/>
        <v>3680.4987360000005</v>
      </c>
      <c r="M181" s="75">
        <f t="shared" si="214"/>
        <v>3725.8532524800003</v>
      </c>
      <c r="N181" s="75">
        <f t="shared" si="214"/>
        <v>3771.2077689600001</v>
      </c>
      <c r="O181" s="75">
        <f t="shared" si="214"/>
        <v>3816.5622854399999</v>
      </c>
      <c r="P181" s="75">
        <f t="shared" si="214"/>
        <v>3863.7309825791999</v>
      </c>
      <c r="Q181" s="75">
        <f t="shared" si="214"/>
        <v>3910.8996797184</v>
      </c>
    </row>
    <row r="182" spans="2:18" x14ac:dyDescent="0.15">
      <c r="H182" s="39"/>
      <c r="I182" s="39"/>
      <c r="J182" s="39"/>
      <c r="K182" s="39"/>
      <c r="L182" s="39"/>
      <c r="M182" s="39"/>
      <c r="N182" s="39"/>
      <c r="O182" s="39"/>
      <c r="P182" s="39"/>
      <c r="Q182" s="39"/>
    </row>
    <row r="183" spans="2:18" x14ac:dyDescent="0.15">
      <c r="B183" s="6" t="s">
        <v>78</v>
      </c>
      <c r="D183" s="12">
        <v>198.84</v>
      </c>
      <c r="E183" s="13">
        <f>SUM(D183:D184)-D185</f>
        <v>387.67</v>
      </c>
      <c r="F183" s="13">
        <f t="shared" ref="F183:Q183" si="215">SUM(E183:E184)-E185</f>
        <v>578.96</v>
      </c>
      <c r="G183" s="13">
        <f t="shared" si="215"/>
        <v>715.73</v>
      </c>
      <c r="H183" s="39">
        <f t="shared" si="215"/>
        <v>857.97080000000005</v>
      </c>
      <c r="I183" s="39">
        <f t="shared" si="215"/>
        <v>1000.2116000000001</v>
      </c>
      <c r="J183" s="39">
        <f t="shared" si="215"/>
        <v>1142.4524000000001</v>
      </c>
      <c r="K183" s="39">
        <f t="shared" si="215"/>
        <v>1290.3828320000002</v>
      </c>
      <c r="L183" s="39">
        <f t="shared" si="215"/>
        <v>1438.3132640000003</v>
      </c>
      <c r="M183" s="39">
        <f t="shared" si="215"/>
        <v>1586.2436960000005</v>
      </c>
      <c r="N183" s="39">
        <f t="shared" si="215"/>
        <v>1740.0913452800005</v>
      </c>
      <c r="O183" s="39">
        <f t="shared" si="215"/>
        <v>1893.9389945600005</v>
      </c>
      <c r="P183" s="39">
        <f t="shared" si="215"/>
        <v>2047.7866438400006</v>
      </c>
      <c r="Q183" s="39">
        <f t="shared" si="215"/>
        <v>2207.7881990912006</v>
      </c>
    </row>
    <row r="184" spans="2:18" x14ac:dyDescent="0.15">
      <c r="B184" s="6" t="s">
        <v>79</v>
      </c>
      <c r="D184" s="12">
        <v>188.83</v>
      </c>
      <c r="E184" s="12">
        <v>191.29</v>
      </c>
      <c r="F184" s="12">
        <v>136.77000000000001</v>
      </c>
      <c r="G184" s="13">
        <f>F184*(1+Assumption_Sheet!$C$23)</f>
        <v>142.24080000000001</v>
      </c>
      <c r="H184" s="39">
        <f t="shared" ref="H184:N184" si="216">G184</f>
        <v>142.24080000000001</v>
      </c>
      <c r="I184" s="39">
        <f t="shared" si="216"/>
        <v>142.24080000000001</v>
      </c>
      <c r="J184" s="39">
        <f>I184*(1+Assumption_Sheet!$C$23)</f>
        <v>147.93043200000002</v>
      </c>
      <c r="K184" s="39">
        <f t="shared" si="216"/>
        <v>147.93043200000002</v>
      </c>
      <c r="L184" s="39">
        <f t="shared" si="216"/>
        <v>147.93043200000002</v>
      </c>
      <c r="M184" s="39">
        <f>L184*(1+Assumption_Sheet!$C$23)</f>
        <v>153.84764928000004</v>
      </c>
      <c r="N184" s="39">
        <f t="shared" si="216"/>
        <v>153.84764928000004</v>
      </c>
      <c r="O184" s="39">
        <f t="shared" ref="O184" si="217">N184</f>
        <v>153.84764928000004</v>
      </c>
      <c r="P184" s="39">
        <f>O184*(1+Assumption_Sheet!$C$23)</f>
        <v>160.00155525120005</v>
      </c>
      <c r="Q184" s="39">
        <f t="shared" ref="Q184" si="218">P184</f>
        <v>160.00155525120005</v>
      </c>
    </row>
    <row r="185" spans="2:18" x14ac:dyDescent="0.15">
      <c r="B185" s="6" t="s">
        <v>76</v>
      </c>
      <c r="D185" s="12">
        <v>0</v>
      </c>
      <c r="E185" s="12">
        <v>0</v>
      </c>
      <c r="F185" s="12">
        <v>0</v>
      </c>
      <c r="H185" s="39">
        <f t="shared" ref="H185:I185" si="219">G185</f>
        <v>0</v>
      </c>
      <c r="I185" s="39">
        <f t="shared" si="219"/>
        <v>0</v>
      </c>
      <c r="J185" s="39">
        <f t="shared" ref="J185" si="220">I185*(1+4%)</f>
        <v>0</v>
      </c>
      <c r="K185" s="39">
        <f t="shared" ref="K185:L185" si="221">J185</f>
        <v>0</v>
      </c>
      <c r="L185" s="39">
        <f t="shared" si="221"/>
        <v>0</v>
      </c>
      <c r="M185" s="39">
        <f t="shared" ref="M185" si="222">L185*(1+4%)</f>
        <v>0</v>
      </c>
      <c r="N185" s="39">
        <f t="shared" ref="N185:O185" si="223">M185</f>
        <v>0</v>
      </c>
      <c r="O185" s="39">
        <f t="shared" si="223"/>
        <v>0</v>
      </c>
      <c r="P185" s="39">
        <f t="shared" ref="P185" si="224">O185*(1+4%)</f>
        <v>0</v>
      </c>
      <c r="Q185" s="39">
        <f t="shared" ref="Q185" si="225">P185</f>
        <v>0</v>
      </c>
    </row>
    <row r="186" spans="2:18" x14ac:dyDescent="0.15">
      <c r="B186" s="15" t="s">
        <v>80</v>
      </c>
      <c r="C186" s="17"/>
      <c r="D186" s="17">
        <f>D181-SUM(D183:D184)+D185</f>
        <v>3752.79</v>
      </c>
      <c r="E186" s="17">
        <f t="shared" ref="E186" si="226">E181-SUM(E183:E184)+E185</f>
        <v>3389.0200000000004</v>
      </c>
      <c r="F186" s="17">
        <f t="shared" ref="F186" si="227">F181-SUM(F183:F184)+F185</f>
        <v>2708.1400000000008</v>
      </c>
      <c r="G186" s="17">
        <f t="shared" ref="G186" si="228">G181-SUM(G183:G184)+G185</f>
        <v>2607.8320000000008</v>
      </c>
      <c r="H186" s="76">
        <f t="shared" ref="H186" si="229">H181-SUM(H183:H184)+H185</f>
        <v>2507.5240000000008</v>
      </c>
      <c r="I186" s="76">
        <f t="shared" ref="I186" si="230">I181-SUM(I183:I184)+I185</f>
        <v>2407.2160000000008</v>
      </c>
      <c r="J186" s="76">
        <f t="shared" ref="J186" si="231">J181-SUM(J183:J184)+J185</f>
        <v>2302.8956800000005</v>
      </c>
      <c r="K186" s="76">
        <f t="shared" ref="K186" si="232">K181-SUM(K183:K184)+K185</f>
        <v>2198.5753600000003</v>
      </c>
      <c r="L186" s="76">
        <f t="shared" ref="L186" si="233">L181-SUM(L183:L184)+L185</f>
        <v>2094.25504</v>
      </c>
      <c r="M186" s="76">
        <f t="shared" ref="M186" si="234">M181-SUM(M183:M184)+M185</f>
        <v>1985.7619071999998</v>
      </c>
      <c r="N186" s="76">
        <f t="shared" ref="N186" si="235">N181-SUM(N183:N184)+N185</f>
        <v>1877.2687743999995</v>
      </c>
      <c r="O186" s="76">
        <f t="shared" ref="O186" si="236">O181-SUM(O183:O184)+O185</f>
        <v>1768.7756415999993</v>
      </c>
      <c r="P186" s="76">
        <f t="shared" ref="P186" si="237">P181-SUM(P183:P184)+P185</f>
        <v>1655.9427834879993</v>
      </c>
      <c r="Q186" s="76">
        <f t="shared" ref="Q186" si="238">Q181-SUM(Q183:Q184)+Q185</f>
        <v>1543.1099253759994</v>
      </c>
    </row>
    <row r="187" spans="2:18" x14ac:dyDescent="0.15">
      <c r="H187" s="39"/>
      <c r="I187" s="39"/>
      <c r="J187" s="39"/>
      <c r="K187" s="39"/>
      <c r="L187" s="39"/>
      <c r="M187" s="39"/>
      <c r="N187" s="39"/>
      <c r="O187" s="39"/>
      <c r="P187" s="39"/>
      <c r="Q187" s="39"/>
    </row>
    <row r="188" spans="2:18" x14ac:dyDescent="0.15">
      <c r="H188" s="39"/>
      <c r="I188" s="39"/>
      <c r="J188" s="39"/>
      <c r="K188" s="39"/>
      <c r="L188" s="39"/>
      <c r="M188" s="39"/>
      <c r="N188" s="39"/>
      <c r="O188" s="39"/>
      <c r="P188" s="39"/>
      <c r="Q188" s="39"/>
    </row>
    <row r="189" spans="2:18" x14ac:dyDescent="0.15">
      <c r="B189" s="15" t="s">
        <v>94</v>
      </c>
      <c r="H189" s="39"/>
      <c r="I189" s="39"/>
      <c r="J189" s="39"/>
      <c r="K189" s="39"/>
      <c r="L189" s="39"/>
      <c r="M189" s="39"/>
      <c r="N189" s="39"/>
      <c r="O189" s="39"/>
      <c r="P189" s="39"/>
      <c r="Q189" s="39"/>
    </row>
    <row r="190" spans="2:18" x14ac:dyDescent="0.15">
      <c r="B190" s="6" t="s">
        <v>74</v>
      </c>
      <c r="D190" s="12">
        <v>3707.9</v>
      </c>
      <c r="E190" s="13">
        <f t="shared" ref="E190:Q190" si="239">D193</f>
        <v>3613.28</v>
      </c>
      <c r="F190" s="13">
        <f t="shared" si="239"/>
        <v>5287.33</v>
      </c>
      <c r="G190" s="13">
        <f t="shared" si="239"/>
        <v>7527.03</v>
      </c>
      <c r="H190" s="39">
        <f t="shared" si="239"/>
        <v>6738.8962666666694</v>
      </c>
      <c r="I190" s="39">
        <f t="shared" si="239"/>
        <v>8370.4170666666687</v>
      </c>
      <c r="J190" s="39">
        <f t="shared" si="239"/>
        <v>10001.937866666669</v>
      </c>
      <c r="K190" s="39">
        <f t="shared" si="239"/>
        <v>11698.719498666669</v>
      </c>
      <c r="L190" s="39">
        <f t="shared" si="239"/>
        <v>13395.501130666669</v>
      </c>
      <c r="M190" s="39">
        <f t="shared" si="239"/>
        <v>15092.282762666669</v>
      </c>
      <c r="N190" s="39">
        <f t="shared" si="239"/>
        <v>16856.93565994667</v>
      </c>
      <c r="O190" s="39">
        <f t="shared" si="239"/>
        <v>18621.588557226671</v>
      </c>
      <c r="P190" s="39">
        <f t="shared" si="239"/>
        <v>20386.241454506671</v>
      </c>
      <c r="Q190" s="39">
        <f t="shared" si="239"/>
        <v>22221.480467677869</v>
      </c>
    </row>
    <row r="191" spans="2:18" x14ac:dyDescent="0.15">
      <c r="B191" s="6" t="s">
        <v>75</v>
      </c>
      <c r="D191" s="12">
        <v>55.78</v>
      </c>
      <c r="E191" s="12">
        <v>1674.05</v>
      </c>
      <c r="F191" s="12">
        <v>2976.48</v>
      </c>
      <c r="G191" s="70">
        <f>AVERAGE(D191:F191)*(1+Assumption_Sheet!$C$22)</f>
        <v>1631.5207999999998</v>
      </c>
      <c r="H191" s="39">
        <f t="shared" ref="H191:I191" si="240">G191</f>
        <v>1631.5207999999998</v>
      </c>
      <c r="I191" s="39">
        <f t="shared" si="240"/>
        <v>1631.5207999999998</v>
      </c>
      <c r="J191" s="39">
        <f>I191*(1+Assumption_Sheet!$C$22)</f>
        <v>1696.7816319999997</v>
      </c>
      <c r="K191" s="39">
        <f t="shared" ref="K191:Q191" si="241">J191</f>
        <v>1696.7816319999997</v>
      </c>
      <c r="L191" s="39">
        <f t="shared" si="241"/>
        <v>1696.7816319999997</v>
      </c>
      <c r="M191" s="39">
        <f>L191*(1+Assumption_Sheet!$C$22)</f>
        <v>1764.6528972799997</v>
      </c>
      <c r="N191" s="39">
        <f t="shared" si="241"/>
        <v>1764.6528972799997</v>
      </c>
      <c r="O191" s="39">
        <f t="shared" si="241"/>
        <v>1764.6528972799997</v>
      </c>
      <c r="P191" s="39">
        <f>O191*(1+Assumption_Sheet!$C$22)</f>
        <v>1835.2390131711998</v>
      </c>
      <c r="Q191" s="39">
        <f t="shared" si="241"/>
        <v>1835.2390131711998</v>
      </c>
      <c r="R191" s="13"/>
    </row>
    <row r="192" spans="2:18" x14ac:dyDescent="0.15">
      <c r="B192" s="6" t="s">
        <v>76</v>
      </c>
      <c r="D192" s="12">
        <v>150.4</v>
      </c>
      <c r="E192" s="12">
        <v>0</v>
      </c>
      <c r="F192" s="12">
        <v>736.78</v>
      </c>
      <c r="G192" s="72">
        <v>2419.6545333333297</v>
      </c>
      <c r="H192" s="39"/>
      <c r="I192" s="39"/>
      <c r="J192" s="39"/>
      <c r="K192" s="39"/>
      <c r="L192" s="39"/>
      <c r="M192" s="39"/>
      <c r="N192" s="39"/>
      <c r="O192" s="39"/>
      <c r="P192" s="39"/>
      <c r="Q192" s="39"/>
    </row>
    <row r="193" spans="2:18" x14ac:dyDescent="0.15">
      <c r="B193" s="15" t="s">
        <v>77</v>
      </c>
      <c r="C193" s="30">
        <f t="shared" ref="C193:Q193" si="242">SUM(C190:C191)-C192</f>
        <v>0</v>
      </c>
      <c r="D193" s="30">
        <f t="shared" si="242"/>
        <v>3613.28</v>
      </c>
      <c r="E193" s="30">
        <f t="shared" si="242"/>
        <v>5287.33</v>
      </c>
      <c r="F193" s="30">
        <f t="shared" si="242"/>
        <v>7527.03</v>
      </c>
      <c r="G193" s="29">
        <f t="shared" si="242"/>
        <v>6738.8962666666694</v>
      </c>
      <c r="H193" s="75">
        <f t="shared" si="242"/>
        <v>8370.4170666666687</v>
      </c>
      <c r="I193" s="75">
        <f t="shared" si="242"/>
        <v>10001.937866666669</v>
      </c>
      <c r="J193" s="75">
        <f t="shared" si="242"/>
        <v>11698.719498666669</v>
      </c>
      <c r="K193" s="75">
        <f t="shared" si="242"/>
        <v>13395.501130666669</v>
      </c>
      <c r="L193" s="75">
        <f t="shared" si="242"/>
        <v>15092.282762666669</v>
      </c>
      <c r="M193" s="75">
        <f t="shared" si="242"/>
        <v>16856.93565994667</v>
      </c>
      <c r="N193" s="75">
        <f t="shared" si="242"/>
        <v>18621.588557226671</v>
      </c>
      <c r="O193" s="75">
        <f t="shared" si="242"/>
        <v>20386.241454506671</v>
      </c>
      <c r="P193" s="75">
        <f t="shared" si="242"/>
        <v>22221.480467677869</v>
      </c>
      <c r="Q193" s="75">
        <f t="shared" si="242"/>
        <v>24056.719480849068</v>
      </c>
    </row>
    <row r="194" spans="2:18" x14ac:dyDescent="0.15">
      <c r="H194" s="39"/>
      <c r="I194" s="39"/>
      <c r="J194" s="39"/>
      <c r="K194" s="39"/>
      <c r="L194" s="39"/>
      <c r="M194" s="39"/>
      <c r="N194" s="39"/>
      <c r="O194" s="39"/>
      <c r="P194" s="39"/>
      <c r="Q194" s="39"/>
    </row>
    <row r="195" spans="2:18" x14ac:dyDescent="0.15">
      <c r="B195" s="6" t="s">
        <v>78</v>
      </c>
      <c r="D195" s="12">
        <v>751.35</v>
      </c>
      <c r="E195" s="13">
        <f>SUM(D195:D196)-D197</f>
        <v>1228.75</v>
      </c>
      <c r="F195" s="13">
        <f t="shared" ref="F195:Q195" si="243">SUM(E195:E196)-E197</f>
        <v>2018.8899999999999</v>
      </c>
      <c r="G195" s="13">
        <f t="shared" si="243"/>
        <v>2932.52</v>
      </c>
      <c r="H195" s="39">
        <f t="shared" si="243"/>
        <v>3882.6952000000001</v>
      </c>
      <c r="I195" s="39">
        <f t="shared" si="243"/>
        <v>4832.8703999999998</v>
      </c>
      <c r="J195" s="39">
        <f t="shared" si="243"/>
        <v>5783.0455999999995</v>
      </c>
      <c r="K195" s="39">
        <f t="shared" si="243"/>
        <v>6771.2278079999996</v>
      </c>
      <c r="L195" s="39">
        <f t="shared" si="243"/>
        <v>7759.4100159999998</v>
      </c>
      <c r="M195" s="39">
        <f t="shared" si="243"/>
        <v>8747.592224</v>
      </c>
      <c r="N195" s="39">
        <f t="shared" si="243"/>
        <v>9775.3017203199997</v>
      </c>
      <c r="O195" s="39">
        <f t="shared" si="243"/>
        <v>10803.011216639999</v>
      </c>
      <c r="P195" s="39">
        <f t="shared" si="243"/>
        <v>11830.720712959999</v>
      </c>
      <c r="Q195" s="39">
        <f t="shared" si="243"/>
        <v>12899.538589132799</v>
      </c>
    </row>
    <row r="196" spans="2:18" x14ac:dyDescent="0.15">
      <c r="B196" s="6" t="s">
        <v>79</v>
      </c>
      <c r="D196" s="12">
        <v>477.4</v>
      </c>
      <c r="E196" s="12">
        <v>790.14</v>
      </c>
      <c r="F196" s="12">
        <v>913.63</v>
      </c>
      <c r="G196" s="13">
        <f>F196*(1+Assumption_Sheet!$C$23)</f>
        <v>950.17520000000002</v>
      </c>
      <c r="H196" s="39">
        <f t="shared" ref="H196:I196" si="244">G196</f>
        <v>950.17520000000002</v>
      </c>
      <c r="I196" s="39">
        <f t="shared" si="244"/>
        <v>950.17520000000002</v>
      </c>
      <c r="J196" s="39">
        <f>I196*(1+Assumption_Sheet!$C$23)</f>
        <v>988.18220800000006</v>
      </c>
      <c r="K196" s="39">
        <f t="shared" ref="K196:Q196" si="245">J196</f>
        <v>988.18220800000006</v>
      </c>
      <c r="L196" s="39">
        <f t="shared" si="245"/>
        <v>988.18220800000006</v>
      </c>
      <c r="M196" s="39">
        <f>L196*(1+Assumption_Sheet!$C$23)</f>
        <v>1027.7094963200002</v>
      </c>
      <c r="N196" s="39">
        <f t="shared" si="245"/>
        <v>1027.7094963200002</v>
      </c>
      <c r="O196" s="39">
        <f t="shared" si="245"/>
        <v>1027.7094963200002</v>
      </c>
      <c r="P196" s="39">
        <f>O196*(1+Assumption_Sheet!$C$23)</f>
        <v>1068.8178761728002</v>
      </c>
      <c r="Q196" s="39">
        <f t="shared" si="245"/>
        <v>1068.8178761728002</v>
      </c>
      <c r="R196" s="13"/>
    </row>
    <row r="197" spans="2:18" x14ac:dyDescent="0.15">
      <c r="B197" s="6" t="s">
        <v>76</v>
      </c>
      <c r="D197" s="12">
        <v>0</v>
      </c>
      <c r="E197" s="12">
        <v>0</v>
      </c>
      <c r="F197" s="12">
        <v>0</v>
      </c>
      <c r="H197" s="39"/>
      <c r="I197" s="39"/>
      <c r="J197" s="39"/>
      <c r="K197" s="39"/>
      <c r="L197" s="39"/>
      <c r="M197" s="39"/>
      <c r="N197" s="39"/>
      <c r="O197" s="39"/>
      <c r="P197" s="39"/>
      <c r="Q197" s="39"/>
    </row>
    <row r="198" spans="2:18" x14ac:dyDescent="0.15">
      <c r="B198" s="15" t="s">
        <v>80</v>
      </c>
      <c r="C198" s="17">
        <f>C193-SUM(C195:C196)+C197</f>
        <v>0</v>
      </c>
      <c r="D198" s="17">
        <f>D193-SUM(D195:D196)+D197</f>
        <v>2384.5300000000002</v>
      </c>
      <c r="E198" s="17">
        <f t="shared" ref="E198" si="246">E193-SUM(E195:E196)+E197</f>
        <v>3268.44</v>
      </c>
      <c r="F198" s="17">
        <f t="shared" ref="F198" si="247">F193-SUM(F195:F196)+F197</f>
        <v>4594.51</v>
      </c>
      <c r="G198" s="17">
        <f t="shared" ref="G198" si="248">G193-SUM(G195:G196)+G197</f>
        <v>2856.2010666666692</v>
      </c>
      <c r="H198" s="76">
        <f t="shared" ref="H198" si="249">H193-SUM(H195:H196)+H197</f>
        <v>3537.5466666666689</v>
      </c>
      <c r="I198" s="76">
        <f t="shared" ref="I198" si="250">I193-SUM(I195:I196)+I197</f>
        <v>4218.8922666666695</v>
      </c>
      <c r="J198" s="76">
        <f t="shared" ref="J198" si="251">J193-SUM(J195:J196)+J197</f>
        <v>4927.4916906666695</v>
      </c>
      <c r="K198" s="76">
        <f t="shared" ref="K198" si="252">K193-SUM(K195:K196)+K197</f>
        <v>5636.0911146666695</v>
      </c>
      <c r="L198" s="76">
        <f t="shared" ref="L198" si="253">L193-SUM(L195:L196)+L197</f>
        <v>6344.6905386666695</v>
      </c>
      <c r="M198" s="76">
        <f t="shared" ref="M198" si="254">M193-SUM(M195:M196)+M197</f>
        <v>7081.6339396266703</v>
      </c>
      <c r="N198" s="76">
        <f t="shared" ref="N198" si="255">N193-SUM(N195:N196)+N197</f>
        <v>7818.5773405866712</v>
      </c>
      <c r="O198" s="76">
        <f t="shared" ref="O198" si="256">O193-SUM(O195:O196)+O197</f>
        <v>8555.5207415466721</v>
      </c>
      <c r="P198" s="76">
        <f t="shared" ref="P198" si="257">P193-SUM(P195:P196)+P197</f>
        <v>9321.9418785450707</v>
      </c>
      <c r="Q198" s="76">
        <f t="shared" ref="Q198" si="258">Q193-SUM(Q195:Q196)+Q197</f>
        <v>10088.363015543469</v>
      </c>
    </row>
    <row r="199" spans="2:18" x14ac:dyDescent="0.15">
      <c r="H199" s="39"/>
      <c r="I199" s="39"/>
      <c r="J199" s="39"/>
      <c r="K199" s="39"/>
      <c r="L199" s="39"/>
      <c r="M199" s="39"/>
      <c r="N199" s="39"/>
      <c r="O199" s="39"/>
      <c r="P199" s="39"/>
      <c r="Q199" s="39"/>
    </row>
    <row r="200" spans="2:18" x14ac:dyDescent="0.15">
      <c r="H200" s="39"/>
      <c r="I200" s="39"/>
      <c r="J200" s="39"/>
      <c r="K200" s="39"/>
      <c r="L200" s="39"/>
      <c r="M200" s="39"/>
      <c r="N200" s="39"/>
      <c r="O200" s="39"/>
      <c r="P200" s="39"/>
      <c r="Q200" s="39"/>
    </row>
    <row r="201" spans="2:18" x14ac:dyDescent="0.15">
      <c r="B201" s="15" t="s">
        <v>95</v>
      </c>
      <c r="H201" s="39"/>
      <c r="I201" s="39"/>
      <c r="J201" s="39"/>
      <c r="K201" s="39"/>
      <c r="L201" s="39"/>
      <c r="M201" s="39"/>
      <c r="N201" s="39"/>
      <c r="O201" s="39"/>
      <c r="P201" s="39"/>
      <c r="Q201" s="39"/>
    </row>
    <row r="202" spans="2:18" x14ac:dyDescent="0.15">
      <c r="B202" s="6" t="s">
        <v>74</v>
      </c>
      <c r="D202" s="12">
        <v>3783.73</v>
      </c>
      <c r="E202" s="13">
        <f t="shared" ref="E202:Q202" si="259">D205</f>
        <v>3784.58</v>
      </c>
      <c r="F202" s="13">
        <f t="shared" si="259"/>
        <v>6094.75</v>
      </c>
      <c r="G202" s="13">
        <f t="shared" si="259"/>
        <v>6723.6299999999992</v>
      </c>
      <c r="H202" s="39">
        <f t="shared" si="259"/>
        <v>8825.2862666666661</v>
      </c>
      <c r="I202" s="39">
        <f t="shared" si="259"/>
        <v>10926.942533333333</v>
      </c>
      <c r="J202" s="39">
        <f t="shared" si="259"/>
        <v>13028.5988</v>
      </c>
      <c r="K202" s="39">
        <f t="shared" si="259"/>
        <v>15214.321317333333</v>
      </c>
      <c r="L202" s="39">
        <f t="shared" si="259"/>
        <v>17400.043834666667</v>
      </c>
      <c r="M202" s="39">
        <f t="shared" si="259"/>
        <v>19585.766351999999</v>
      </c>
      <c r="N202" s="39">
        <f t="shared" si="259"/>
        <v>21858.917770026666</v>
      </c>
      <c r="O202" s="39">
        <f t="shared" si="259"/>
        <v>24132.069188053334</v>
      </c>
      <c r="P202" s="39">
        <f t="shared" si="259"/>
        <v>26405.220606080002</v>
      </c>
      <c r="Q202" s="39">
        <f t="shared" si="259"/>
        <v>28769.298080827735</v>
      </c>
    </row>
    <row r="203" spans="2:18" x14ac:dyDescent="0.15">
      <c r="B203" s="6" t="s">
        <v>75</v>
      </c>
      <c r="D203" s="12">
        <v>15.58</v>
      </c>
      <c r="E203" s="12">
        <v>2310.17</v>
      </c>
      <c r="F203" s="12">
        <v>3736.72</v>
      </c>
      <c r="G203" s="70">
        <f>AVERAGE(D203:F203)*(1+Assumption_Sheet!$C$22)</f>
        <v>2101.6562666666664</v>
      </c>
      <c r="H203" s="39">
        <f t="shared" ref="H203" si="260">G203</f>
        <v>2101.6562666666664</v>
      </c>
      <c r="I203" s="39">
        <f t="shared" ref="I203" si="261">H203</f>
        <v>2101.6562666666664</v>
      </c>
      <c r="J203" s="39">
        <f>I203*(1+Assumption_Sheet!$C$22)</f>
        <v>2185.7225173333331</v>
      </c>
      <c r="K203" s="39">
        <f t="shared" ref="K203:Q203" si="262">J203</f>
        <v>2185.7225173333331</v>
      </c>
      <c r="L203" s="39">
        <f t="shared" si="262"/>
        <v>2185.7225173333331</v>
      </c>
      <c r="M203" s="39">
        <f>L203*(1+Assumption_Sheet!$C$22)</f>
        <v>2273.1514180266668</v>
      </c>
      <c r="N203" s="39">
        <f t="shared" si="262"/>
        <v>2273.1514180266668</v>
      </c>
      <c r="O203" s="39">
        <f t="shared" si="262"/>
        <v>2273.1514180266668</v>
      </c>
      <c r="P203" s="39">
        <f>O203*(1+Assumption_Sheet!$C$22)</f>
        <v>2364.0774747477335</v>
      </c>
      <c r="Q203" s="39">
        <f t="shared" si="262"/>
        <v>2364.0774747477335</v>
      </c>
    </row>
    <row r="204" spans="2:18" x14ac:dyDescent="0.15">
      <c r="B204" s="6" t="s">
        <v>76</v>
      </c>
      <c r="D204" s="12">
        <v>14.73</v>
      </c>
      <c r="E204" s="12">
        <v>0</v>
      </c>
      <c r="F204" s="12">
        <v>3107.84</v>
      </c>
      <c r="H204" s="39">
        <f t="shared" ref="H204:I204" si="263">G204</f>
        <v>0</v>
      </c>
      <c r="I204" s="39">
        <f t="shared" si="263"/>
        <v>0</v>
      </c>
      <c r="J204" s="39">
        <f t="shared" ref="J204" si="264">I204*(1+4%)</f>
        <v>0</v>
      </c>
      <c r="K204" s="39">
        <f t="shared" ref="K204:L204" si="265">J204</f>
        <v>0</v>
      </c>
      <c r="L204" s="39">
        <f t="shared" si="265"/>
        <v>0</v>
      </c>
      <c r="M204" s="39">
        <f t="shared" ref="M204" si="266">L204*(1+4%)</f>
        <v>0</v>
      </c>
      <c r="N204" s="39">
        <f t="shared" ref="N204:O204" si="267">M204</f>
        <v>0</v>
      </c>
      <c r="O204" s="39">
        <f t="shared" si="267"/>
        <v>0</v>
      </c>
      <c r="P204" s="39">
        <f t="shared" ref="P204" si="268">O204*(1+4%)</f>
        <v>0</v>
      </c>
      <c r="Q204" s="39">
        <f t="shared" ref="Q204" si="269">P204</f>
        <v>0</v>
      </c>
    </row>
    <row r="205" spans="2:18" x14ac:dyDescent="0.15">
      <c r="B205" s="15" t="s">
        <v>77</v>
      </c>
      <c r="C205" s="30">
        <f t="shared" ref="C205:Q205" si="270">SUM(C202:C203)-C204</f>
        <v>0</v>
      </c>
      <c r="D205" s="30">
        <f t="shared" si="270"/>
        <v>3784.58</v>
      </c>
      <c r="E205" s="30">
        <f t="shared" si="270"/>
        <v>6094.75</v>
      </c>
      <c r="F205" s="30">
        <f t="shared" si="270"/>
        <v>6723.6299999999992</v>
      </c>
      <c r="G205" s="30">
        <f t="shared" si="270"/>
        <v>8825.2862666666661</v>
      </c>
      <c r="H205" s="75">
        <f t="shared" si="270"/>
        <v>10926.942533333333</v>
      </c>
      <c r="I205" s="75">
        <f t="shared" si="270"/>
        <v>13028.5988</v>
      </c>
      <c r="J205" s="75">
        <f t="shared" si="270"/>
        <v>15214.321317333333</v>
      </c>
      <c r="K205" s="75">
        <f t="shared" si="270"/>
        <v>17400.043834666667</v>
      </c>
      <c r="L205" s="75">
        <f t="shared" si="270"/>
        <v>19585.766351999999</v>
      </c>
      <c r="M205" s="75">
        <f t="shared" si="270"/>
        <v>21858.917770026666</v>
      </c>
      <c r="N205" s="75">
        <f t="shared" si="270"/>
        <v>24132.069188053334</v>
      </c>
      <c r="O205" s="75">
        <f t="shared" si="270"/>
        <v>26405.220606080002</v>
      </c>
      <c r="P205" s="75">
        <f t="shared" si="270"/>
        <v>28769.298080827735</v>
      </c>
      <c r="Q205" s="75">
        <f t="shared" si="270"/>
        <v>31133.375555575469</v>
      </c>
    </row>
    <row r="206" spans="2:18" x14ac:dyDescent="0.15">
      <c r="H206" s="39"/>
      <c r="I206" s="39"/>
      <c r="J206" s="39"/>
      <c r="K206" s="39"/>
      <c r="L206" s="39"/>
      <c r="M206" s="39"/>
      <c r="N206" s="39"/>
      <c r="O206" s="39"/>
      <c r="P206" s="39"/>
      <c r="Q206" s="39"/>
    </row>
    <row r="207" spans="2:18" x14ac:dyDescent="0.15">
      <c r="B207" s="6" t="s">
        <v>78</v>
      </c>
      <c r="D207" s="12">
        <v>581.49</v>
      </c>
      <c r="E207" s="13">
        <f>SUM(D207:D208)-D209+D210</f>
        <v>1897.34</v>
      </c>
      <c r="F207" s="13">
        <f t="shared" ref="F207:Q207" si="271">SUM(E207:E208)-E209+E210</f>
        <v>2971.0400000000004</v>
      </c>
      <c r="G207" s="13">
        <f t="shared" si="271"/>
        <v>4233.43</v>
      </c>
      <c r="H207" s="39">
        <f t="shared" si="271"/>
        <v>5546.3155999999999</v>
      </c>
      <c r="I207" s="39">
        <f t="shared" si="271"/>
        <v>6859.2011999999995</v>
      </c>
      <c r="J207" s="39">
        <f t="shared" si="271"/>
        <v>8172.0867999999991</v>
      </c>
      <c r="K207" s="39">
        <f t="shared" si="271"/>
        <v>9537.4878239999998</v>
      </c>
      <c r="L207" s="39">
        <f t="shared" si="271"/>
        <v>10902.888848000001</v>
      </c>
      <c r="M207" s="39">
        <f t="shared" si="271"/>
        <v>12268.289872000001</v>
      </c>
      <c r="N207" s="39">
        <f t="shared" si="271"/>
        <v>13688.306936960002</v>
      </c>
      <c r="O207" s="39">
        <f t="shared" si="271"/>
        <v>15108.324001920002</v>
      </c>
      <c r="P207" s="39">
        <f t="shared" si="271"/>
        <v>16528.341066880002</v>
      </c>
      <c r="Q207" s="39">
        <f t="shared" si="271"/>
        <v>18005.158814438404</v>
      </c>
    </row>
    <row r="208" spans="2:18" x14ac:dyDescent="0.15">
      <c r="B208" s="6" t="s">
        <v>79</v>
      </c>
      <c r="D208" s="12">
        <v>1201.57</v>
      </c>
      <c r="E208" s="12">
        <v>1196.67</v>
      </c>
      <c r="F208" s="12">
        <v>1262.3900000000001</v>
      </c>
      <c r="G208" s="13">
        <f>F208*(1+Assumption_Sheet!$C$23)</f>
        <v>1312.8856000000001</v>
      </c>
      <c r="H208" s="39">
        <f t="shared" ref="H208:N208" si="272">G208</f>
        <v>1312.8856000000001</v>
      </c>
      <c r="I208" s="39">
        <f t="shared" si="272"/>
        <v>1312.8856000000001</v>
      </c>
      <c r="J208" s="39">
        <f>I208*(1+Assumption_Sheet!$C$23)</f>
        <v>1365.401024</v>
      </c>
      <c r="K208" s="39">
        <f t="shared" si="272"/>
        <v>1365.401024</v>
      </c>
      <c r="L208" s="39">
        <f t="shared" si="272"/>
        <v>1365.401024</v>
      </c>
      <c r="M208" s="39">
        <f>L208*(1+Assumption_Sheet!$C$23)</f>
        <v>1420.01706496</v>
      </c>
      <c r="N208" s="39">
        <f t="shared" si="272"/>
        <v>1420.01706496</v>
      </c>
      <c r="O208" s="39">
        <f t="shared" ref="O208" si="273">N208</f>
        <v>1420.01706496</v>
      </c>
      <c r="P208" s="39">
        <f>O208*(1+Assumption_Sheet!$C$23)</f>
        <v>1476.8177475584</v>
      </c>
      <c r="Q208" s="39">
        <f t="shared" ref="Q208" si="274">P208</f>
        <v>1476.8177475584</v>
      </c>
      <c r="R208" s="13"/>
    </row>
    <row r="209" spans="2:17" x14ac:dyDescent="0.15">
      <c r="B209" s="6" t="s">
        <v>76</v>
      </c>
      <c r="D209" s="12">
        <v>8.69</v>
      </c>
      <c r="E209" s="12">
        <v>0</v>
      </c>
      <c r="F209" s="12">
        <v>0</v>
      </c>
      <c r="G209" s="13">
        <v>0</v>
      </c>
      <c r="H209" s="39">
        <v>0</v>
      </c>
      <c r="I209" s="39">
        <v>0</v>
      </c>
      <c r="J209" s="39">
        <v>0</v>
      </c>
      <c r="K209" s="39">
        <v>0</v>
      </c>
      <c r="L209" s="39">
        <v>0</v>
      </c>
      <c r="M209" s="39">
        <v>0</v>
      </c>
      <c r="N209" s="39">
        <v>0</v>
      </c>
      <c r="O209" s="39">
        <v>0</v>
      </c>
      <c r="P209" s="39">
        <v>0</v>
      </c>
      <c r="Q209" s="39">
        <v>0</v>
      </c>
    </row>
    <row r="210" spans="2:17" x14ac:dyDescent="0.15">
      <c r="B210" s="6" t="s">
        <v>96</v>
      </c>
      <c r="D210" s="12">
        <v>122.97</v>
      </c>
      <c r="E210" s="12">
        <v>-122.97</v>
      </c>
      <c r="F210" s="12">
        <v>0</v>
      </c>
      <c r="G210" s="13">
        <v>0</v>
      </c>
      <c r="H210" s="39">
        <v>0</v>
      </c>
      <c r="I210" s="39">
        <v>0</v>
      </c>
      <c r="J210" s="39">
        <v>0</v>
      </c>
      <c r="K210" s="39">
        <v>0</v>
      </c>
      <c r="L210" s="39">
        <v>0</v>
      </c>
      <c r="M210" s="39">
        <v>0</v>
      </c>
      <c r="N210" s="39">
        <v>0</v>
      </c>
      <c r="O210" s="39">
        <v>0</v>
      </c>
      <c r="P210" s="39">
        <v>0</v>
      </c>
      <c r="Q210" s="39">
        <v>0</v>
      </c>
    </row>
    <row r="211" spans="2:17" x14ac:dyDescent="0.15">
      <c r="B211" s="15" t="s">
        <v>80</v>
      </c>
      <c r="C211" s="17">
        <f>C205-SUM(C207:C208)+C209-C210</f>
        <v>0</v>
      </c>
      <c r="D211" s="17">
        <f>D205-SUM(D207:D208)+D209-D210</f>
        <v>1887.24</v>
      </c>
      <c r="E211" s="17">
        <f t="shared" ref="E211:Q211" si="275">E205-SUM(E207:E208)+E209-E210</f>
        <v>3123.7099999999996</v>
      </c>
      <c r="F211" s="17">
        <f t="shared" si="275"/>
        <v>2490.1999999999989</v>
      </c>
      <c r="G211" s="17">
        <f t="shared" si="275"/>
        <v>3278.9706666666661</v>
      </c>
      <c r="H211" s="76">
        <f t="shared" si="275"/>
        <v>4067.7413333333334</v>
      </c>
      <c r="I211" s="76">
        <f t="shared" si="275"/>
        <v>4856.5120000000006</v>
      </c>
      <c r="J211" s="76">
        <f t="shared" si="275"/>
        <v>5676.8334933333335</v>
      </c>
      <c r="K211" s="76">
        <f t="shared" si="275"/>
        <v>6497.1549866666664</v>
      </c>
      <c r="L211" s="76">
        <f t="shared" si="275"/>
        <v>7317.4764799999975</v>
      </c>
      <c r="M211" s="76">
        <f t="shared" si="275"/>
        <v>8170.6108330666648</v>
      </c>
      <c r="N211" s="76">
        <f t="shared" si="275"/>
        <v>9023.745186133332</v>
      </c>
      <c r="O211" s="76">
        <f t="shared" si="275"/>
        <v>9876.8795391999993</v>
      </c>
      <c r="P211" s="76">
        <f t="shared" si="275"/>
        <v>10764.139266389331</v>
      </c>
      <c r="Q211" s="76">
        <f t="shared" si="275"/>
        <v>11651.398993578663</v>
      </c>
    </row>
    <row r="212" spans="2:17" x14ac:dyDescent="0.15">
      <c r="B212" s="15"/>
      <c r="C212" s="29"/>
      <c r="D212" s="29"/>
      <c r="E212" s="29"/>
      <c r="F212" s="29"/>
      <c r="G212" s="29"/>
      <c r="H212" s="38"/>
      <c r="I212" s="38"/>
      <c r="J212" s="38"/>
      <c r="K212" s="38"/>
      <c r="L212" s="38"/>
      <c r="M212" s="38"/>
      <c r="N212" s="38"/>
      <c r="O212" s="38"/>
      <c r="P212" s="38"/>
      <c r="Q212" s="38"/>
    </row>
    <row r="213" spans="2:17" ht="15" thickBot="1" x14ac:dyDescent="0.2">
      <c r="B213" s="15"/>
      <c r="C213" s="29"/>
      <c r="D213" s="29"/>
      <c r="E213" s="29"/>
      <c r="F213" s="29"/>
      <c r="G213" s="29"/>
      <c r="H213" s="38"/>
      <c r="I213" s="38"/>
      <c r="J213" s="38"/>
      <c r="K213" s="38"/>
      <c r="L213" s="38"/>
      <c r="M213" s="38"/>
      <c r="N213" s="38"/>
      <c r="O213" s="38"/>
      <c r="P213" s="38"/>
      <c r="Q213" s="38"/>
    </row>
    <row r="214" spans="2:17" ht="16" thickTop="1" thickBot="1" x14ac:dyDescent="0.2">
      <c r="B214" s="15" t="s">
        <v>98</v>
      </c>
      <c r="C214" s="31">
        <f t="shared" ref="C214:Q214" si="276">SUM(C211,C198,C186)</f>
        <v>0</v>
      </c>
      <c r="D214" s="31">
        <f t="shared" si="276"/>
        <v>8024.56</v>
      </c>
      <c r="E214" s="31">
        <f t="shared" si="276"/>
        <v>9781.17</v>
      </c>
      <c r="F214" s="31">
        <f t="shared" si="276"/>
        <v>9792.85</v>
      </c>
      <c r="G214" s="31">
        <f t="shared" si="276"/>
        <v>8743.0037333333366</v>
      </c>
      <c r="H214" s="74">
        <f t="shared" si="276"/>
        <v>10112.812000000004</v>
      </c>
      <c r="I214" s="74">
        <f t="shared" si="276"/>
        <v>11482.62026666667</v>
      </c>
      <c r="J214" s="74">
        <f t="shared" si="276"/>
        <v>12907.220864000003</v>
      </c>
      <c r="K214" s="74">
        <f t="shared" si="276"/>
        <v>14331.821461333337</v>
      </c>
      <c r="L214" s="74">
        <f t="shared" si="276"/>
        <v>15756.422058666667</v>
      </c>
      <c r="M214" s="74">
        <f t="shared" si="276"/>
        <v>17238.006679893333</v>
      </c>
      <c r="N214" s="74">
        <f t="shared" si="276"/>
        <v>18719.591301120003</v>
      </c>
      <c r="O214" s="74">
        <f t="shared" si="276"/>
        <v>20201.175922346672</v>
      </c>
      <c r="P214" s="74">
        <f t="shared" si="276"/>
        <v>21742.023928422404</v>
      </c>
      <c r="Q214" s="74">
        <f t="shared" si="276"/>
        <v>23282.871934498133</v>
      </c>
    </row>
    <row r="215" spans="2:17" ht="15" thickTop="1" x14ac:dyDescent="0.15">
      <c r="F215" s="9"/>
      <c r="H215" s="77"/>
      <c r="I215" s="39"/>
      <c r="J215" s="39"/>
      <c r="K215" s="39"/>
      <c r="L215" s="39"/>
      <c r="M215" s="39"/>
      <c r="N215" s="39"/>
      <c r="O215" s="39"/>
      <c r="P215" s="39"/>
      <c r="Q215" s="39"/>
    </row>
    <row r="216" spans="2:17" x14ac:dyDescent="0.15">
      <c r="B216" s="32"/>
      <c r="C216" s="33"/>
      <c r="D216" s="33"/>
      <c r="E216" s="33"/>
      <c r="F216" s="33"/>
      <c r="G216" s="33"/>
      <c r="H216" s="33"/>
      <c r="I216" s="33"/>
      <c r="J216" s="33"/>
      <c r="K216" s="33"/>
      <c r="L216" s="33"/>
      <c r="M216" s="33"/>
      <c r="N216" s="33"/>
      <c r="O216" s="33"/>
      <c r="P216" s="33"/>
      <c r="Q216" s="33"/>
    </row>
    <row r="217" spans="2:17" x14ac:dyDescent="0.15">
      <c r="B217" s="32"/>
      <c r="C217" s="33"/>
      <c r="D217" s="33"/>
      <c r="E217" s="33"/>
      <c r="F217" s="33"/>
      <c r="G217" s="33"/>
      <c r="H217" s="33"/>
      <c r="I217" s="33"/>
      <c r="J217" s="33"/>
      <c r="K217" s="33"/>
      <c r="L217" s="33"/>
      <c r="M217" s="33"/>
      <c r="N217" s="33"/>
      <c r="O217" s="33"/>
      <c r="P217" s="33"/>
      <c r="Q217" s="33"/>
    </row>
    <row r="218" spans="2:17" x14ac:dyDescent="0.15">
      <c r="B218" s="32"/>
      <c r="C218" s="33"/>
      <c r="D218" s="33"/>
      <c r="E218" s="33"/>
      <c r="F218" s="33"/>
      <c r="G218" s="33"/>
      <c r="H218" s="33"/>
      <c r="I218" s="33"/>
      <c r="J218" s="33"/>
      <c r="K218" s="33"/>
      <c r="L218" s="33"/>
      <c r="M218" s="33"/>
      <c r="N218" s="33"/>
      <c r="O218" s="33"/>
      <c r="P218" s="33"/>
      <c r="Q218" s="33"/>
    </row>
    <row r="219" spans="2:17" x14ac:dyDescent="0.15">
      <c r="H219" s="39"/>
      <c r="I219" s="39"/>
      <c r="J219" s="39"/>
      <c r="K219" s="39"/>
      <c r="L219" s="39"/>
      <c r="M219" s="39"/>
      <c r="N219" s="39"/>
      <c r="O219" s="39"/>
      <c r="P219" s="39"/>
      <c r="Q219" s="39"/>
    </row>
    <row r="220" spans="2:17" x14ac:dyDescent="0.15">
      <c r="B220" s="15" t="s">
        <v>97</v>
      </c>
      <c r="C220" s="29">
        <f>SUM(BS_Input!C16,BS_Input!C18:C20)</f>
        <v>28468.73</v>
      </c>
      <c r="D220" s="29">
        <f t="shared" ref="D220:Q220" si="277">SUM(D214,D170,D139,D107)</f>
        <v>31134.650000000005</v>
      </c>
      <c r="E220" s="29">
        <f t="shared" si="277"/>
        <v>33541.770000000004</v>
      </c>
      <c r="F220" s="29">
        <f t="shared" si="277"/>
        <v>35093.150000000009</v>
      </c>
      <c r="G220" s="29">
        <f t="shared" si="277"/>
        <v>34276.703033333339</v>
      </c>
      <c r="H220" s="38">
        <f t="shared" si="277"/>
        <v>36476.726200000012</v>
      </c>
      <c r="I220" s="38">
        <f t="shared" si="277"/>
        <v>38676.749366666678</v>
      </c>
      <c r="J220" s="38">
        <f t="shared" si="277"/>
        <v>40948.075636000009</v>
      </c>
      <c r="K220" s="38">
        <f t="shared" si="277"/>
        <v>43236.099729333335</v>
      </c>
      <c r="L220" s="38">
        <f t="shared" si="277"/>
        <v>45524.123822666661</v>
      </c>
      <c r="M220" s="38">
        <f t="shared" si="277"/>
        <v>47886.303142773337</v>
      </c>
      <c r="N220" s="38">
        <f t="shared" si="277"/>
        <v>50265.848199840009</v>
      </c>
      <c r="O220" s="38">
        <f t="shared" si="277"/>
        <v>52645.393256906682</v>
      </c>
      <c r="P220" s="38">
        <f t="shared" si="277"/>
        <v>55102.059749817607</v>
      </c>
      <c r="Q220" s="38">
        <f t="shared" si="277"/>
        <v>57576.786609166942</v>
      </c>
    </row>
    <row r="221" spans="2:17" x14ac:dyDescent="0.15">
      <c r="B221" s="6" t="s">
        <v>79</v>
      </c>
      <c r="C221" s="12">
        <v>4021.07</v>
      </c>
      <c r="D221" s="13">
        <f t="shared" ref="D221:Q221" si="278">SUM(D208,D196,D184,D165,D153,D134,D122,D102,D90,D78,D66,D54,D42,D30)</f>
        <v>4634.74</v>
      </c>
      <c r="E221" s="13">
        <f t="shared" si="278"/>
        <v>4898.8400000000011</v>
      </c>
      <c r="F221" s="13">
        <f t="shared" si="278"/>
        <v>5372.96</v>
      </c>
      <c r="G221" s="13">
        <f t="shared" si="278"/>
        <v>5586.2335000000003</v>
      </c>
      <c r="H221" s="39">
        <f t="shared" si="278"/>
        <v>5586.2335000000003</v>
      </c>
      <c r="I221" s="39">
        <f t="shared" si="278"/>
        <v>5586.2335000000003</v>
      </c>
      <c r="J221" s="39">
        <f t="shared" si="278"/>
        <v>5809.6828400000013</v>
      </c>
      <c r="K221" s="39">
        <f t="shared" si="278"/>
        <v>5809.6828400000013</v>
      </c>
      <c r="L221" s="39">
        <f t="shared" si="278"/>
        <v>5809.6828400000013</v>
      </c>
      <c r="M221" s="39">
        <f t="shared" si="278"/>
        <v>6042.0701536000015</v>
      </c>
      <c r="N221" s="39">
        <f t="shared" si="278"/>
        <v>6042.0701536000015</v>
      </c>
      <c r="O221" s="39">
        <f t="shared" si="278"/>
        <v>6042.0701536000015</v>
      </c>
      <c r="P221" s="39">
        <f t="shared" si="278"/>
        <v>6283.7529597439998</v>
      </c>
      <c r="Q221" s="39">
        <f t="shared" si="278"/>
        <v>6283.7529597439998</v>
      </c>
    </row>
    <row r="222" spans="2:17" x14ac:dyDescent="0.15">
      <c r="H222" s="39"/>
      <c r="I222" s="39"/>
      <c r="J222" s="39"/>
      <c r="K222" s="39"/>
      <c r="L222" s="39"/>
      <c r="M222" s="39"/>
      <c r="N222" s="39"/>
      <c r="O222" s="39"/>
      <c r="P222" s="39"/>
      <c r="Q222" s="39"/>
    </row>
    <row r="223" spans="2:17" x14ac:dyDescent="0.15">
      <c r="B223" s="15" t="s">
        <v>102</v>
      </c>
      <c r="C223" s="29"/>
      <c r="D223" s="29">
        <f t="shared" ref="D223:Q223" si="279">SUM(D220:D221)-C220</f>
        <v>7300.6600000000071</v>
      </c>
      <c r="E223" s="29">
        <f t="shared" si="279"/>
        <v>7305.9600000000028</v>
      </c>
      <c r="F223" s="29">
        <f t="shared" si="279"/>
        <v>6924.3400000000038</v>
      </c>
      <c r="G223" s="29">
        <f t="shared" si="279"/>
        <v>4769.786533333332</v>
      </c>
      <c r="H223" s="38">
        <f t="shared" si="279"/>
        <v>7786.2566666666753</v>
      </c>
      <c r="I223" s="38">
        <f t="shared" si="279"/>
        <v>7786.256666666668</v>
      </c>
      <c r="J223" s="38">
        <f t="shared" si="279"/>
        <v>8081.0091093333322</v>
      </c>
      <c r="K223" s="38">
        <f t="shared" si="279"/>
        <v>8097.7069333333275</v>
      </c>
      <c r="L223" s="38">
        <f t="shared" si="279"/>
        <v>8097.7069333333275</v>
      </c>
      <c r="M223" s="38">
        <f t="shared" si="279"/>
        <v>8404.2494737066736</v>
      </c>
      <c r="N223" s="38">
        <f t="shared" si="279"/>
        <v>8421.6152106666705</v>
      </c>
      <c r="O223" s="38">
        <f t="shared" si="279"/>
        <v>8421.6152106666705</v>
      </c>
      <c r="P223" s="38">
        <f t="shared" si="279"/>
        <v>8740.4194526549254</v>
      </c>
      <c r="Q223" s="38">
        <f t="shared" si="279"/>
        <v>8758.4798190933361</v>
      </c>
    </row>
    <row r="224" spans="2:17" x14ac:dyDescent="0.15">
      <c r="H224" s="39"/>
      <c r="I224" s="39"/>
      <c r="J224" s="39"/>
      <c r="K224" s="39"/>
      <c r="L224" s="39"/>
      <c r="M224" s="39"/>
      <c r="N224" s="39"/>
      <c r="O224" s="39"/>
      <c r="P224" s="39"/>
      <c r="Q224" s="39"/>
    </row>
    <row r="225" spans="1:19" x14ac:dyDescent="0.15">
      <c r="B225" s="6" t="s">
        <v>103</v>
      </c>
      <c r="C225" s="59">
        <f>BS_Input!C17</f>
        <v>1620.79</v>
      </c>
      <c r="D225" s="59">
        <f>BS_Input!D17</f>
        <v>2430.31</v>
      </c>
      <c r="E225" s="59">
        <f>BS_Input!E17</f>
        <v>2616.96</v>
      </c>
      <c r="F225" s="59">
        <f>BS_Input!F17</f>
        <v>3379.07</v>
      </c>
      <c r="G225" s="59">
        <f>BS_Input!G17</f>
        <v>44251.83</v>
      </c>
      <c r="H225" s="70">
        <f>AVERAGE(D225:F225)+AVERAGE(D226:F226)*(1+Assumption_Sheet!C22)</f>
        <v>3418.317066666667</v>
      </c>
      <c r="I225" s="39">
        <f t="shared" ref="I225:Q225" si="280">H225+I226</f>
        <v>4027.8541333333337</v>
      </c>
      <c r="J225" s="39">
        <f t="shared" si="280"/>
        <v>4637.3912</v>
      </c>
      <c r="K225" s="39">
        <f t="shared" si="280"/>
        <v>5271.3097493333335</v>
      </c>
      <c r="L225" s="39">
        <f t="shared" si="280"/>
        <v>5905.2282986666669</v>
      </c>
      <c r="M225" s="39">
        <f t="shared" si="280"/>
        <v>6539.1468480000003</v>
      </c>
      <c r="N225" s="39">
        <f t="shared" si="280"/>
        <v>7198.4221393066673</v>
      </c>
      <c r="O225" s="39">
        <f t="shared" si="280"/>
        <v>7857.6974306133343</v>
      </c>
      <c r="P225" s="39">
        <f t="shared" si="280"/>
        <v>8516.9727219200013</v>
      </c>
      <c r="Q225" s="39">
        <f t="shared" si="280"/>
        <v>9202.6190248789353</v>
      </c>
    </row>
    <row r="226" spans="1:19" x14ac:dyDescent="0.15">
      <c r="C226" s="13" t="s">
        <v>104</v>
      </c>
      <c r="D226" s="13">
        <f t="shared" ref="D226:G226" si="281">D225-C225</f>
        <v>809.52</v>
      </c>
      <c r="E226" s="13">
        <f t="shared" si="281"/>
        <v>186.65000000000009</v>
      </c>
      <c r="F226" s="13">
        <f t="shared" si="281"/>
        <v>762.11000000000013</v>
      </c>
      <c r="G226" s="13">
        <f t="shared" si="281"/>
        <v>40872.76</v>
      </c>
      <c r="H226" s="129">
        <f>H225-G225</f>
        <v>-40833.512933333332</v>
      </c>
      <c r="I226" s="39">
        <f>AVERAGE(D226:F226)*(1+Assumption_Sheet!C22)</f>
        <v>609.53706666666676</v>
      </c>
      <c r="J226" s="39">
        <f t="shared" ref="J226" si="282">I226</f>
        <v>609.53706666666676</v>
      </c>
      <c r="K226" s="39">
        <f>J226*(1+Assumption_Sheet!$C$22)</f>
        <v>633.91854933333343</v>
      </c>
      <c r="L226" s="39">
        <f t="shared" ref="L226:P226" si="283">K226</f>
        <v>633.91854933333343</v>
      </c>
      <c r="M226" s="39">
        <f t="shared" si="283"/>
        <v>633.91854933333343</v>
      </c>
      <c r="N226" s="39">
        <f>M226*(1+Assumption_Sheet!$C$22)</f>
        <v>659.27529130666676</v>
      </c>
      <c r="O226" s="39">
        <f t="shared" si="283"/>
        <v>659.27529130666676</v>
      </c>
      <c r="P226" s="39">
        <f t="shared" si="283"/>
        <v>659.27529130666676</v>
      </c>
      <c r="Q226" s="39">
        <f>P226*(1+Assumption_Sheet!$C$22)</f>
        <v>685.64630295893346</v>
      </c>
      <c r="R226" s="13"/>
      <c r="S226" s="13"/>
    </row>
    <row r="227" spans="1:19" ht="15" thickBot="1" x14ac:dyDescent="0.2">
      <c r="H227" s="39"/>
      <c r="I227" s="39"/>
      <c r="J227" s="39"/>
      <c r="K227" s="39"/>
      <c r="L227" s="39"/>
      <c r="M227" s="39"/>
      <c r="N227" s="39"/>
      <c r="O227" s="39"/>
      <c r="P227" s="39"/>
      <c r="Q227" s="39"/>
    </row>
    <row r="228" spans="1:19" ht="16" thickTop="1" thickBot="1" x14ac:dyDescent="0.2">
      <c r="B228" s="15" t="s">
        <v>108</v>
      </c>
      <c r="C228" s="31" t="s">
        <v>104</v>
      </c>
      <c r="D228" s="31">
        <f t="shared" ref="D228:Q228" si="284">D226+D223</f>
        <v>8110.1800000000076</v>
      </c>
      <c r="E228" s="31">
        <f t="shared" si="284"/>
        <v>7492.6100000000024</v>
      </c>
      <c r="F228" s="31">
        <f t="shared" si="284"/>
        <v>7686.4500000000044</v>
      </c>
      <c r="G228" s="31">
        <f t="shared" si="284"/>
        <v>45642.546533333334</v>
      </c>
      <c r="H228" s="74">
        <f t="shared" si="284"/>
        <v>-33047.256266666656</v>
      </c>
      <c r="I228" s="74">
        <f t="shared" si="284"/>
        <v>8395.7937333333357</v>
      </c>
      <c r="J228" s="74">
        <f t="shared" si="284"/>
        <v>8690.5461759999998</v>
      </c>
      <c r="K228" s="74">
        <f t="shared" si="284"/>
        <v>8731.6254826666609</v>
      </c>
      <c r="L228" s="74">
        <f t="shared" si="284"/>
        <v>8731.6254826666609</v>
      </c>
      <c r="M228" s="74">
        <f t="shared" si="284"/>
        <v>9038.168023040007</v>
      </c>
      <c r="N228" s="74">
        <f t="shared" si="284"/>
        <v>9080.8905019733375</v>
      </c>
      <c r="O228" s="74">
        <f t="shared" si="284"/>
        <v>9080.8905019733375</v>
      </c>
      <c r="P228" s="74">
        <f t="shared" si="284"/>
        <v>9399.6947439615924</v>
      </c>
      <c r="Q228" s="74">
        <f t="shared" si="284"/>
        <v>9444.1261220522701</v>
      </c>
    </row>
    <row r="229" spans="1:19" ht="15" thickTop="1" x14ac:dyDescent="0.15"/>
    <row r="230" spans="1:19" ht="21" x14ac:dyDescent="0.25">
      <c r="A230" s="10"/>
      <c r="B230" s="10"/>
      <c r="C230" s="10"/>
      <c r="D230" s="10"/>
      <c r="E230" s="10"/>
      <c r="F230" s="10"/>
      <c r="G230" s="10"/>
      <c r="H230" s="10"/>
      <c r="I230" s="10"/>
      <c r="J230" s="10"/>
      <c r="K230" s="10"/>
      <c r="L230" s="10"/>
      <c r="M230" s="10"/>
      <c r="N230" s="10"/>
      <c r="O230" s="10"/>
      <c r="P230" s="10"/>
      <c r="Q230" s="10"/>
    </row>
  </sheetData>
  <mergeCells count="1">
    <mergeCell ref="B11:B12"/>
  </mergeCells>
  <pageMargins left="0.7" right="0.7" top="0.75" bottom="0.75" header="0.3" footer="0.3"/>
  <pageSetup scale="40" fitToHeight="0" orientation="landscape" r:id="rId1"/>
  <ignoredErrors>
    <ignoredError sqref="J18:Q228" formula="1"/>
  </ignoredErrors>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B9EB7-C2AB-4E64-B56E-8496D745816A}">
  <sheetPr>
    <tabColor theme="8" tint="0.79998168889431442"/>
    <pageSetUpPr fitToPage="1"/>
  </sheetPr>
  <dimension ref="A1:Q24"/>
  <sheetViews>
    <sheetView showGridLines="0" workbookViewId="0">
      <pane xSplit="2" ySplit="12" topLeftCell="C13" activePane="bottomRight" state="frozen"/>
      <selection pane="topRight" activeCell="C1" sqref="C1"/>
      <selection pane="bottomLeft" activeCell="A13" sqref="A13"/>
      <selection pane="bottomRight"/>
    </sheetView>
  </sheetViews>
  <sheetFormatPr baseColWidth="10" defaultColWidth="15.6640625" defaultRowHeight="14" x14ac:dyDescent="0.15"/>
  <cols>
    <col min="1" max="1" width="2.6640625" style="3" customWidth="1"/>
    <col min="2" max="2" width="40.6640625" style="6" customWidth="1"/>
    <col min="3" max="16384" width="15.6640625" style="13"/>
  </cols>
  <sheetData>
    <row r="1" spans="1:17" s="1" customFormat="1" x14ac:dyDescent="0.15"/>
    <row r="2" spans="1:17" s="1" customFormat="1" x14ac:dyDescent="0.15"/>
    <row r="3" spans="1:17" s="1" customFormat="1" x14ac:dyDescent="0.15"/>
    <row r="4" spans="1:17" s="1" customFormat="1" x14ac:dyDescent="0.15"/>
    <row r="5" spans="1:17" s="1" customFormat="1" x14ac:dyDescent="0.15"/>
    <row r="6" spans="1:17" s="1" customFormat="1" x14ac:dyDescent="0.15"/>
    <row r="7" spans="1:17" s="1" customFormat="1" x14ac:dyDescent="0.15"/>
    <row r="8" spans="1:17" s="1" customFormat="1" ht="21" x14ac:dyDescent="0.25">
      <c r="A8" s="10" t="s">
        <v>359</v>
      </c>
      <c r="B8" s="10"/>
      <c r="C8" s="10"/>
      <c r="D8" s="10"/>
      <c r="E8" s="10"/>
      <c r="F8" s="10"/>
      <c r="G8" s="10"/>
      <c r="H8" s="10"/>
      <c r="I8" s="10"/>
      <c r="J8" s="10"/>
      <c r="K8" s="10"/>
      <c r="L8" s="10"/>
      <c r="M8" s="10"/>
      <c r="N8" s="10"/>
      <c r="O8" s="10"/>
      <c r="P8" s="10"/>
      <c r="Q8" s="10"/>
    </row>
    <row r="9" spans="1:17" s="1" customFormat="1" ht="21" x14ac:dyDescent="0.25">
      <c r="A9" s="10" t="s">
        <v>138</v>
      </c>
      <c r="B9" s="10"/>
      <c r="C9" s="10"/>
      <c r="D9" s="10"/>
      <c r="E9" s="10"/>
      <c r="F9" s="10"/>
      <c r="G9" s="10"/>
      <c r="H9" s="10"/>
      <c r="I9" s="10"/>
      <c r="J9" s="10"/>
      <c r="K9" s="10"/>
      <c r="L9" s="10"/>
      <c r="M9" s="10"/>
      <c r="N9" s="10"/>
      <c r="O9" s="10"/>
      <c r="P9" s="10"/>
      <c r="Q9" s="10"/>
    </row>
    <row r="10" spans="1:17" s="1" customFormat="1" x14ac:dyDescent="0.15"/>
    <row r="11" spans="1:17" s="18" customFormat="1" ht="18" x14ac:dyDescent="0.2">
      <c r="A11" s="3"/>
      <c r="B11" s="157" t="s">
        <v>0</v>
      </c>
      <c r="C11" s="5">
        <v>2020</v>
      </c>
      <c r="D11" s="5">
        <v>2021</v>
      </c>
      <c r="E11" s="5">
        <v>2022</v>
      </c>
      <c r="F11" s="5">
        <v>2023</v>
      </c>
      <c r="G11" s="5">
        <v>2024</v>
      </c>
      <c r="H11" s="35">
        <v>2025</v>
      </c>
      <c r="I11" s="35">
        <v>2026</v>
      </c>
      <c r="J11" s="35">
        <v>2027</v>
      </c>
      <c r="K11" s="35">
        <v>2028</v>
      </c>
      <c r="L11" s="35">
        <v>2029</v>
      </c>
      <c r="M11" s="35">
        <v>2030</v>
      </c>
      <c r="N11" s="35">
        <v>2031</v>
      </c>
      <c r="O11" s="35">
        <v>2032</v>
      </c>
      <c r="P11" s="35">
        <v>2033</v>
      </c>
      <c r="Q11" s="35">
        <v>2034</v>
      </c>
    </row>
    <row r="12" spans="1:17" s="25" customFormat="1" ht="18" x14ac:dyDescent="0.2">
      <c r="A12" s="3"/>
      <c r="B12" s="157"/>
      <c r="C12" s="4" t="s">
        <v>1</v>
      </c>
      <c r="D12" s="4" t="s">
        <v>1</v>
      </c>
      <c r="E12" s="4" t="s">
        <v>1</v>
      </c>
      <c r="F12" s="4" t="s">
        <v>1</v>
      </c>
      <c r="G12" s="4" t="s">
        <v>1</v>
      </c>
      <c r="H12" s="36" t="s">
        <v>71</v>
      </c>
      <c r="I12" s="36" t="s">
        <v>71</v>
      </c>
      <c r="J12" s="36" t="s">
        <v>71</v>
      </c>
      <c r="K12" s="36" t="s">
        <v>71</v>
      </c>
      <c r="L12" s="36" t="s">
        <v>71</v>
      </c>
      <c r="M12" s="36" t="s">
        <v>71</v>
      </c>
      <c r="N12" s="36" t="s">
        <v>71</v>
      </c>
      <c r="O12" s="36" t="s">
        <v>71</v>
      </c>
      <c r="P12" s="36" t="s">
        <v>71</v>
      </c>
      <c r="Q12" s="36" t="s">
        <v>71</v>
      </c>
    </row>
    <row r="13" spans="1:17" s="3" customFormat="1" x14ac:dyDescent="0.15">
      <c r="B13" s="6"/>
      <c r="H13" s="37"/>
      <c r="I13" s="37"/>
      <c r="J13" s="37"/>
      <c r="K13" s="37"/>
      <c r="L13" s="37"/>
      <c r="M13" s="37"/>
      <c r="N13" s="37"/>
      <c r="O13" s="37"/>
      <c r="P13" s="37"/>
      <c r="Q13" s="37"/>
    </row>
    <row r="14" spans="1:17" s="3" customFormat="1" x14ac:dyDescent="0.15">
      <c r="B14" s="6"/>
      <c r="D14" s="24"/>
      <c r="E14" s="24"/>
      <c r="F14" s="24"/>
      <c r="G14" s="24"/>
      <c r="H14" s="37"/>
      <c r="I14" s="37"/>
      <c r="J14" s="37"/>
      <c r="K14" s="37"/>
      <c r="L14" s="37"/>
      <c r="M14" s="37"/>
      <c r="N14" s="37"/>
      <c r="O14" s="37"/>
      <c r="P14" s="37"/>
      <c r="Q14" s="37"/>
    </row>
    <row r="15" spans="1:17" x14ac:dyDescent="0.15">
      <c r="B15" s="6" t="s">
        <v>132</v>
      </c>
      <c r="C15" s="59">
        <f>BS_Input!C32</f>
        <v>77792.639999999999</v>
      </c>
      <c r="D15" s="59">
        <f>BS_Input!D32</f>
        <v>52134.22</v>
      </c>
      <c r="E15" s="59">
        <f>BS_Input!E32</f>
        <v>57151.97</v>
      </c>
      <c r="F15" s="59">
        <f>BS_Input!F32</f>
        <v>114291.4</v>
      </c>
      <c r="G15" s="59">
        <f>BS_Input!G32</f>
        <v>137434.19</v>
      </c>
      <c r="H15" s="39">
        <f t="shared" ref="H15:Q15" si="0">G15*(1+5%)</f>
        <v>144305.8995</v>
      </c>
      <c r="I15" s="39">
        <f t="shared" si="0"/>
        <v>151521.194475</v>
      </c>
      <c r="J15" s="39">
        <f t="shared" si="0"/>
        <v>159097.25419875002</v>
      </c>
      <c r="K15" s="39">
        <f t="shared" si="0"/>
        <v>167052.11690868752</v>
      </c>
      <c r="L15" s="39">
        <f t="shared" si="0"/>
        <v>175404.7227541219</v>
      </c>
      <c r="M15" s="39">
        <f t="shared" si="0"/>
        <v>184174.95889182802</v>
      </c>
      <c r="N15" s="39">
        <f t="shared" si="0"/>
        <v>193383.70683641944</v>
      </c>
      <c r="O15" s="39">
        <f t="shared" si="0"/>
        <v>203052.89217824044</v>
      </c>
      <c r="P15" s="39">
        <f t="shared" si="0"/>
        <v>213205.53678715246</v>
      </c>
      <c r="Q15" s="39">
        <f t="shared" si="0"/>
        <v>223865.81362651009</v>
      </c>
    </row>
    <row r="16" spans="1:17" x14ac:dyDescent="0.15">
      <c r="B16" s="6" t="s">
        <v>133</v>
      </c>
      <c r="C16" s="59">
        <f>BS_Input!C30</f>
        <v>976.3</v>
      </c>
      <c r="D16" s="59">
        <f>BS_Input!D30</f>
        <v>654.04</v>
      </c>
      <c r="E16" s="59">
        <f>BS_Input!E30</f>
        <v>792.79</v>
      </c>
      <c r="F16" s="59">
        <f>BS_Input!F30</f>
        <v>960.95</v>
      </c>
      <c r="G16" s="59">
        <f>BS_Input!G30</f>
        <v>1096.51</v>
      </c>
      <c r="H16" s="39">
        <f t="shared" ref="H16:Q16" si="1">G16*(1+5%)</f>
        <v>1151.3355000000001</v>
      </c>
      <c r="I16" s="39">
        <f t="shared" si="1"/>
        <v>1208.9022750000001</v>
      </c>
      <c r="J16" s="39">
        <f t="shared" si="1"/>
        <v>1269.3473887500002</v>
      </c>
      <c r="K16" s="39">
        <f t="shared" si="1"/>
        <v>1332.8147581875003</v>
      </c>
      <c r="L16" s="39">
        <f t="shared" si="1"/>
        <v>1399.4554960968753</v>
      </c>
      <c r="M16" s="39">
        <f t="shared" si="1"/>
        <v>1469.4282709017191</v>
      </c>
      <c r="N16" s="39">
        <f t="shared" si="1"/>
        <v>1542.8996844468052</v>
      </c>
      <c r="O16" s="39">
        <f t="shared" si="1"/>
        <v>1620.0446686691455</v>
      </c>
      <c r="P16" s="39">
        <f t="shared" si="1"/>
        <v>1701.0469021026029</v>
      </c>
      <c r="Q16" s="39">
        <f t="shared" si="1"/>
        <v>1786.099247207733</v>
      </c>
    </row>
    <row r="17" spans="1:17" x14ac:dyDescent="0.15">
      <c r="B17" s="6" t="s">
        <v>134</v>
      </c>
      <c r="C17" s="59">
        <f>SUM(BS_Input!C65:C66)</f>
        <v>17046.68</v>
      </c>
      <c r="D17" s="59">
        <f>SUM(BS_Input!D65:D66)</f>
        <v>58229.72</v>
      </c>
      <c r="E17" s="59">
        <f>SUM(BS_Input!E65:E66)</f>
        <v>69088.930000000008</v>
      </c>
      <c r="F17" s="59">
        <f>SUM(BS_Input!F65:F66)</f>
        <v>85215.47</v>
      </c>
      <c r="G17" s="59">
        <f>SUM(BS_Input!G65:G66)</f>
        <v>99765.1</v>
      </c>
      <c r="H17" s="39">
        <f t="shared" ref="H17:Q17" si="2">G17*(1+5%)</f>
        <v>104753.35500000001</v>
      </c>
      <c r="I17" s="39">
        <f t="shared" si="2"/>
        <v>109991.02275000002</v>
      </c>
      <c r="J17" s="39">
        <f t="shared" si="2"/>
        <v>115490.57388750002</v>
      </c>
      <c r="K17" s="39">
        <f t="shared" si="2"/>
        <v>121265.10258187503</v>
      </c>
      <c r="L17" s="39">
        <f t="shared" si="2"/>
        <v>127328.35771096879</v>
      </c>
      <c r="M17" s="39">
        <f t="shared" si="2"/>
        <v>133694.77559651723</v>
      </c>
      <c r="N17" s="39">
        <f t="shared" si="2"/>
        <v>140379.51437634308</v>
      </c>
      <c r="O17" s="39">
        <f t="shared" si="2"/>
        <v>147398.49009516023</v>
      </c>
      <c r="P17" s="39">
        <f t="shared" si="2"/>
        <v>154768.41459991824</v>
      </c>
      <c r="Q17" s="39">
        <f t="shared" si="2"/>
        <v>162506.83532991415</v>
      </c>
    </row>
    <row r="18" spans="1:17" x14ac:dyDescent="0.15">
      <c r="H18" s="39"/>
      <c r="I18" s="39"/>
      <c r="J18" s="39"/>
      <c r="K18" s="39"/>
      <c r="L18" s="39"/>
      <c r="M18" s="39"/>
      <c r="N18" s="39"/>
      <c r="O18" s="39"/>
      <c r="P18" s="39"/>
      <c r="Q18" s="39"/>
    </row>
    <row r="19" spans="1:17" x14ac:dyDescent="0.15">
      <c r="B19" s="15" t="s">
        <v>135</v>
      </c>
      <c r="C19" s="17">
        <f t="shared" ref="C19:Q19" si="3">SUM(C15:C16)-C17</f>
        <v>61722.26</v>
      </c>
      <c r="D19" s="17">
        <f t="shared" si="3"/>
        <v>-5441.4599999999991</v>
      </c>
      <c r="E19" s="17">
        <f t="shared" si="3"/>
        <v>-11144.170000000006</v>
      </c>
      <c r="F19" s="17">
        <f t="shared" si="3"/>
        <v>30036.87999999999</v>
      </c>
      <c r="G19" s="17">
        <f t="shared" si="3"/>
        <v>38765.600000000006</v>
      </c>
      <c r="H19" s="76">
        <f t="shared" si="3"/>
        <v>40703.879999999976</v>
      </c>
      <c r="I19" s="76">
        <f t="shared" si="3"/>
        <v>42739.073999999979</v>
      </c>
      <c r="J19" s="76">
        <f t="shared" si="3"/>
        <v>44876.027699999991</v>
      </c>
      <c r="K19" s="76">
        <f t="shared" si="3"/>
        <v>47119.82908499999</v>
      </c>
      <c r="L19" s="76">
        <f t="shared" si="3"/>
        <v>49475.82053924998</v>
      </c>
      <c r="M19" s="76">
        <f t="shared" si="3"/>
        <v>51949.611566212523</v>
      </c>
      <c r="N19" s="76">
        <f t="shared" si="3"/>
        <v>54547.092144523165</v>
      </c>
      <c r="O19" s="76">
        <f t="shared" si="3"/>
        <v>57274.446751749347</v>
      </c>
      <c r="P19" s="76">
        <f t="shared" si="3"/>
        <v>60138.169089336821</v>
      </c>
      <c r="Q19" s="76">
        <f t="shared" si="3"/>
        <v>63145.077543803665</v>
      </c>
    </row>
    <row r="20" spans="1:17" x14ac:dyDescent="0.15">
      <c r="C20" s="34"/>
    </row>
    <row r="21" spans="1:17" s="1" customFormat="1" ht="21" x14ac:dyDescent="0.25">
      <c r="A21" s="10"/>
      <c r="B21" s="10"/>
      <c r="C21" s="10"/>
      <c r="D21" s="10"/>
      <c r="E21" s="10"/>
      <c r="F21" s="10"/>
      <c r="G21" s="10"/>
      <c r="H21" s="10"/>
      <c r="I21" s="10"/>
      <c r="J21" s="10"/>
      <c r="K21" s="10"/>
      <c r="L21" s="10"/>
      <c r="M21" s="10"/>
      <c r="N21" s="10"/>
      <c r="O21" s="10"/>
      <c r="P21" s="10"/>
      <c r="Q21" s="10"/>
    </row>
    <row r="22" spans="1:17" x14ac:dyDescent="0.15">
      <c r="C22" s="24"/>
      <c r="D22" s="24"/>
      <c r="E22" s="24"/>
      <c r="F22" s="24"/>
      <c r="G22" s="24"/>
      <c r="H22" s="24"/>
      <c r="I22" s="24"/>
      <c r="J22" s="24"/>
      <c r="K22" s="24"/>
      <c r="L22" s="24"/>
      <c r="M22" s="24"/>
      <c r="N22" s="24"/>
      <c r="O22" s="24"/>
      <c r="P22" s="24"/>
      <c r="Q22" s="24"/>
    </row>
    <row r="23" spans="1:17" x14ac:dyDescent="0.15">
      <c r="C23" s="24"/>
      <c r="D23" s="24"/>
      <c r="E23" s="24"/>
      <c r="F23" s="24"/>
      <c r="G23" s="24"/>
      <c r="H23" s="24"/>
      <c r="I23" s="24"/>
      <c r="J23" s="24"/>
      <c r="K23" s="24"/>
      <c r="L23" s="24"/>
      <c r="M23" s="24"/>
      <c r="N23" s="24"/>
      <c r="O23" s="24"/>
      <c r="P23" s="24"/>
      <c r="Q23" s="24"/>
    </row>
    <row r="24" spans="1:17" x14ac:dyDescent="0.15">
      <c r="C24" s="24"/>
      <c r="D24" s="24"/>
      <c r="E24" s="24"/>
      <c r="F24" s="24"/>
      <c r="G24" s="24"/>
      <c r="H24" s="24"/>
      <c r="I24" s="24"/>
      <c r="J24" s="24"/>
      <c r="K24" s="24"/>
      <c r="L24" s="24"/>
      <c r="M24" s="24"/>
      <c r="N24" s="24"/>
      <c r="O24" s="24"/>
      <c r="P24" s="24"/>
      <c r="Q24" s="24"/>
    </row>
  </sheetData>
  <mergeCells count="1">
    <mergeCell ref="B11:B12"/>
  </mergeCells>
  <pageMargins left="0.7" right="0.7" top="0.75" bottom="0.75" header="0.3" footer="0.3"/>
  <pageSetup scale="40" fitToHeight="0" orientation="landscape" r:id="rId1"/>
  <ignoredErrors>
    <ignoredError sqref="C17:G17"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E91B-2EE2-4A72-94CA-5F0FC9E2A688}">
  <sheetPr>
    <tabColor theme="8" tint="0.79998168889431442"/>
    <pageSetUpPr fitToPage="1"/>
  </sheetPr>
  <dimension ref="A1:Q88"/>
  <sheetViews>
    <sheetView showGridLines="0" workbookViewId="0">
      <pane xSplit="2" ySplit="12" topLeftCell="C13" activePane="bottomRight" state="frozen"/>
      <selection pane="topRight" activeCell="C1" sqref="C1"/>
      <selection pane="bottomLeft" activeCell="A13" sqref="A13"/>
      <selection pane="bottomRight"/>
    </sheetView>
  </sheetViews>
  <sheetFormatPr baseColWidth="10" defaultColWidth="15.6640625" defaultRowHeight="14" x14ac:dyDescent="0.15"/>
  <cols>
    <col min="1" max="1" width="2.6640625" style="3" customWidth="1"/>
    <col min="2" max="2" width="40.6640625" style="6" customWidth="1"/>
    <col min="3" max="16384" width="15.6640625" style="13"/>
  </cols>
  <sheetData>
    <row r="1" spans="1:17" s="1" customFormat="1" x14ac:dyDescent="0.15"/>
    <row r="2" spans="1:17" s="1" customFormat="1" x14ac:dyDescent="0.15"/>
    <row r="3" spans="1:17" s="1" customFormat="1" x14ac:dyDescent="0.15"/>
    <row r="4" spans="1:17" s="1" customFormat="1" x14ac:dyDescent="0.15"/>
    <row r="5" spans="1:17" s="1" customFormat="1" x14ac:dyDescent="0.15"/>
    <row r="6" spans="1:17" s="1" customFormat="1" x14ac:dyDescent="0.15"/>
    <row r="7" spans="1:17" s="1" customFormat="1" x14ac:dyDescent="0.15"/>
    <row r="8" spans="1:17" s="1" customFormat="1" ht="21" x14ac:dyDescent="0.25">
      <c r="A8" s="10" t="s">
        <v>359</v>
      </c>
      <c r="B8" s="10"/>
      <c r="C8" s="10"/>
      <c r="D8" s="10"/>
      <c r="E8" s="10"/>
      <c r="F8" s="10"/>
      <c r="G8" s="10"/>
      <c r="H8" s="10"/>
      <c r="I8" s="10"/>
      <c r="J8" s="10"/>
      <c r="K8" s="10"/>
      <c r="L8" s="10"/>
      <c r="M8" s="10"/>
      <c r="N8" s="10"/>
      <c r="O8" s="10"/>
      <c r="P8" s="10"/>
      <c r="Q8" s="10"/>
    </row>
    <row r="9" spans="1:17" s="1" customFormat="1" ht="21" x14ac:dyDescent="0.25">
      <c r="A9" s="10" t="s">
        <v>150</v>
      </c>
      <c r="B9" s="10"/>
      <c r="C9" s="10"/>
      <c r="D9" s="10"/>
      <c r="E9" s="10"/>
      <c r="F9" s="10"/>
      <c r="G9" s="10"/>
      <c r="H9" s="10"/>
      <c r="I9" s="10"/>
      <c r="J9" s="10"/>
      <c r="K9" s="10"/>
      <c r="L9" s="10"/>
      <c r="M9" s="10"/>
      <c r="N9" s="10"/>
      <c r="O9" s="10"/>
      <c r="P9" s="10"/>
      <c r="Q9" s="10"/>
    </row>
    <row r="10" spans="1:17" s="1" customFormat="1" x14ac:dyDescent="0.15"/>
    <row r="11" spans="1:17" s="18" customFormat="1" ht="18" x14ac:dyDescent="0.2">
      <c r="A11" s="3"/>
      <c r="B11" s="157" t="s">
        <v>0</v>
      </c>
      <c r="C11" s="5">
        <v>2020</v>
      </c>
      <c r="D11" s="5">
        <v>2021</v>
      </c>
      <c r="E11" s="5">
        <v>2022</v>
      </c>
      <c r="F11" s="5">
        <v>2023</v>
      </c>
      <c r="G11" s="5">
        <v>2024</v>
      </c>
      <c r="H11" s="35">
        <v>2025</v>
      </c>
      <c r="I11" s="35">
        <v>2026</v>
      </c>
      <c r="J11" s="35">
        <v>2027</v>
      </c>
      <c r="K11" s="35">
        <v>2028</v>
      </c>
      <c r="L11" s="35">
        <v>2029</v>
      </c>
      <c r="M11" s="35">
        <v>2030</v>
      </c>
      <c r="N11" s="35">
        <v>2031</v>
      </c>
      <c r="O11" s="35">
        <v>2032</v>
      </c>
      <c r="P11" s="35">
        <v>2033</v>
      </c>
      <c r="Q11" s="35">
        <v>2034</v>
      </c>
    </row>
    <row r="12" spans="1:17" s="25" customFormat="1" ht="18" x14ac:dyDescent="0.2">
      <c r="A12" s="3"/>
      <c r="B12" s="157"/>
      <c r="C12" s="4" t="s">
        <v>1</v>
      </c>
      <c r="D12" s="4" t="s">
        <v>1</v>
      </c>
      <c r="E12" s="4" t="s">
        <v>1</v>
      </c>
      <c r="F12" s="4" t="s">
        <v>1</v>
      </c>
      <c r="G12" s="4" t="s">
        <v>1</v>
      </c>
      <c r="H12" s="36" t="s">
        <v>71</v>
      </c>
      <c r="I12" s="36" t="s">
        <v>71</v>
      </c>
      <c r="J12" s="36" t="s">
        <v>71</v>
      </c>
      <c r="K12" s="36" t="s">
        <v>71</v>
      </c>
      <c r="L12" s="36" t="s">
        <v>71</v>
      </c>
      <c r="M12" s="36" t="s">
        <v>71</v>
      </c>
      <c r="N12" s="36" t="s">
        <v>71</v>
      </c>
      <c r="O12" s="36" t="s">
        <v>71</v>
      </c>
      <c r="P12" s="36" t="s">
        <v>71</v>
      </c>
      <c r="Q12" s="36" t="s">
        <v>71</v>
      </c>
    </row>
    <row r="13" spans="1:17" s="3" customFormat="1" x14ac:dyDescent="0.15">
      <c r="B13" s="6"/>
      <c r="H13" s="37"/>
      <c r="I13" s="37"/>
      <c r="J13" s="37"/>
      <c r="K13" s="37"/>
      <c r="L13" s="37"/>
      <c r="M13" s="37"/>
      <c r="N13" s="37"/>
      <c r="O13" s="37"/>
      <c r="P13" s="37"/>
      <c r="Q13" s="37"/>
    </row>
    <row r="14" spans="1:17" x14ac:dyDescent="0.15">
      <c r="B14" s="18" t="s">
        <v>139</v>
      </c>
      <c r="H14" s="39"/>
      <c r="I14" s="39"/>
      <c r="J14" s="39"/>
      <c r="K14" s="39"/>
      <c r="L14" s="39"/>
      <c r="M14" s="39"/>
      <c r="N14" s="39"/>
      <c r="O14" s="39"/>
      <c r="P14" s="39"/>
      <c r="Q14" s="39"/>
    </row>
    <row r="15" spans="1:17" x14ac:dyDescent="0.15">
      <c r="B15" s="15" t="s">
        <v>140</v>
      </c>
      <c r="H15" s="39"/>
      <c r="I15" s="39"/>
      <c r="J15" s="39"/>
      <c r="K15" s="39"/>
      <c r="L15" s="39"/>
      <c r="M15" s="39"/>
      <c r="N15" s="39"/>
      <c r="O15" s="39"/>
      <c r="P15" s="39"/>
      <c r="Q15" s="39"/>
    </row>
    <row r="16" spans="1:17" x14ac:dyDescent="0.15">
      <c r="H16" s="39"/>
      <c r="I16" s="39"/>
      <c r="J16" s="39"/>
      <c r="K16" s="39"/>
      <c r="L16" s="39"/>
      <c r="M16" s="39"/>
      <c r="N16" s="39"/>
      <c r="O16" s="39"/>
      <c r="P16" s="39"/>
      <c r="Q16" s="39"/>
    </row>
    <row r="17" spans="2:17" x14ac:dyDescent="0.15">
      <c r="B17" s="6" t="s">
        <v>33</v>
      </c>
      <c r="C17" s="59">
        <f>VLOOKUP($B17,BS_Input!$B$15:$G$26,COUNTBLANK(BS_Items!$B$10:C$10),FALSE)</f>
        <v>0.32</v>
      </c>
      <c r="D17" s="59">
        <f>VLOOKUP($B17,BS_Input!$B$15:$G$26,COUNTBLANK(BS_Items!$B$10:D$10),FALSE)</f>
        <v>0</v>
      </c>
      <c r="E17" s="59">
        <f>VLOOKUP($B17,BS_Input!$B$15:$G$26,COUNTBLANK(BS_Items!$B$10:E$10),FALSE)</f>
        <v>0</v>
      </c>
      <c r="F17" s="59">
        <f>VLOOKUP($B17,BS_Input!$B$15:$G$26,COUNTBLANK(BS_Items!$B$10:F$10),FALSE)</f>
        <v>0</v>
      </c>
      <c r="G17" s="59">
        <f>VLOOKUP($B17,BS_Input!$B$15:$G$26,COUNTBLANK(BS_Items!$B$10:G$10),FALSE)</f>
        <v>0</v>
      </c>
      <c r="H17" s="39">
        <f>H18*Revenue_Build_Up!H$14</f>
        <v>0.17714762535349235</v>
      </c>
      <c r="I17" s="39">
        <f>I18*Revenue_Build_Up!I$14</f>
        <v>0.20815535993577175</v>
      </c>
      <c r="J17" s="39">
        <f>J18*Revenue_Build_Up!J$14</f>
        <v>0.24475923424987187</v>
      </c>
      <c r="K17" s="39">
        <f>K18*Revenue_Build_Up!K$14</f>
        <v>0.28798749355739739</v>
      </c>
      <c r="L17" s="39">
        <f>L18*Revenue_Build_Up!L$14</f>
        <v>0.33905955255708148</v>
      </c>
      <c r="M17" s="39">
        <f>M18*Revenue_Build_Up!M$14</f>
        <v>0.3994218516775736</v>
      </c>
      <c r="N17" s="39">
        <f>N18*Revenue_Build_Up!N$14</f>
        <v>0.47079048801211393</v>
      </c>
      <c r="O17" s="39">
        <f>O18*Revenue_Build_Up!O$14</f>
        <v>0.5552019091768341</v>
      </c>
      <c r="P17" s="39">
        <f>P18*Revenue_Build_Up!P$14</f>
        <v>0.65507320480137232</v>
      </c>
      <c r="Q17" s="39">
        <f>Q18*Revenue_Build_Up!Q$14</f>
        <v>0.77327382418081358</v>
      </c>
    </row>
    <row r="18" spans="2:17" x14ac:dyDescent="0.15">
      <c r="C18" s="62">
        <f>C17/Revenue_Build_Up!C$14</f>
        <v>1.4132317443470841E-6</v>
      </c>
      <c r="D18" s="62">
        <f>D17/Revenue_Build_Up!D$14</f>
        <v>0</v>
      </c>
      <c r="E18" s="62">
        <f>E17/Revenue_Build_Up!E$14</f>
        <v>0</v>
      </c>
      <c r="F18" s="62">
        <f>F17/Revenue_Build_Up!F$14</f>
        <v>0</v>
      </c>
      <c r="G18" s="62">
        <f>G17/Revenue_Build_Up!G$14</f>
        <v>0</v>
      </c>
      <c r="H18" s="41">
        <f>AVERAGE(C18,E18:G18)</f>
        <v>3.5330793608677102E-7</v>
      </c>
      <c r="I18" s="41">
        <f>H18</f>
        <v>3.5330793608677102E-7</v>
      </c>
      <c r="J18" s="41">
        <f t="shared" ref="J18:Q18" si="0">I18</f>
        <v>3.5330793608677102E-7</v>
      </c>
      <c r="K18" s="41">
        <f t="shared" si="0"/>
        <v>3.5330793608677102E-7</v>
      </c>
      <c r="L18" s="41">
        <f t="shared" si="0"/>
        <v>3.5330793608677102E-7</v>
      </c>
      <c r="M18" s="41">
        <f t="shared" si="0"/>
        <v>3.5330793608677102E-7</v>
      </c>
      <c r="N18" s="41">
        <f t="shared" si="0"/>
        <v>3.5330793608677102E-7</v>
      </c>
      <c r="O18" s="41">
        <f t="shared" si="0"/>
        <v>3.5330793608677102E-7</v>
      </c>
      <c r="P18" s="41">
        <f t="shared" si="0"/>
        <v>3.5330793608677102E-7</v>
      </c>
      <c r="Q18" s="41">
        <f t="shared" si="0"/>
        <v>3.5330793608677102E-7</v>
      </c>
    </row>
    <row r="19" spans="2:17" x14ac:dyDescent="0.15">
      <c r="H19" s="39"/>
      <c r="I19" s="39"/>
      <c r="J19" s="39"/>
      <c r="K19" s="39"/>
      <c r="L19" s="39"/>
      <c r="M19" s="39"/>
      <c r="N19" s="39"/>
      <c r="O19" s="39"/>
      <c r="P19" s="39"/>
      <c r="Q19" s="39"/>
    </row>
    <row r="20" spans="2:17" x14ac:dyDescent="0.15">
      <c r="B20" s="6" t="s">
        <v>34</v>
      </c>
      <c r="C20" s="59">
        <f>VLOOKUP($B20,BS_Input!$B$15:$G$26,COUNTBLANK(BS_Items!$B$10:C$10),FALSE)</f>
        <v>18.14</v>
      </c>
      <c r="D20" s="59">
        <f>VLOOKUP($B20,BS_Input!$B$15:$G$26,COUNTBLANK(BS_Items!$B$10:D$10),FALSE)</f>
        <v>0</v>
      </c>
      <c r="E20" s="59">
        <f>VLOOKUP($B20,BS_Input!$B$15:$G$26,COUNTBLANK(BS_Items!$B$10:E$10),FALSE)</f>
        <v>0</v>
      </c>
      <c r="F20" s="59">
        <f>VLOOKUP($B20,BS_Input!$B$15:$G$26,COUNTBLANK(BS_Items!$B$10:F$10),FALSE)</f>
        <v>0</v>
      </c>
      <c r="G20" s="59">
        <f>VLOOKUP($B20,BS_Input!$B$15:$G$26,COUNTBLANK(BS_Items!$B$10:G$10),FALSE)</f>
        <v>0</v>
      </c>
      <c r="H20" s="39">
        <f>H21*Revenue_Build_Up!H$14</f>
        <v>10.042056012226098</v>
      </c>
      <c r="I20" s="39">
        <f>I21*Revenue_Build_Up!I$14</f>
        <v>11.799806966359062</v>
      </c>
      <c r="J20" s="39">
        <f>J21*Revenue_Build_Up!J$14</f>
        <v>13.874789091539611</v>
      </c>
      <c r="K20" s="39">
        <f>K21*Revenue_Build_Up!K$14</f>
        <v>16.325291041034962</v>
      </c>
      <c r="L20" s="39">
        <f>L21*Revenue_Build_Up!L$14</f>
        <v>19.220438385579556</v>
      </c>
      <c r="M20" s="39">
        <f>M21*Revenue_Build_Up!M$14</f>
        <v>22.642226216972453</v>
      </c>
      <c r="N20" s="39">
        <f>N21*Revenue_Build_Up!N$14</f>
        <v>26.68793578918671</v>
      </c>
      <c r="O20" s="39">
        <f>O21*Revenue_Build_Up!O$14</f>
        <v>31.473008226461783</v>
      </c>
      <c r="P20" s="39">
        <f>P21*Revenue_Build_Up!P$14</f>
        <v>37.134462297177791</v>
      </c>
      <c r="Q20" s="39">
        <f>Q21*Revenue_Build_Up!Q$14</f>
        <v>43.834959908249871</v>
      </c>
    </row>
    <row r="21" spans="2:17" x14ac:dyDescent="0.15">
      <c r="C21" s="62">
        <f>C20/Revenue_Build_Up!C$14</f>
        <v>8.0112574507675328E-5</v>
      </c>
      <c r="D21" s="62">
        <f>D20/Revenue_Build_Up!D$14</f>
        <v>0</v>
      </c>
      <c r="E21" s="62">
        <f>E20/Revenue_Build_Up!E$14</f>
        <v>0</v>
      </c>
      <c r="F21" s="62">
        <f>F20/Revenue_Build_Up!F$14</f>
        <v>0</v>
      </c>
      <c r="G21" s="62">
        <f>G20/Revenue_Build_Up!G$14</f>
        <v>0</v>
      </c>
      <c r="H21" s="41">
        <f>AVERAGE(C21,E21:G21)</f>
        <v>2.0028143626918832E-5</v>
      </c>
      <c r="I21" s="41">
        <f>H21</f>
        <v>2.0028143626918832E-5</v>
      </c>
      <c r="J21" s="41">
        <f t="shared" ref="J21:Q21" si="1">I21</f>
        <v>2.0028143626918832E-5</v>
      </c>
      <c r="K21" s="41">
        <f t="shared" si="1"/>
        <v>2.0028143626918832E-5</v>
      </c>
      <c r="L21" s="41">
        <f t="shared" si="1"/>
        <v>2.0028143626918832E-5</v>
      </c>
      <c r="M21" s="41">
        <f t="shared" si="1"/>
        <v>2.0028143626918832E-5</v>
      </c>
      <c r="N21" s="41">
        <f t="shared" si="1"/>
        <v>2.0028143626918832E-5</v>
      </c>
      <c r="O21" s="41">
        <f t="shared" si="1"/>
        <v>2.0028143626918832E-5</v>
      </c>
      <c r="P21" s="41">
        <f t="shared" si="1"/>
        <v>2.0028143626918832E-5</v>
      </c>
      <c r="Q21" s="41">
        <f t="shared" si="1"/>
        <v>2.0028143626918832E-5</v>
      </c>
    </row>
    <row r="22" spans="2:17" x14ac:dyDescent="0.15">
      <c r="H22" s="39"/>
      <c r="I22" s="39"/>
      <c r="J22" s="39"/>
      <c r="K22" s="39"/>
      <c r="L22" s="39"/>
      <c r="M22" s="39"/>
      <c r="N22" s="39"/>
      <c r="O22" s="39"/>
      <c r="P22" s="39"/>
      <c r="Q22" s="39"/>
    </row>
    <row r="23" spans="2:17" x14ac:dyDescent="0.15">
      <c r="B23" s="6" t="s">
        <v>35</v>
      </c>
      <c r="C23" s="59">
        <f>VLOOKUP($B23,BS_Input!$B$15:$G$26,COUNTBLANK(BS_Items!$B$10:C$10),FALSE)</f>
        <v>8.06</v>
      </c>
      <c r="D23" s="59">
        <f>VLOOKUP($B23,BS_Input!$B$15:$G$26,COUNTBLANK(BS_Items!$B$10:D$10),FALSE)</f>
        <v>27.28</v>
      </c>
      <c r="E23" s="59">
        <f>VLOOKUP($B23,BS_Input!$B$15:$G$26,COUNTBLANK(BS_Items!$B$10:E$10),FALSE)</f>
        <v>34.36</v>
      </c>
      <c r="F23" s="59">
        <f>VLOOKUP($B23,BS_Input!$B$15:$G$26,COUNTBLANK(BS_Items!$B$10:F$10),FALSE)</f>
        <v>94.4</v>
      </c>
      <c r="G23" s="59">
        <f>VLOOKUP($B23,BS_Input!$B$15:$G$26,COUNTBLANK(BS_Items!$B$10:G$10),FALSE)</f>
        <v>117.19</v>
      </c>
      <c r="H23" s="39">
        <f>H24*Revenue_Build_Up!H$14</f>
        <v>95.202096109215503</v>
      </c>
      <c r="I23" s="39">
        <f>I24*Revenue_Build_Up!I$14</f>
        <v>111.8661711818595</v>
      </c>
      <c r="J23" s="39">
        <f>J24*Revenue_Build_Up!J$14</f>
        <v>131.5377053244531</v>
      </c>
      <c r="K23" s="39">
        <f>K24*Revenue_Build_Up!K$14</f>
        <v>154.76929473479345</v>
      </c>
      <c r="L23" s="39">
        <f>L24*Revenue_Build_Up!L$14</f>
        <v>182.21627326290613</v>
      </c>
      <c r="M23" s="39">
        <f>M24*Revenue_Build_Up!M$14</f>
        <v>214.65598218237437</v>
      </c>
      <c r="N23" s="39">
        <f>N24*Revenue_Build_Up!N$14</f>
        <v>253.01068076750337</v>
      </c>
      <c r="O23" s="39">
        <f>O24*Revenue_Build_Up!O$14</f>
        <v>298.37479002046848</v>
      </c>
      <c r="P23" s="39">
        <f>P24*Revenue_Build_Up!P$14</f>
        <v>352.04729432655972</v>
      </c>
      <c r="Q23" s="39">
        <f>Q24*Revenue_Build_Up!Q$14</f>
        <v>415.5702837195899</v>
      </c>
    </row>
    <row r="24" spans="2:17" x14ac:dyDescent="0.15">
      <c r="C24" s="62">
        <f>C23/Revenue_Build_Up!C$14</f>
        <v>3.5595774560742185E-5</v>
      </c>
      <c r="D24" s="62">
        <f>D23/Revenue_Build_Up!D$14</f>
        <v>3.5124869038187615E-4</v>
      </c>
      <c r="E24" s="62">
        <f>E23/Revenue_Build_Up!E$14</f>
        <v>1.829046536565174E-4</v>
      </c>
      <c r="F24" s="62">
        <f>F23/Revenue_Build_Up!F$14</f>
        <v>2.6655575989300949E-4</v>
      </c>
      <c r="G24" s="62">
        <f>G23/Revenue_Build_Up!G$14</f>
        <v>2.7443818321675227E-4</v>
      </c>
      <c r="H24" s="41">
        <f>AVERAGE(C24,E24:G24)</f>
        <v>1.8987359283175533E-4</v>
      </c>
      <c r="I24" s="41">
        <f>H24</f>
        <v>1.8987359283175533E-4</v>
      </c>
      <c r="J24" s="41">
        <f t="shared" ref="J24:Q24" si="2">I24</f>
        <v>1.8987359283175533E-4</v>
      </c>
      <c r="K24" s="41">
        <f t="shared" si="2"/>
        <v>1.8987359283175533E-4</v>
      </c>
      <c r="L24" s="41">
        <f t="shared" si="2"/>
        <v>1.8987359283175533E-4</v>
      </c>
      <c r="M24" s="41">
        <f t="shared" si="2"/>
        <v>1.8987359283175533E-4</v>
      </c>
      <c r="N24" s="41">
        <f t="shared" si="2"/>
        <v>1.8987359283175533E-4</v>
      </c>
      <c r="O24" s="41">
        <f t="shared" si="2"/>
        <v>1.8987359283175533E-4</v>
      </c>
      <c r="P24" s="41">
        <f t="shared" si="2"/>
        <v>1.8987359283175533E-4</v>
      </c>
      <c r="Q24" s="41">
        <f t="shared" si="2"/>
        <v>1.8987359283175533E-4</v>
      </c>
    </row>
    <row r="25" spans="2:17" x14ac:dyDescent="0.15">
      <c r="H25" s="39"/>
      <c r="I25" s="39"/>
      <c r="J25" s="39"/>
      <c r="K25" s="39"/>
      <c r="L25" s="39"/>
      <c r="M25" s="39"/>
      <c r="N25" s="39"/>
      <c r="O25" s="39"/>
      <c r="P25" s="39"/>
      <c r="Q25" s="39"/>
    </row>
    <row r="26" spans="2:17" x14ac:dyDescent="0.15">
      <c r="B26" s="6" t="s">
        <v>36</v>
      </c>
      <c r="C26" s="59">
        <f>VLOOKUP($B26,BS_Input!$B$15:$G$26,COUNTBLANK(BS_Items!$B$10:C$10),FALSE)</f>
        <v>6672.47</v>
      </c>
      <c r="D26" s="59">
        <f>VLOOKUP($B26,BS_Input!$B$15:$G$26,COUNTBLANK(BS_Items!$B$10:D$10),FALSE)</f>
        <v>7633.75</v>
      </c>
      <c r="E26" s="59">
        <f>VLOOKUP($B26,BS_Input!$B$15:$G$26,COUNTBLANK(BS_Items!$B$10:E$10),FALSE)</f>
        <v>9473.2199999999993</v>
      </c>
      <c r="F26" s="59">
        <f>VLOOKUP($B26,BS_Input!$B$15:$G$26,COUNTBLANK(BS_Items!$B$10:F$10),FALSE)</f>
        <v>13054.96</v>
      </c>
      <c r="G26" s="59">
        <f>VLOOKUP($B26,BS_Input!$B$15:$G$26,COUNTBLANK(BS_Items!$B$10:G$10),FALSE)</f>
        <v>14128.36</v>
      </c>
      <c r="H26" s="39">
        <f>H27*Revenue_Build_Up!H$14</f>
        <v>18782.949580966884</v>
      </c>
      <c r="I26" s="39">
        <f>I27*Revenue_Build_Up!I$14</f>
        <v>22070.697379543148</v>
      </c>
      <c r="J26" s="39">
        <f>J27*Revenue_Build_Up!J$14</f>
        <v>25951.803458937946</v>
      </c>
      <c r="K26" s="39">
        <f>K27*Revenue_Build_Up!K$14</f>
        <v>30535.292587996184</v>
      </c>
      <c r="L26" s="39">
        <f>L27*Revenue_Build_Up!L$14</f>
        <v>35950.45921680655</v>
      </c>
      <c r="M26" s="39">
        <f>M27*Revenue_Build_Up!M$14</f>
        <v>42350.669316767075</v>
      </c>
      <c r="N26" s="39">
        <f>N27*Revenue_Build_Up!N$14</f>
        <v>49917.880535427677</v>
      </c>
      <c r="O26" s="39">
        <f>O27*Revenue_Build_Up!O$14</f>
        <v>58868.017262526868</v>
      </c>
      <c r="P26" s="39">
        <f>P27*Revenue_Build_Up!P$14</f>
        <v>69457.363332271168</v>
      </c>
      <c r="Q26" s="39">
        <f>Q27*Revenue_Build_Up!Q$14</f>
        <v>81990.166240652543</v>
      </c>
    </row>
    <row r="27" spans="2:17" x14ac:dyDescent="0.15">
      <c r="C27" s="62">
        <f>C26/Revenue_Build_Up!C$14</f>
        <v>2.9467957553761213E-2</v>
      </c>
      <c r="D27" s="62">
        <f>D26/Revenue_Build_Up!D$14</f>
        <v>9.8289761371064766E-2</v>
      </c>
      <c r="E27" s="62">
        <f>E26/Revenue_Build_Up!E$14</f>
        <v>5.0427707308265242E-2</v>
      </c>
      <c r="F27" s="62">
        <f>F26/Revenue_Build_Up!F$14</f>
        <v>3.6863080330220788E-2</v>
      </c>
      <c r="G27" s="62">
        <f>G26/Revenue_Build_Up!G$14</f>
        <v>3.3086111871595138E-2</v>
      </c>
      <c r="H27" s="41">
        <f>AVERAGE(C27,E27:G27)</f>
        <v>3.7461214265960593E-2</v>
      </c>
      <c r="I27" s="41">
        <f>H27</f>
        <v>3.7461214265960593E-2</v>
      </c>
      <c r="J27" s="41">
        <f t="shared" ref="J27:Q27" si="3">I27</f>
        <v>3.7461214265960593E-2</v>
      </c>
      <c r="K27" s="41">
        <f t="shared" si="3"/>
        <v>3.7461214265960593E-2</v>
      </c>
      <c r="L27" s="41">
        <f t="shared" si="3"/>
        <v>3.7461214265960593E-2</v>
      </c>
      <c r="M27" s="41">
        <f t="shared" si="3"/>
        <v>3.7461214265960593E-2</v>
      </c>
      <c r="N27" s="41">
        <f t="shared" si="3"/>
        <v>3.7461214265960593E-2</v>
      </c>
      <c r="O27" s="41">
        <f t="shared" si="3"/>
        <v>3.7461214265960593E-2</v>
      </c>
      <c r="P27" s="41">
        <f t="shared" si="3"/>
        <v>3.7461214265960593E-2</v>
      </c>
      <c r="Q27" s="41">
        <f t="shared" si="3"/>
        <v>3.7461214265960593E-2</v>
      </c>
    </row>
    <row r="28" spans="2:17" x14ac:dyDescent="0.15">
      <c r="H28" s="39"/>
      <c r="I28" s="39"/>
      <c r="J28" s="39"/>
      <c r="K28" s="39"/>
      <c r="L28" s="39"/>
      <c r="M28" s="39"/>
      <c r="N28" s="39"/>
      <c r="O28" s="39"/>
      <c r="P28" s="39"/>
      <c r="Q28" s="39"/>
    </row>
    <row r="29" spans="2:17" x14ac:dyDescent="0.15">
      <c r="B29" s="6" t="s">
        <v>37</v>
      </c>
      <c r="C29" s="59">
        <f>VLOOKUP($B29,BS_Input!$B$15:$G$26,COUNTBLANK(BS_Items!$B$10:C$10),FALSE)</f>
        <v>2625.8</v>
      </c>
      <c r="D29" s="59">
        <f>VLOOKUP($B29,BS_Input!$B$15:$G$26,COUNTBLANK(BS_Items!$B$10:D$10),FALSE)</f>
        <v>3406.89</v>
      </c>
      <c r="E29" s="59">
        <f>VLOOKUP($B29,BS_Input!$B$15:$G$26,COUNTBLANK(BS_Items!$B$10:E$10),FALSE)</f>
        <v>4946.79</v>
      </c>
      <c r="F29" s="59">
        <f>VLOOKUP($B29,BS_Input!$B$15:$G$26,COUNTBLANK(BS_Items!$B$10:F$10),FALSE)</f>
        <v>22072.53</v>
      </c>
      <c r="G29" s="59">
        <f>VLOOKUP($B29,BS_Input!$B$15:$G$26,COUNTBLANK(BS_Items!$B$10:G$10),FALSE)</f>
        <v>1925.97</v>
      </c>
      <c r="H29" s="39">
        <f>H30*Revenue_Build_Up!H$14</f>
        <v>13132.25290059587</v>
      </c>
      <c r="I29" s="39">
        <f>I30*Revenue_Build_Up!I$14</f>
        <v>15430.908677643338</v>
      </c>
      <c r="J29" s="39">
        <f>J30*Revenue_Build_Up!J$14</f>
        <v>18144.415752181783</v>
      </c>
      <c r="K29" s="39">
        <f>K30*Revenue_Build_Up!K$14</f>
        <v>21348.999683499893</v>
      </c>
      <c r="L29" s="39">
        <f>L30*Revenue_Build_Up!L$14</f>
        <v>25135.057744394941</v>
      </c>
      <c r="M29" s="39">
        <f>M30*Revenue_Build_Up!M$14</f>
        <v>29609.817008765123</v>
      </c>
      <c r="N29" s="39">
        <f>N30*Revenue_Build_Up!N$14</f>
        <v>34900.4946548562</v>
      </c>
      <c r="O29" s="39">
        <f>O30*Revenue_Build_Up!O$14</f>
        <v>41158.055986665284</v>
      </c>
      <c r="P29" s="39">
        <f>P30*Revenue_Build_Up!P$14</f>
        <v>48561.683944051016</v>
      </c>
      <c r="Q29" s="39">
        <f>Q30*Revenue_Build_Up!Q$14</f>
        <v>57324.095653496457</v>
      </c>
    </row>
    <row r="30" spans="2:17" x14ac:dyDescent="0.15">
      <c r="C30" s="62">
        <f>C29/Revenue_Build_Up!C$14</f>
        <v>1.1596449732208042E-2</v>
      </c>
      <c r="D30" s="62">
        <f>D29/Revenue_Build_Up!D$14</f>
        <v>4.386604291697617E-2</v>
      </c>
      <c r="E30" s="62">
        <f>E29/Revenue_Build_Up!E$14</f>
        <v>2.633268078176728E-2</v>
      </c>
      <c r="F30" s="62">
        <f>F29/Revenue_Build_Up!F$14</f>
        <v>6.2325847530839487E-2</v>
      </c>
      <c r="G30" s="62">
        <f>G29/Revenue_Build_Up!G$14</f>
        <v>4.5102799533233923E-3</v>
      </c>
      <c r="H30" s="41">
        <f>AVERAGE(C30,E30:G30)</f>
        <v>2.6191314499534553E-2</v>
      </c>
      <c r="I30" s="41">
        <f>H30</f>
        <v>2.6191314499534553E-2</v>
      </c>
      <c r="J30" s="41">
        <f t="shared" ref="J30:Q30" si="4">I30</f>
        <v>2.6191314499534553E-2</v>
      </c>
      <c r="K30" s="41">
        <f t="shared" si="4"/>
        <v>2.6191314499534553E-2</v>
      </c>
      <c r="L30" s="41">
        <f t="shared" si="4"/>
        <v>2.6191314499534553E-2</v>
      </c>
      <c r="M30" s="41">
        <f t="shared" si="4"/>
        <v>2.6191314499534553E-2</v>
      </c>
      <c r="N30" s="41">
        <f t="shared" si="4"/>
        <v>2.6191314499534553E-2</v>
      </c>
      <c r="O30" s="41">
        <f t="shared" si="4"/>
        <v>2.6191314499534553E-2</v>
      </c>
      <c r="P30" s="41">
        <f t="shared" si="4"/>
        <v>2.6191314499534553E-2</v>
      </c>
      <c r="Q30" s="41">
        <f t="shared" si="4"/>
        <v>2.6191314499534553E-2</v>
      </c>
    </row>
    <row r="31" spans="2:17" x14ac:dyDescent="0.15">
      <c r="H31" s="39"/>
      <c r="I31" s="39"/>
      <c r="J31" s="39"/>
      <c r="K31" s="39"/>
      <c r="L31" s="39"/>
      <c r="M31" s="39"/>
      <c r="N31" s="39"/>
      <c r="O31" s="39"/>
      <c r="P31" s="39"/>
      <c r="Q31" s="39"/>
    </row>
    <row r="32" spans="2:17" x14ac:dyDescent="0.15">
      <c r="B32" s="15" t="s">
        <v>141</v>
      </c>
      <c r="H32" s="39"/>
      <c r="I32" s="39"/>
      <c r="J32" s="39"/>
      <c r="K32" s="39"/>
      <c r="L32" s="39"/>
      <c r="M32" s="39"/>
      <c r="N32" s="39"/>
      <c r="O32" s="39"/>
      <c r="P32" s="39"/>
      <c r="Q32" s="39"/>
    </row>
    <row r="33" spans="2:17" x14ac:dyDescent="0.15">
      <c r="H33" s="39"/>
      <c r="I33" s="39"/>
      <c r="J33" s="39"/>
      <c r="K33" s="39"/>
      <c r="L33" s="39"/>
      <c r="M33" s="39"/>
      <c r="N33" s="39"/>
      <c r="O33" s="39"/>
      <c r="P33" s="39"/>
      <c r="Q33" s="39"/>
    </row>
    <row r="34" spans="2:17" x14ac:dyDescent="0.15">
      <c r="B34" s="1" t="s">
        <v>43</v>
      </c>
      <c r="C34" s="59">
        <f>VLOOKUP($B34,BS_Input!$B$30:$G$38,COUNTBLANK(BS_Items!$B$10:C$10),FALSE)</f>
        <v>69903.38</v>
      </c>
      <c r="D34" s="59">
        <f>VLOOKUP($B34,BS_Input!$B$30:$G$38,COUNTBLANK(BS_Items!$B$10:D$10),FALSE)</f>
        <v>111547.15</v>
      </c>
      <c r="E34" s="59">
        <f>VLOOKUP($B34,BS_Input!$B$30:$G$38,COUNTBLANK(BS_Items!$B$10:E$10),FALSE)</f>
        <v>136336.5</v>
      </c>
      <c r="F34" s="59">
        <f>VLOOKUP($B34,BS_Input!$B$30:$G$38,COUNTBLANK(BS_Items!$B$10:F$10),FALSE)</f>
        <v>150197.23000000001</v>
      </c>
      <c r="G34" s="59">
        <f>VLOOKUP($B34,BS_Input!$B$30:$G$38,COUNTBLANK(BS_Items!$B$10:G$10),FALSE)</f>
        <v>157130.73000000001</v>
      </c>
      <c r="H34" s="39">
        <f t="shared" ref="H34:Q34" si="5">G34</f>
        <v>157130.73000000001</v>
      </c>
      <c r="I34" s="39">
        <f t="shared" si="5"/>
        <v>157130.73000000001</v>
      </c>
      <c r="J34" s="39">
        <f t="shared" si="5"/>
        <v>157130.73000000001</v>
      </c>
      <c r="K34" s="39">
        <f t="shared" si="5"/>
        <v>157130.73000000001</v>
      </c>
      <c r="L34" s="39">
        <f t="shared" si="5"/>
        <v>157130.73000000001</v>
      </c>
      <c r="M34" s="39">
        <f t="shared" si="5"/>
        <v>157130.73000000001</v>
      </c>
      <c r="N34" s="39">
        <f t="shared" si="5"/>
        <v>157130.73000000001</v>
      </c>
      <c r="O34" s="39">
        <f t="shared" si="5"/>
        <v>157130.73000000001</v>
      </c>
      <c r="P34" s="39">
        <f t="shared" si="5"/>
        <v>157130.73000000001</v>
      </c>
      <c r="Q34" s="39">
        <f t="shared" si="5"/>
        <v>157130.73000000001</v>
      </c>
    </row>
    <row r="35" spans="2:17" x14ac:dyDescent="0.15">
      <c r="C35" s="62">
        <f>C34/Revenue_Build_Up!C$14</f>
        <v>0.30871773641611588</v>
      </c>
      <c r="D35" s="62">
        <f>D34/Revenue_Build_Up!D$14</f>
        <v>1.4362459806939403</v>
      </c>
      <c r="E35" s="62">
        <f>E34/Revenue_Build_Up!E$14</f>
        <v>0.72574447943078535</v>
      </c>
      <c r="F35" s="62">
        <f>F34/Revenue_Build_Up!F$14</f>
        <v>0.42410949975079576</v>
      </c>
      <c r="G35" s="62">
        <f>G34/Revenue_Build_Up!G$14</f>
        <v>0.36797228491101658</v>
      </c>
      <c r="H35" s="69">
        <f>H34/Revenue_Build_Up!H14</f>
        <v>0.31338570754944201</v>
      </c>
      <c r="I35" s="69">
        <f>I34/Revenue_Build_Up!I14</f>
        <v>0.26670239925235412</v>
      </c>
      <c r="J35" s="69">
        <f>J34/Revenue_Build_Up!J14</f>
        <v>0.22681691288277406</v>
      </c>
      <c r="K35" s="69">
        <f>K34/Revenue_Build_Up!K14</f>
        <v>0.19277064162177984</v>
      </c>
      <c r="L35" s="69">
        <f>L34/Revenue_Build_Up!L14</f>
        <v>0.16373387357302521</v>
      </c>
      <c r="M35" s="69">
        <f>M34/Revenue_Build_Up!M14</f>
        <v>0.13898972647325672</v>
      </c>
      <c r="N35" s="69">
        <f>N34/Revenue_Build_Up!N14</f>
        <v>0.11791982915058216</v>
      </c>
      <c r="O35" s="69">
        <f>O34/Revenue_Build_Up!O14</f>
        <v>9.9991612050501347E-2</v>
      </c>
      <c r="P35" s="69">
        <f>P34/Revenue_Build_Up!P14</f>
        <v>8.4747068732479738E-2</v>
      </c>
      <c r="Q35" s="69">
        <f>Q34/Revenue_Build_Up!Q14</f>
        <v>7.1792852901647622E-2</v>
      </c>
    </row>
    <row r="36" spans="2:17" x14ac:dyDescent="0.15">
      <c r="H36" s="39"/>
      <c r="I36" s="39"/>
      <c r="J36" s="39"/>
      <c r="K36" s="39"/>
      <c r="L36" s="39"/>
      <c r="M36" s="39"/>
      <c r="N36" s="39"/>
      <c r="O36" s="39"/>
      <c r="P36" s="39"/>
      <c r="Q36" s="39"/>
    </row>
    <row r="37" spans="2:17" x14ac:dyDescent="0.15">
      <c r="B37" s="1" t="s">
        <v>34</v>
      </c>
      <c r="C37" s="59">
        <f>VLOOKUP($B37,BS_Input!$B$30:$G$38,COUNTBLANK(BS_Items!$B$10:C$10),FALSE)</f>
        <v>1188.9100000000001</v>
      </c>
      <c r="D37" s="59">
        <f>VLOOKUP($B37,BS_Input!$B$30:$G$38,COUNTBLANK(BS_Items!$B$10:D$10),FALSE)</f>
        <v>0</v>
      </c>
      <c r="E37" s="59">
        <f>VLOOKUP($B37,BS_Input!$B$30:$G$38,COUNTBLANK(BS_Items!$B$10:E$10),FALSE)</f>
        <v>0</v>
      </c>
      <c r="F37" s="59">
        <f>VLOOKUP($B37,BS_Input!$B$30:$G$38,COUNTBLANK(BS_Items!$B$10:F$10),FALSE)</f>
        <v>0</v>
      </c>
      <c r="G37" s="59">
        <f>VLOOKUP($B37,BS_Input!$B$30:$G$38,COUNTBLANK(BS_Items!$B$10:G$10),FALSE)</f>
        <v>0</v>
      </c>
      <c r="H37" s="39">
        <f>H38*Revenue_Build_Up!H$14</f>
        <v>658.16432268443941</v>
      </c>
      <c r="I37" s="39">
        <f>I38*Revenue_Build_Up!I$14</f>
        <v>773.36871556637004</v>
      </c>
      <c r="J37" s="39">
        <f>J38*Revenue_Build_Up!J$14</f>
        <v>909.36469122504741</v>
      </c>
      <c r="K37" s="39">
        <f>K38*Revenue_Build_Up!K$14</f>
        <v>1069.9725342666416</v>
      </c>
      <c r="L37" s="39">
        <f>L38*Revenue_Build_Up!L$14</f>
        <v>1259.7227894707494</v>
      </c>
      <c r="M37" s="39">
        <f>M38*Revenue_Build_Up!M$14</f>
        <v>1483.9894802437002</v>
      </c>
      <c r="N37" s="39">
        <f>N38*Revenue_Build_Up!N$14</f>
        <v>1749.1484971952575</v>
      </c>
      <c r="O37" s="39">
        <f>O38*Revenue_Build_Up!O$14</f>
        <v>2062.7659432482183</v>
      </c>
      <c r="P37" s="39">
        <f>P38*Revenue_Build_Up!P$14</f>
        <v>2433.8221372512485</v>
      </c>
      <c r="Q37" s="39">
        <f>Q38*Revenue_Build_Up!Q$14</f>
        <v>2872.9780697087849</v>
      </c>
    </row>
    <row r="38" spans="2:17" x14ac:dyDescent="0.15">
      <c r="C38" s="62">
        <f>C37/Revenue_Build_Up!C$14</f>
        <v>5.2506417286615368E-3</v>
      </c>
      <c r="D38" s="62">
        <f>D37/Revenue_Build_Up!D$14</f>
        <v>0</v>
      </c>
      <c r="E38" s="62">
        <f>E37/Revenue_Build_Up!E$14</f>
        <v>0</v>
      </c>
      <c r="F38" s="62">
        <f>F37/Revenue_Build_Up!F$14</f>
        <v>0</v>
      </c>
      <c r="G38" s="62">
        <f>G37/Revenue_Build_Up!G$14</f>
        <v>0</v>
      </c>
      <c r="H38" s="41">
        <f>AVERAGE(C38,E38:G38)</f>
        <v>1.3126604321653842E-3</v>
      </c>
      <c r="I38" s="41">
        <f>H38</f>
        <v>1.3126604321653842E-3</v>
      </c>
      <c r="J38" s="41">
        <f t="shared" ref="J38:Q38" si="6">I38</f>
        <v>1.3126604321653842E-3</v>
      </c>
      <c r="K38" s="41">
        <f t="shared" si="6"/>
        <v>1.3126604321653842E-3</v>
      </c>
      <c r="L38" s="41">
        <f t="shared" si="6"/>
        <v>1.3126604321653842E-3</v>
      </c>
      <c r="M38" s="41">
        <f t="shared" si="6"/>
        <v>1.3126604321653842E-3</v>
      </c>
      <c r="N38" s="41">
        <f t="shared" si="6"/>
        <v>1.3126604321653842E-3</v>
      </c>
      <c r="O38" s="41">
        <f t="shared" si="6"/>
        <v>1.3126604321653842E-3</v>
      </c>
      <c r="P38" s="41">
        <f t="shared" si="6"/>
        <v>1.3126604321653842E-3</v>
      </c>
      <c r="Q38" s="41">
        <f t="shared" si="6"/>
        <v>1.3126604321653842E-3</v>
      </c>
    </row>
    <row r="39" spans="2:17" x14ac:dyDescent="0.15">
      <c r="H39" s="39"/>
      <c r="I39" s="39"/>
      <c r="J39" s="39"/>
      <c r="K39" s="39"/>
      <c r="L39" s="39"/>
      <c r="M39" s="39"/>
      <c r="N39" s="39"/>
      <c r="O39" s="39"/>
      <c r="P39" s="39"/>
      <c r="Q39" s="39"/>
    </row>
    <row r="40" spans="2:17" x14ac:dyDescent="0.15">
      <c r="B40" s="1" t="s">
        <v>44</v>
      </c>
      <c r="C40" s="59">
        <f>VLOOKUP($B40,BS_Input!$B$30:$G$38,COUNTBLANK(BS_Items!$B$10:C$10),FALSE)</f>
        <v>14798.83</v>
      </c>
      <c r="D40" s="59">
        <f>VLOOKUP($B40,BS_Input!$B$30:$G$38,COUNTBLANK(BS_Items!$B$10:D$10),FALSE)</f>
        <v>11425.83</v>
      </c>
      <c r="E40" s="59">
        <f>VLOOKUP($B40,BS_Input!$B$30:$G$38,COUNTBLANK(BS_Items!$B$10:E$10),FALSE)</f>
        <v>15220.93</v>
      </c>
      <c r="F40" s="59">
        <f>VLOOKUP($B40,BS_Input!$B$30:$G$38,COUNTBLANK(BS_Items!$B$10:F$10),FALSE)</f>
        <v>21089.8</v>
      </c>
      <c r="G40" s="59">
        <f>VLOOKUP($B40,BS_Input!$B$30:$G$38,COUNTBLANK(BS_Items!$B$10:G$10),FALSE)</f>
        <v>25749.72</v>
      </c>
      <c r="H40" s="39">
        <f>H41*Revenue_Build_Up!H$14</f>
        <v>33372.102813222635</v>
      </c>
      <c r="I40" s="39">
        <f>I41*Revenue_Build_Up!I$14</f>
        <v>39213.520695173072</v>
      </c>
      <c r="J40" s="39">
        <f>J41*Revenue_Build_Up!J$14</f>
        <v>46109.172017254685</v>
      </c>
      <c r="K40" s="39">
        <f>K41*Revenue_Build_Up!K$14</f>
        <v>54252.763618715282</v>
      </c>
      <c r="L40" s="39">
        <f>L41*Revenue_Build_Up!L$14</f>
        <v>63874.015952295216</v>
      </c>
      <c r="M40" s="39">
        <f>M41*Revenue_Build_Up!M$14</f>
        <v>75245.417901781446</v>
      </c>
      <c r="N40" s="39">
        <f>N41*Revenue_Build_Up!N$14</f>
        <v>88690.257846111097</v>
      </c>
      <c r="O40" s="39">
        <f>O41*Revenue_Build_Up!O$14</f>
        <v>104592.17366405147</v>
      </c>
      <c r="P40" s="39">
        <f>P41*Revenue_Build_Up!P$14</f>
        <v>123406.51079683052</v>
      </c>
      <c r="Q40" s="39">
        <f>Q41*Revenue_Build_Up!Q$14</f>
        <v>145673.83283767631</v>
      </c>
    </row>
    <row r="41" spans="2:17" x14ac:dyDescent="0.15">
      <c r="C41" s="62">
        <f>C40/Revenue_Build_Up!C$14</f>
        <v>6.5356801047487367E-2</v>
      </c>
      <c r="D41" s="62">
        <f>D40/Revenue_Build_Up!D$14</f>
        <v>0.14711538944376656</v>
      </c>
      <c r="E41" s="62">
        <f>E40/Revenue_Build_Up!E$14</f>
        <v>8.1023833817814195E-2</v>
      </c>
      <c r="F41" s="62">
        <f>F40/Revenue_Build_Up!F$14</f>
        <v>5.9550928654571934E-2</v>
      </c>
      <c r="G41" s="62">
        <f>G40/Revenue_Build_Up!G$14</f>
        <v>6.0301274640669596E-2</v>
      </c>
      <c r="H41" s="41">
        <f>AVERAGE(C41,E41:G41)</f>
        <v>6.6558209540135777E-2</v>
      </c>
      <c r="I41" s="41">
        <f>H41</f>
        <v>6.6558209540135777E-2</v>
      </c>
      <c r="J41" s="41">
        <f t="shared" ref="J41:Q41" si="7">I41</f>
        <v>6.6558209540135777E-2</v>
      </c>
      <c r="K41" s="41">
        <f t="shared" si="7"/>
        <v>6.6558209540135777E-2</v>
      </c>
      <c r="L41" s="41">
        <f t="shared" si="7"/>
        <v>6.6558209540135777E-2</v>
      </c>
      <c r="M41" s="41">
        <f t="shared" si="7"/>
        <v>6.6558209540135777E-2</v>
      </c>
      <c r="N41" s="41">
        <f t="shared" si="7"/>
        <v>6.6558209540135777E-2</v>
      </c>
      <c r="O41" s="41">
        <f t="shared" si="7"/>
        <v>6.6558209540135777E-2</v>
      </c>
      <c r="P41" s="41">
        <f t="shared" si="7"/>
        <v>6.6558209540135777E-2</v>
      </c>
      <c r="Q41" s="41">
        <f t="shared" si="7"/>
        <v>6.6558209540135777E-2</v>
      </c>
    </row>
    <row r="42" spans="2:17" x14ac:dyDescent="0.15">
      <c r="H42" s="39"/>
      <c r="I42" s="39"/>
      <c r="J42" s="39"/>
      <c r="K42" s="39"/>
      <c r="L42" s="39"/>
      <c r="M42" s="39"/>
      <c r="N42" s="39"/>
      <c r="O42" s="39"/>
      <c r="P42" s="39"/>
      <c r="Q42" s="39"/>
    </row>
    <row r="43" spans="2:17" x14ac:dyDescent="0.15">
      <c r="B43" s="6" t="s">
        <v>45</v>
      </c>
      <c r="C43" s="59">
        <f>VLOOKUP($B43,BS_Input!$B$30:$G$38,COUNTBLANK(BS_Items!$B$10:C$10),FALSE)</f>
        <v>4286.7299999999996</v>
      </c>
      <c r="D43" s="59">
        <f>VLOOKUP($B43,BS_Input!$B$30:$G$38,COUNTBLANK(BS_Items!$B$10:D$10),FALSE)</f>
        <v>3617.7</v>
      </c>
      <c r="E43" s="59">
        <f>VLOOKUP($B43,BS_Input!$B$30:$G$38,COUNTBLANK(BS_Items!$B$10:E$10),FALSE)</f>
        <v>6459.94</v>
      </c>
      <c r="F43" s="59">
        <f>VLOOKUP($B43,BS_Input!$B$30:$G$38,COUNTBLANK(BS_Items!$B$10:F$10),FALSE)</f>
        <v>10890.06</v>
      </c>
      <c r="G43" s="59">
        <f>VLOOKUP($B43,BS_Input!$B$30:$G$38,COUNTBLANK(BS_Items!$B$10:G$10),FALSE)</f>
        <v>16088.6</v>
      </c>
      <c r="H43" s="39">
        <f>H44*Revenue_Build_Up!H$14</f>
        <v>15260.763254771595</v>
      </c>
      <c r="I43" s="39">
        <f>I44*Revenue_Build_Up!I$14</f>
        <v>17931.991252226831</v>
      </c>
      <c r="J43" s="39">
        <f>J44*Revenue_Build_Up!J$14</f>
        <v>21085.310744939321</v>
      </c>
      <c r="K43" s="39">
        <f>K44*Revenue_Build_Up!K$14</f>
        <v>24809.302132865752</v>
      </c>
      <c r="L43" s="39">
        <f>L44*Revenue_Build_Up!L$14</f>
        <v>29209.014518355772</v>
      </c>
      <c r="M43" s="39">
        <f>M44*Revenue_Build_Up!M$14</f>
        <v>34409.054623625962</v>
      </c>
      <c r="N43" s="39">
        <f>N44*Revenue_Build_Up!N$14</f>
        <v>40557.259324332314</v>
      </c>
      <c r="O43" s="39">
        <f>O44*Revenue_Build_Up!O$14</f>
        <v>47829.062781042972</v>
      </c>
      <c r="P43" s="39">
        <f>P44*Revenue_Build_Up!P$14</f>
        <v>56432.690379392472</v>
      </c>
      <c r="Q43" s="39">
        <f>Q44*Revenue_Build_Up!Q$14</f>
        <v>66615.337001482563</v>
      </c>
    </row>
    <row r="44" spans="2:17" x14ac:dyDescent="0.15">
      <c r="C44" s="62">
        <f>C43/Revenue_Build_Up!C$14</f>
        <v>1.8931696610765547E-2</v>
      </c>
      <c r="D44" s="62">
        <f>D43/Revenue_Build_Up!D$14</f>
        <v>4.6580366099505617E-2</v>
      </c>
      <c r="E44" s="62">
        <f>E43/Revenue_Build_Up!E$14</f>
        <v>3.4387458915654333E-2</v>
      </c>
      <c r="F44" s="62">
        <f>F43/Revenue_Build_Up!F$14</f>
        <v>3.0750087061233757E-2</v>
      </c>
      <c r="G44" s="62">
        <f>G43/Revenue_Build_Up!G$14</f>
        <v>3.7676646083292437E-2</v>
      </c>
      <c r="H44" s="41">
        <f>AVERAGE(C44,E44:G44)</f>
        <v>3.0436472167736518E-2</v>
      </c>
      <c r="I44" s="41">
        <f>H44</f>
        <v>3.0436472167736518E-2</v>
      </c>
      <c r="J44" s="41">
        <f t="shared" ref="J44:Q44" si="8">I44</f>
        <v>3.0436472167736518E-2</v>
      </c>
      <c r="K44" s="41">
        <f t="shared" si="8"/>
        <v>3.0436472167736518E-2</v>
      </c>
      <c r="L44" s="41">
        <f t="shared" si="8"/>
        <v>3.0436472167736518E-2</v>
      </c>
      <c r="M44" s="41">
        <f t="shared" si="8"/>
        <v>3.0436472167736518E-2</v>
      </c>
      <c r="N44" s="41">
        <f t="shared" si="8"/>
        <v>3.0436472167736518E-2</v>
      </c>
      <c r="O44" s="41">
        <f t="shared" si="8"/>
        <v>3.0436472167736518E-2</v>
      </c>
      <c r="P44" s="41">
        <f t="shared" si="8"/>
        <v>3.0436472167736518E-2</v>
      </c>
      <c r="Q44" s="41">
        <f t="shared" si="8"/>
        <v>3.0436472167736518E-2</v>
      </c>
    </row>
    <row r="45" spans="2:17" x14ac:dyDescent="0.15">
      <c r="H45" s="39"/>
      <c r="I45" s="39"/>
      <c r="J45" s="39"/>
      <c r="K45" s="39"/>
      <c r="L45" s="39"/>
      <c r="M45" s="39"/>
      <c r="N45" s="39"/>
      <c r="O45" s="39"/>
      <c r="P45" s="39"/>
      <c r="Q45" s="39"/>
    </row>
    <row r="46" spans="2:17" x14ac:dyDescent="0.15">
      <c r="B46" s="6" t="s">
        <v>46</v>
      </c>
      <c r="C46" s="59">
        <f>VLOOKUP($B46,BS_Input!$B$30:$G$38,COUNTBLANK(BS_Items!$B$10:C$10),FALSE)</f>
        <v>56048.94</v>
      </c>
      <c r="D46" s="59">
        <f>VLOOKUP($B46,BS_Input!$B$30:$G$38,COUNTBLANK(BS_Items!$B$10:D$10),FALSE)</f>
        <v>56803.65</v>
      </c>
      <c r="E46" s="59">
        <f>VLOOKUP($B46,BS_Input!$B$30:$G$38,COUNTBLANK(BS_Items!$B$10:E$10),FALSE)</f>
        <v>85013.61</v>
      </c>
      <c r="F46" s="59">
        <f>VLOOKUP($B46,BS_Input!$B$30:$G$38,COUNTBLANK(BS_Items!$B$10:F$10),FALSE)</f>
        <v>94867.81</v>
      </c>
      <c r="G46" s="59">
        <f>VLOOKUP($B46,BS_Input!$B$30:$G$38,COUNTBLANK(BS_Items!$B$10:G$10),FALSE)</f>
        <v>106283.37</v>
      </c>
      <c r="H46" s="39">
        <f>H47*Revenue_Build_Up!H$14</f>
        <v>152531.10919476001</v>
      </c>
      <c r="I46" s="39">
        <f>I47*Revenue_Build_Up!I$14</f>
        <v>179229.9946018545</v>
      </c>
      <c r="J46" s="39">
        <f>J47*Revenue_Build_Up!J$14</f>
        <v>210747.3775688241</v>
      </c>
      <c r="K46" s="39">
        <f>K47*Revenue_Build_Up!K$14</f>
        <v>247968.61791894538</v>
      </c>
      <c r="L46" s="39">
        <f>L47*Revenue_Build_Up!L$14</f>
        <v>291943.67991899868</v>
      </c>
      <c r="M46" s="39">
        <f>M47*Revenue_Build_Up!M$14</f>
        <v>343918.00596498448</v>
      </c>
      <c r="N46" s="39">
        <f>N47*Revenue_Build_Up!N$14</f>
        <v>405369.22350234829</v>
      </c>
      <c r="O46" s="39">
        <f>O47*Revenue_Build_Up!O$14</f>
        <v>478050.79444222641</v>
      </c>
      <c r="P46" s="39">
        <f>P47*Revenue_Build_Up!P$14</f>
        <v>564043.92851856921</v>
      </c>
      <c r="Q46" s="39">
        <f>Q47*Revenue_Build_Up!Q$14</f>
        <v>665819.3350219134</v>
      </c>
    </row>
    <row r="47" spans="2:17" x14ac:dyDescent="0.15">
      <c r="C47" s="62">
        <f>C46/Revenue_Build_Up!C$14</f>
        <v>0.2475316913906408</v>
      </c>
      <c r="D47" s="62">
        <f>D46/Revenue_Build_Up!D$14</f>
        <v>0.73138591170859457</v>
      </c>
      <c r="E47" s="62">
        <f>E46/Revenue_Build_Up!E$14</f>
        <v>0.45254321574913403</v>
      </c>
      <c r="F47" s="62">
        <f>F46/Revenue_Build_Up!F$14</f>
        <v>0.26787670745694536</v>
      </c>
      <c r="G47" s="62">
        <f>G46/Revenue_Build_Up!G$14</f>
        <v>0.2488967912701926</v>
      </c>
      <c r="H47" s="41">
        <f>AVERAGE(C47,E47:G47)</f>
        <v>0.30421210146672817</v>
      </c>
      <c r="I47" s="41">
        <f>H47</f>
        <v>0.30421210146672817</v>
      </c>
      <c r="J47" s="41">
        <f t="shared" ref="J47:Q47" si="9">I47</f>
        <v>0.30421210146672817</v>
      </c>
      <c r="K47" s="41">
        <f t="shared" si="9"/>
        <v>0.30421210146672817</v>
      </c>
      <c r="L47" s="41">
        <f t="shared" si="9"/>
        <v>0.30421210146672817</v>
      </c>
      <c r="M47" s="41">
        <f t="shared" si="9"/>
        <v>0.30421210146672817</v>
      </c>
      <c r="N47" s="41">
        <f t="shared" si="9"/>
        <v>0.30421210146672817</v>
      </c>
      <c r="O47" s="41">
        <f t="shared" si="9"/>
        <v>0.30421210146672817</v>
      </c>
      <c r="P47" s="41">
        <f t="shared" si="9"/>
        <v>0.30421210146672817</v>
      </c>
      <c r="Q47" s="41">
        <f t="shared" si="9"/>
        <v>0.30421210146672817</v>
      </c>
    </row>
    <row r="48" spans="2:17" x14ac:dyDescent="0.15">
      <c r="H48" s="39"/>
      <c r="I48" s="39"/>
      <c r="J48" s="39"/>
      <c r="K48" s="39"/>
      <c r="L48" s="39"/>
      <c r="M48" s="39"/>
      <c r="N48" s="39"/>
      <c r="O48" s="39"/>
      <c r="P48" s="39"/>
      <c r="Q48" s="39"/>
    </row>
    <row r="49" spans="2:17" x14ac:dyDescent="0.15">
      <c r="H49" s="39"/>
      <c r="I49" s="39"/>
      <c r="J49" s="39"/>
      <c r="K49" s="39"/>
      <c r="L49" s="39"/>
      <c r="M49" s="39"/>
      <c r="N49" s="39"/>
      <c r="O49" s="39"/>
      <c r="P49" s="39"/>
      <c r="Q49" s="39"/>
    </row>
    <row r="50" spans="2:17" x14ac:dyDescent="0.15">
      <c r="B50" s="18" t="s">
        <v>53</v>
      </c>
      <c r="H50" s="39"/>
      <c r="I50" s="39"/>
      <c r="J50" s="39"/>
      <c r="K50" s="39"/>
      <c r="L50" s="39"/>
      <c r="M50" s="39"/>
      <c r="N50" s="39"/>
      <c r="O50" s="39"/>
      <c r="P50" s="39"/>
      <c r="Q50" s="39"/>
    </row>
    <row r="51" spans="2:17" x14ac:dyDescent="0.15">
      <c r="B51" s="15" t="s">
        <v>142</v>
      </c>
      <c r="H51" s="39"/>
      <c r="I51" s="39"/>
      <c r="J51" s="39"/>
      <c r="K51" s="39"/>
      <c r="L51" s="39"/>
      <c r="M51" s="39"/>
      <c r="N51" s="39"/>
      <c r="O51" s="39"/>
      <c r="P51" s="39"/>
      <c r="Q51" s="39"/>
    </row>
    <row r="52" spans="2:17" x14ac:dyDescent="0.15">
      <c r="H52" s="39"/>
      <c r="I52" s="39"/>
      <c r="J52" s="39"/>
      <c r="K52" s="39"/>
      <c r="L52" s="39"/>
      <c r="M52" s="39"/>
      <c r="N52" s="39"/>
      <c r="O52" s="39"/>
      <c r="P52" s="39"/>
      <c r="Q52" s="39"/>
    </row>
    <row r="53" spans="2:17" x14ac:dyDescent="0.15">
      <c r="B53" s="1" t="s">
        <v>56</v>
      </c>
      <c r="C53" s="59">
        <f>VLOOKUP($B53,BS_Input!$B$53:$G$57,COUNTBLANK(BS_Items!$B$10:C$10),FALSE)</f>
        <v>0</v>
      </c>
      <c r="D53" s="59">
        <f>VLOOKUP($B53,BS_Input!$B$53:$G$57,COUNTBLANK(BS_Items!$B$10:D$10),FALSE)</f>
        <v>0</v>
      </c>
      <c r="E53" s="59">
        <f>VLOOKUP($B53,BS_Input!$B$53:$G$57,COUNTBLANK(BS_Items!$B$10:E$10),FALSE)</f>
        <v>0</v>
      </c>
      <c r="F53" s="59">
        <f>VLOOKUP($B53,BS_Input!$B$53:$G$57,COUNTBLANK(BS_Items!$B$10:F$10),FALSE)</f>
        <v>0</v>
      </c>
      <c r="G53" s="59">
        <f>VLOOKUP($B53,BS_Input!$B$53:$G$57,COUNTBLANK(BS_Items!$B$10:G$10),FALSE)</f>
        <v>0</v>
      </c>
      <c r="H53" s="39">
        <f>H54*Revenue_Build_Up!H$14</f>
        <v>0</v>
      </c>
      <c r="I53" s="39">
        <f>I54*Revenue_Build_Up!I$14</f>
        <v>0</v>
      </c>
      <c r="J53" s="39">
        <f>J54*Revenue_Build_Up!J$14</f>
        <v>0</v>
      </c>
      <c r="K53" s="39">
        <f>K54*Revenue_Build_Up!K$14</f>
        <v>0</v>
      </c>
      <c r="L53" s="39">
        <f>L54*Revenue_Build_Up!L$14</f>
        <v>0</v>
      </c>
      <c r="M53" s="39">
        <f>M54*Revenue_Build_Up!M$14</f>
        <v>0</v>
      </c>
      <c r="N53" s="39">
        <f>N54*Revenue_Build_Up!N$14</f>
        <v>0</v>
      </c>
      <c r="O53" s="39">
        <f>O54*Revenue_Build_Up!O$14</f>
        <v>0</v>
      </c>
      <c r="P53" s="39">
        <f>P54*Revenue_Build_Up!P$14</f>
        <v>0</v>
      </c>
      <c r="Q53" s="39">
        <f>Q54*Revenue_Build_Up!Q$14</f>
        <v>0</v>
      </c>
    </row>
    <row r="54" spans="2:17" x14ac:dyDescent="0.15">
      <c r="B54" s="1"/>
      <c r="C54" s="62">
        <f>C53/Revenue_Build_Up!C$14</f>
        <v>0</v>
      </c>
      <c r="D54" s="62">
        <f>D53/Revenue_Build_Up!D$14</f>
        <v>0</v>
      </c>
      <c r="E54" s="62">
        <f>E53/Revenue_Build_Up!E$14</f>
        <v>0</v>
      </c>
      <c r="F54" s="62">
        <f>F53/Revenue_Build_Up!F$14</f>
        <v>0</v>
      </c>
      <c r="G54" s="62">
        <f>G53/Revenue_Build_Up!G$14</f>
        <v>0</v>
      </c>
      <c r="H54" s="41">
        <f>AVERAGE(C54,E54:G54)</f>
        <v>0</v>
      </c>
      <c r="I54" s="41">
        <f>H54</f>
        <v>0</v>
      </c>
      <c r="J54" s="41">
        <f t="shared" ref="J54:Q54" si="10">I54</f>
        <v>0</v>
      </c>
      <c r="K54" s="41">
        <f t="shared" si="10"/>
        <v>0</v>
      </c>
      <c r="L54" s="41">
        <f t="shared" si="10"/>
        <v>0</v>
      </c>
      <c r="M54" s="41">
        <f t="shared" si="10"/>
        <v>0</v>
      </c>
      <c r="N54" s="41">
        <f t="shared" si="10"/>
        <v>0</v>
      </c>
      <c r="O54" s="41">
        <f t="shared" si="10"/>
        <v>0</v>
      </c>
      <c r="P54" s="41">
        <f t="shared" si="10"/>
        <v>0</v>
      </c>
      <c r="Q54" s="41">
        <f t="shared" si="10"/>
        <v>0</v>
      </c>
    </row>
    <row r="55" spans="2:17" x14ac:dyDescent="0.15">
      <c r="B55" s="1"/>
      <c r="H55" s="39"/>
      <c r="I55" s="39"/>
      <c r="J55" s="39"/>
      <c r="K55" s="39"/>
      <c r="L55" s="39"/>
      <c r="M55" s="39"/>
      <c r="N55" s="39"/>
      <c r="O55" s="39"/>
      <c r="P55" s="39"/>
      <c r="Q55" s="39"/>
    </row>
    <row r="56" spans="2:17" x14ac:dyDescent="0.15">
      <c r="B56" s="1" t="s">
        <v>57</v>
      </c>
      <c r="C56" s="59">
        <f>VLOOKUP($B56,BS_Input!$B$53:$G$57,COUNTBLANK(BS_Items!$B$10:C$10),FALSE)</f>
        <v>5683.16</v>
      </c>
      <c r="D56" s="59">
        <f>VLOOKUP($B56,BS_Input!$B$53:$G$57,COUNTBLANK(BS_Items!$B$10:D$10),FALSE)</f>
        <v>6070.25</v>
      </c>
      <c r="E56" s="59">
        <f>VLOOKUP($B56,BS_Input!$B$53:$G$57,COUNTBLANK(BS_Items!$B$10:E$10),FALSE)</f>
        <v>8342.74</v>
      </c>
      <c r="F56" s="59">
        <f>VLOOKUP($B56,BS_Input!$B$53:$G$57,COUNTBLANK(BS_Items!$B$10:F$10),FALSE)</f>
        <v>5945.11</v>
      </c>
      <c r="G56" s="59">
        <f>VLOOKUP($B56,BS_Input!$B$53:$G$57,COUNTBLANK(BS_Items!$B$10:G$10),FALSE)</f>
        <v>4179.74</v>
      </c>
      <c r="H56" s="39">
        <f>H57*Revenue_Build_Up!H$14</f>
        <v>12044.074775008814</v>
      </c>
      <c r="I56" s="39">
        <f>I57*Revenue_Build_Up!I$14</f>
        <v>14152.25699403305</v>
      </c>
      <c r="J56" s="39">
        <f>J57*Revenue_Build_Up!J$14</f>
        <v>16640.914679476617</v>
      </c>
      <c r="K56" s="39">
        <f>K57*Revenue_Build_Up!K$14</f>
        <v>19579.957110637512</v>
      </c>
      <c r="L56" s="39">
        <f>L57*Revenue_Build_Up!L$14</f>
        <v>23052.290969352322</v>
      </c>
      <c r="M56" s="39">
        <f>M57*Revenue_Build_Up!M$14</f>
        <v>27156.25817042507</v>
      </c>
      <c r="N56" s="39">
        <f>N57*Revenue_Build_Up!N$14</f>
        <v>32008.534292604931</v>
      </c>
      <c r="O56" s="39">
        <f>O57*Revenue_Build_Up!O$14</f>
        <v>37747.575198989893</v>
      </c>
      <c r="P56" s="39">
        <f>P57*Revenue_Build_Up!P$14</f>
        <v>44537.716190034429</v>
      </c>
      <c r="Q56" s="39">
        <f>Q57*Revenue_Build_Up!Q$14</f>
        <v>52574.048008863865</v>
      </c>
    </row>
    <row r="57" spans="2:17" x14ac:dyDescent="0.15">
      <c r="B57" s="1"/>
      <c r="C57" s="62">
        <f>C56/Revenue_Build_Up!C$14</f>
        <v>2.509881912563617E-2</v>
      </c>
      <c r="D57" s="62">
        <f>D56/Revenue_Build_Up!D$14</f>
        <v>7.8158627668276526E-2</v>
      </c>
      <c r="E57" s="62">
        <f>E56/Revenue_Build_Up!E$14</f>
        <v>4.4409952568287954E-2</v>
      </c>
      <c r="F57" s="62">
        <f>F56/Revenue_Build_Up!F$14</f>
        <v>1.6787111373914507E-2</v>
      </c>
      <c r="G57" s="62">
        <f>G56/Revenue_Build_Up!G$14</f>
        <v>9.788209334571106E-3</v>
      </c>
      <c r="H57" s="41">
        <f>AVERAGE(C57,E57:G57)</f>
        <v>2.4021023100602432E-2</v>
      </c>
      <c r="I57" s="41">
        <f>H57</f>
        <v>2.4021023100602432E-2</v>
      </c>
      <c r="J57" s="41">
        <f t="shared" ref="J57:Q57" si="11">I57</f>
        <v>2.4021023100602432E-2</v>
      </c>
      <c r="K57" s="41">
        <f t="shared" si="11"/>
        <v>2.4021023100602432E-2</v>
      </c>
      <c r="L57" s="41">
        <f t="shared" si="11"/>
        <v>2.4021023100602432E-2</v>
      </c>
      <c r="M57" s="41">
        <f t="shared" si="11"/>
        <v>2.4021023100602432E-2</v>
      </c>
      <c r="N57" s="41">
        <f t="shared" si="11"/>
        <v>2.4021023100602432E-2</v>
      </c>
      <c r="O57" s="41">
        <f t="shared" si="11"/>
        <v>2.4021023100602432E-2</v>
      </c>
      <c r="P57" s="41">
        <f t="shared" si="11"/>
        <v>2.4021023100602432E-2</v>
      </c>
      <c r="Q57" s="41">
        <f t="shared" si="11"/>
        <v>2.4021023100602432E-2</v>
      </c>
    </row>
    <row r="58" spans="2:17" x14ac:dyDescent="0.15">
      <c r="B58" s="1"/>
      <c r="H58" s="39"/>
      <c r="I58" s="39"/>
      <c r="J58" s="39"/>
      <c r="K58" s="39"/>
      <c r="L58" s="39"/>
      <c r="M58" s="39"/>
      <c r="N58" s="39"/>
      <c r="O58" s="39"/>
      <c r="P58" s="39"/>
      <c r="Q58" s="39"/>
    </row>
    <row r="59" spans="2:17" x14ac:dyDescent="0.15">
      <c r="B59" s="1" t="s">
        <v>58</v>
      </c>
      <c r="C59" s="59">
        <f>VLOOKUP($B59,BS_Input!$B$53:$G$57,COUNTBLANK(BS_Items!$B$10:C$10),FALSE)</f>
        <v>2388.3199999999997</v>
      </c>
      <c r="D59" s="59">
        <f>VLOOKUP($B59,BS_Input!$B$53:$G$57,COUNTBLANK(BS_Items!$B$10:D$10),FALSE)</f>
        <v>1941.36</v>
      </c>
      <c r="E59" s="59">
        <f>VLOOKUP($B59,BS_Input!$B$53:$G$57,COUNTBLANK(BS_Items!$B$10:E$10),FALSE)</f>
        <v>2218.9</v>
      </c>
      <c r="F59" s="59">
        <f>VLOOKUP($B59,BS_Input!$B$53:$G$57,COUNTBLANK(BS_Items!$B$10:F$10),FALSE)</f>
        <v>3743.64</v>
      </c>
      <c r="G59" s="59">
        <f>VLOOKUP($B59,BS_Input!$B$53:$G$57,COUNTBLANK(BS_Items!$B$10:G$10),FALSE)</f>
        <v>5428.56</v>
      </c>
      <c r="H59" s="39">
        <f>H60*Revenue_Build_Up!H$14</f>
        <v>5721.2999928017452</v>
      </c>
      <c r="I59" s="39">
        <f>I60*Revenue_Build_Up!I$14</f>
        <v>6722.7503441027502</v>
      </c>
      <c r="J59" s="39">
        <f>J60*Revenue_Build_Up!J$14</f>
        <v>7904.9380558029925</v>
      </c>
      <c r="K59" s="39">
        <f>K60*Revenue_Build_Up!K$14</f>
        <v>9301.072151145534</v>
      </c>
      <c r="L59" s="39">
        <f>L60*Revenue_Build_Up!L$14</f>
        <v>10950.535812903294</v>
      </c>
      <c r="M59" s="39">
        <f>M60*Revenue_Build_Up!M$14</f>
        <v>12900.044426605746</v>
      </c>
      <c r="N59" s="39">
        <f>N60*Revenue_Build_Up!N$14</f>
        <v>15205.022422964907</v>
      </c>
      <c r="O59" s="39">
        <f>O60*Revenue_Build_Up!O$14</f>
        <v>17931.240526867801</v>
      </c>
      <c r="P59" s="39">
        <f>P60*Revenue_Build_Up!P$14</f>
        <v>21156.762979102619</v>
      </c>
      <c r="Q59" s="39">
        <f>Q60*Revenue_Build_Up!Q$14</f>
        <v>24974.263786439449</v>
      </c>
    </row>
    <row r="60" spans="2:17" x14ac:dyDescent="0.15">
      <c r="C60" s="62">
        <f>C59/Revenue_Build_Up!C$14</f>
        <v>1.0547655123934461E-2</v>
      </c>
      <c r="D60" s="62">
        <f>D59/Revenue_Build_Up!D$14</f>
        <v>2.499634008650143E-2</v>
      </c>
      <c r="E60" s="62">
        <f>E59/Revenue_Build_Up!E$14</f>
        <v>1.1811616297975742E-2</v>
      </c>
      <c r="F60" s="62">
        <f>F59/Revenue_Build_Up!F$14</f>
        <v>1.0570855984807901E-2</v>
      </c>
      <c r="G60" s="62">
        <f>G59/Revenue_Build_Up!G$14</f>
        <v>1.2712724156354063E-2</v>
      </c>
      <c r="H60" s="41">
        <f>AVERAGE(C60,E60:G60)</f>
        <v>1.1410712890768041E-2</v>
      </c>
      <c r="I60" s="41">
        <f>H60</f>
        <v>1.1410712890768041E-2</v>
      </c>
      <c r="J60" s="41">
        <f t="shared" ref="J60:Q60" si="12">I60</f>
        <v>1.1410712890768041E-2</v>
      </c>
      <c r="K60" s="41">
        <f t="shared" si="12"/>
        <v>1.1410712890768041E-2</v>
      </c>
      <c r="L60" s="41">
        <f t="shared" si="12"/>
        <v>1.1410712890768041E-2</v>
      </c>
      <c r="M60" s="41">
        <f t="shared" si="12"/>
        <v>1.1410712890768041E-2</v>
      </c>
      <c r="N60" s="41">
        <f t="shared" si="12"/>
        <v>1.1410712890768041E-2</v>
      </c>
      <c r="O60" s="41">
        <f t="shared" si="12"/>
        <v>1.1410712890768041E-2</v>
      </c>
      <c r="P60" s="41">
        <f t="shared" si="12"/>
        <v>1.1410712890768041E-2</v>
      </c>
      <c r="Q60" s="41">
        <f t="shared" si="12"/>
        <v>1.1410712890768041E-2</v>
      </c>
    </row>
    <row r="61" spans="2:17" x14ac:dyDescent="0.15">
      <c r="H61" s="39"/>
      <c r="I61" s="39"/>
      <c r="J61" s="39"/>
      <c r="K61" s="39"/>
      <c r="L61" s="39"/>
      <c r="M61" s="39"/>
      <c r="N61" s="39"/>
      <c r="O61" s="39"/>
      <c r="P61" s="39"/>
      <c r="Q61" s="39"/>
    </row>
    <row r="62" spans="2:17" x14ac:dyDescent="0.15">
      <c r="B62" s="6" t="s">
        <v>59</v>
      </c>
      <c r="C62" s="59">
        <f>VLOOKUP($B62,BS_Input!$B$53:$G$57,COUNTBLANK(BS_Items!$B$10:C$10),FALSE)</f>
        <v>7229</v>
      </c>
      <c r="D62" s="59">
        <f>VLOOKUP($B62,BS_Input!$B$53:$G$57,COUNTBLANK(BS_Items!$B$10:D$10),FALSE)</f>
        <v>7036.08</v>
      </c>
      <c r="E62" s="59">
        <f>VLOOKUP($B62,BS_Input!$B$53:$G$57,COUNTBLANK(BS_Items!$B$10:E$10),FALSE)</f>
        <v>10330.66</v>
      </c>
      <c r="F62" s="59">
        <f>VLOOKUP($B62,BS_Input!$B$53:$G$57,COUNTBLANK(BS_Items!$B$10:F$10),FALSE)</f>
        <v>10544.37</v>
      </c>
      <c r="G62" s="59">
        <f>VLOOKUP($B62,BS_Input!$B$53:$G$57,COUNTBLANK(BS_Items!$B$10:G$10),FALSE)</f>
        <v>11609.51</v>
      </c>
      <c r="H62" s="39">
        <f>H63*Revenue_Build_Up!H$14</f>
        <v>18035.157049665162</v>
      </c>
      <c r="I62" s="39">
        <f>I63*Revenue_Build_Up!I$14</f>
        <v>21192.012027708581</v>
      </c>
      <c r="J62" s="39">
        <f>J63*Revenue_Build_Up!J$14</f>
        <v>24918.602325284846</v>
      </c>
      <c r="K62" s="39">
        <f>K63*Revenue_Build_Up!K$14</f>
        <v>29319.612183809051</v>
      </c>
      <c r="L62" s="39">
        <f>L63*Revenue_Build_Up!L$14</f>
        <v>34519.188543193253</v>
      </c>
      <c r="M62" s="39">
        <f>M63*Revenue_Build_Up!M$14</f>
        <v>40664.591521893009</v>
      </c>
      <c r="N62" s="39">
        <f>N63*Revenue_Build_Up!N$14</f>
        <v>47930.534613963362</v>
      </c>
      <c r="O62" s="39">
        <f>O63*Revenue_Build_Up!O$14</f>
        <v>56524.345761323151</v>
      </c>
      <c r="P62" s="39">
        <f>P63*Revenue_Build_Up!P$14</f>
        <v>66692.105547816813</v>
      </c>
      <c r="Q62" s="39">
        <f>Q63*Revenue_Build_Up!Q$14</f>
        <v>78725.948675107094</v>
      </c>
    </row>
    <row r="63" spans="2:17" x14ac:dyDescent="0.15">
      <c r="C63" s="62">
        <f>C62/Revenue_Build_Up!C$14</f>
        <v>3.192578837464085E-2</v>
      </c>
      <c r="D63" s="62">
        <f>D62/Revenue_Build_Up!D$14</f>
        <v>9.0594350638640436E-2</v>
      </c>
      <c r="E63" s="62">
        <f>E62/Revenue_Build_Up!E$14</f>
        <v>5.4992019480303786E-2</v>
      </c>
      <c r="F63" s="62">
        <f>F62/Revenue_Build_Up!F$14</f>
        <v>2.977396777482047E-2</v>
      </c>
      <c r="G63" s="62">
        <f>G62/Revenue_Build_Up!G$14</f>
        <v>2.7187412172000321E-2</v>
      </c>
      <c r="H63" s="41">
        <f>AVERAGE(C63,E63:G63)</f>
        <v>3.5969796950441356E-2</v>
      </c>
      <c r="I63" s="41">
        <f>H63</f>
        <v>3.5969796950441356E-2</v>
      </c>
      <c r="J63" s="41">
        <f t="shared" ref="J63:Q63" si="13">I63</f>
        <v>3.5969796950441356E-2</v>
      </c>
      <c r="K63" s="41">
        <f t="shared" si="13"/>
        <v>3.5969796950441356E-2</v>
      </c>
      <c r="L63" s="41">
        <f t="shared" si="13"/>
        <v>3.5969796950441356E-2</v>
      </c>
      <c r="M63" s="41">
        <f t="shared" si="13"/>
        <v>3.5969796950441356E-2</v>
      </c>
      <c r="N63" s="41">
        <f t="shared" si="13"/>
        <v>3.5969796950441356E-2</v>
      </c>
      <c r="O63" s="41">
        <f t="shared" si="13"/>
        <v>3.5969796950441356E-2</v>
      </c>
      <c r="P63" s="41">
        <f t="shared" si="13"/>
        <v>3.5969796950441356E-2</v>
      </c>
      <c r="Q63" s="41">
        <f t="shared" si="13"/>
        <v>3.5969796950441356E-2</v>
      </c>
    </row>
    <row r="64" spans="2:17" x14ac:dyDescent="0.15">
      <c r="H64" s="39"/>
      <c r="I64" s="39"/>
      <c r="J64" s="39"/>
      <c r="K64" s="39"/>
      <c r="L64" s="39"/>
      <c r="M64" s="39"/>
      <c r="N64" s="39"/>
      <c r="O64" s="39"/>
      <c r="P64" s="39"/>
      <c r="Q64" s="39"/>
    </row>
    <row r="65" spans="2:17" x14ac:dyDescent="0.15">
      <c r="B65" s="6" t="s">
        <v>60</v>
      </c>
      <c r="C65" s="59">
        <f>VLOOKUP($B65,BS_Input!$B$53:$G$57,COUNTBLANK(BS_Items!$B$10:C$10),FALSE)</f>
        <v>776.81</v>
      </c>
      <c r="D65" s="59">
        <f>VLOOKUP($B65,BS_Input!$B$53:$G$57,COUNTBLANK(BS_Items!$B$10:D$10),FALSE)</f>
        <v>863.16</v>
      </c>
      <c r="E65" s="59">
        <f>VLOOKUP($B65,BS_Input!$B$53:$G$57,COUNTBLANK(BS_Items!$B$10:E$10),FALSE)</f>
        <v>695.39</v>
      </c>
      <c r="F65" s="59">
        <f>VLOOKUP($B65,BS_Input!$B$53:$G$57,COUNTBLANK(BS_Items!$B$10:F$10),FALSE)</f>
        <v>1665.81</v>
      </c>
      <c r="G65" s="59">
        <f>VLOOKUP($B65,BS_Input!$B$53:$G$57,COUNTBLANK(BS_Items!$B$10:G$10),FALSE)</f>
        <v>1752.46</v>
      </c>
      <c r="H65" s="39">
        <f>H66*Revenue_Build_Up!H$14</f>
        <v>1998.0711981069403</v>
      </c>
      <c r="I65" s="39">
        <f>I66*Revenue_Build_Up!I$14</f>
        <v>2347.8114854168407</v>
      </c>
      <c r="J65" s="39">
        <f>J66*Revenue_Build_Up!J$14</f>
        <v>2760.6713634998073</v>
      </c>
      <c r="K65" s="39">
        <f>K66*Revenue_Build_Up!K$14</f>
        <v>3248.2485449286305</v>
      </c>
      <c r="L65" s="39">
        <f>L66*Revenue_Build_Up!L$14</f>
        <v>3824.2969673201728</v>
      </c>
      <c r="M65" s="39">
        <f>M66*Revenue_Build_Up!M$14</f>
        <v>4505.1312211437926</v>
      </c>
      <c r="N65" s="39">
        <f>N66*Revenue_Build_Up!N$14</f>
        <v>5310.1073896002463</v>
      </c>
      <c r="O65" s="39">
        <f>O66*Revenue_Build_Up!O$14</f>
        <v>6262.1948312690029</v>
      </c>
      <c r="P65" s="39">
        <f>P66*Revenue_Build_Up!P$14</f>
        <v>7388.6562157036969</v>
      </c>
      <c r="Q65" s="39">
        <f>Q66*Revenue_Build_Up!Q$14</f>
        <v>8721.8564361931694</v>
      </c>
    </row>
    <row r="66" spans="2:17" x14ac:dyDescent="0.15">
      <c r="C66" s="62">
        <f>C65/Revenue_Build_Up!C$14</f>
        <v>3.4306642228945573E-3</v>
      </c>
      <c r="D66" s="62">
        <f>D65/Revenue_Build_Up!D$14</f>
        <v>1.1113776377933291E-2</v>
      </c>
      <c r="E66" s="62">
        <f>E65/Revenue_Build_Up!E$14</f>
        <v>3.701689962345915E-3</v>
      </c>
      <c r="F66" s="62">
        <f>F65/Revenue_Build_Up!F$14</f>
        <v>4.7037208727476066E-3</v>
      </c>
      <c r="G66" s="62">
        <f>G65/Revenue_Build_Up!G$14</f>
        <v>4.1039503247719917E-3</v>
      </c>
      <c r="H66" s="41">
        <f>AVERAGE(C66,E66:G66)</f>
        <v>3.9850063456900175E-3</v>
      </c>
      <c r="I66" s="41">
        <f>H66</f>
        <v>3.9850063456900175E-3</v>
      </c>
      <c r="J66" s="41">
        <f t="shared" ref="J66:Q66" si="14">I66</f>
        <v>3.9850063456900175E-3</v>
      </c>
      <c r="K66" s="41">
        <f t="shared" si="14"/>
        <v>3.9850063456900175E-3</v>
      </c>
      <c r="L66" s="41">
        <f t="shared" si="14"/>
        <v>3.9850063456900175E-3</v>
      </c>
      <c r="M66" s="41">
        <f t="shared" si="14"/>
        <v>3.9850063456900175E-3</v>
      </c>
      <c r="N66" s="41">
        <f t="shared" si="14"/>
        <v>3.9850063456900175E-3</v>
      </c>
      <c r="O66" s="41">
        <f t="shared" si="14"/>
        <v>3.9850063456900175E-3</v>
      </c>
      <c r="P66" s="41">
        <f t="shared" si="14"/>
        <v>3.9850063456900175E-3</v>
      </c>
      <c r="Q66" s="41">
        <f t="shared" si="14"/>
        <v>3.9850063456900175E-3</v>
      </c>
    </row>
    <row r="67" spans="2:17" x14ac:dyDescent="0.15">
      <c r="H67" s="39"/>
      <c r="I67" s="39"/>
      <c r="J67" s="39"/>
      <c r="K67" s="39"/>
      <c r="L67" s="39"/>
      <c r="M67" s="39"/>
      <c r="N67" s="39"/>
      <c r="O67" s="39"/>
      <c r="P67" s="39"/>
      <c r="Q67" s="39"/>
    </row>
    <row r="68" spans="2:17" x14ac:dyDescent="0.15">
      <c r="B68" s="15" t="s">
        <v>143</v>
      </c>
      <c r="H68" s="39"/>
      <c r="I68" s="39"/>
      <c r="J68" s="39"/>
      <c r="K68" s="39"/>
      <c r="L68" s="39"/>
      <c r="M68" s="39"/>
      <c r="N68" s="39"/>
      <c r="O68" s="39"/>
      <c r="P68" s="39"/>
      <c r="Q68" s="39"/>
    </row>
    <row r="69" spans="2:17" x14ac:dyDescent="0.15">
      <c r="H69" s="39"/>
      <c r="I69" s="39"/>
      <c r="J69" s="39"/>
      <c r="K69" s="39"/>
      <c r="L69" s="39"/>
      <c r="M69" s="39"/>
      <c r="N69" s="39"/>
      <c r="O69" s="39"/>
      <c r="P69" s="39"/>
      <c r="Q69" s="39"/>
    </row>
    <row r="70" spans="2:17" x14ac:dyDescent="0.15">
      <c r="B70" s="1" t="s">
        <v>56</v>
      </c>
      <c r="C70" s="59">
        <f>VLOOKUP($B70,BS_Input!$B$62:$G$70,COUNTBLANK(BS_Items!$B$10:C$10),FALSE)</f>
        <v>0</v>
      </c>
      <c r="D70" s="59">
        <f>VLOOKUP($B70,BS_Input!$B$62:$G$70,COUNTBLANK(BS_Items!$B$10:D$10),FALSE)</f>
        <v>0</v>
      </c>
      <c r="E70" s="59">
        <f>VLOOKUP($B70,BS_Input!$B$62:$G$70,COUNTBLANK(BS_Items!$B$10:E$10),FALSE)</f>
        <v>0</v>
      </c>
      <c r="F70" s="59">
        <f>VLOOKUP($B70,BS_Input!$B$62:$G$70,COUNTBLANK(BS_Items!$B$10:F$10),FALSE)</f>
        <v>0</v>
      </c>
      <c r="G70" s="59">
        <f>VLOOKUP($B70,BS_Input!$B$62:$G$70,COUNTBLANK(BS_Items!$B$10:G$10),FALSE)</f>
        <v>0</v>
      </c>
      <c r="H70" s="39">
        <f>H71*Revenue_Build_Up!H$14</f>
        <v>0</v>
      </c>
      <c r="I70" s="39">
        <f>I71*Revenue_Build_Up!I$14</f>
        <v>0</v>
      </c>
      <c r="J70" s="39">
        <f>J71*Revenue_Build_Up!J$14</f>
        <v>0</v>
      </c>
      <c r="K70" s="39">
        <f>K71*Revenue_Build_Up!K$14</f>
        <v>0</v>
      </c>
      <c r="L70" s="39">
        <f>L71*Revenue_Build_Up!L$14</f>
        <v>0</v>
      </c>
      <c r="M70" s="39">
        <f>M71*Revenue_Build_Up!M$14</f>
        <v>0</v>
      </c>
      <c r="N70" s="39">
        <f>N71*Revenue_Build_Up!N$14</f>
        <v>0</v>
      </c>
      <c r="O70" s="39">
        <f>O71*Revenue_Build_Up!O$14</f>
        <v>0</v>
      </c>
      <c r="P70" s="39">
        <f>P71*Revenue_Build_Up!P$14</f>
        <v>0</v>
      </c>
      <c r="Q70" s="39">
        <f>Q71*Revenue_Build_Up!Q$14</f>
        <v>0</v>
      </c>
    </row>
    <row r="71" spans="2:17" x14ac:dyDescent="0.15">
      <c r="C71" s="62">
        <f>C70/Revenue_Build_Up!C$14</f>
        <v>0</v>
      </c>
      <c r="D71" s="62">
        <f>D70/Revenue_Build_Up!D$14</f>
        <v>0</v>
      </c>
      <c r="E71" s="62">
        <f>E70/Revenue_Build_Up!E$14</f>
        <v>0</v>
      </c>
      <c r="F71" s="62">
        <f>F70/Revenue_Build_Up!F$14</f>
        <v>0</v>
      </c>
      <c r="G71" s="62">
        <f>G70/Revenue_Build_Up!G$14</f>
        <v>0</v>
      </c>
      <c r="H71" s="41">
        <f>AVERAGE(C71,E71:G71)</f>
        <v>0</v>
      </c>
      <c r="I71" s="41">
        <f>H71</f>
        <v>0</v>
      </c>
      <c r="J71" s="41">
        <f t="shared" ref="J71:Q71" si="15">I71</f>
        <v>0</v>
      </c>
      <c r="K71" s="41">
        <f t="shared" si="15"/>
        <v>0</v>
      </c>
      <c r="L71" s="41">
        <f t="shared" si="15"/>
        <v>0</v>
      </c>
      <c r="M71" s="41">
        <f t="shared" si="15"/>
        <v>0</v>
      </c>
      <c r="N71" s="41">
        <f t="shared" si="15"/>
        <v>0</v>
      </c>
      <c r="O71" s="41">
        <f t="shared" si="15"/>
        <v>0</v>
      </c>
      <c r="P71" s="41">
        <f t="shared" si="15"/>
        <v>0</v>
      </c>
      <c r="Q71" s="41">
        <f t="shared" si="15"/>
        <v>0</v>
      </c>
    </row>
    <row r="72" spans="2:17" x14ac:dyDescent="0.15">
      <c r="H72" s="39"/>
      <c r="I72" s="39"/>
      <c r="J72" s="39"/>
      <c r="K72" s="39"/>
      <c r="L72" s="39"/>
      <c r="M72" s="39"/>
      <c r="N72" s="39"/>
      <c r="O72" s="39"/>
      <c r="P72" s="39"/>
      <c r="Q72" s="39"/>
    </row>
    <row r="73" spans="2:17" x14ac:dyDescent="0.15">
      <c r="B73" s="1" t="s">
        <v>57</v>
      </c>
      <c r="C73" s="59">
        <f>VLOOKUP($B73,BS_Input!$B$62:$G$70,COUNTBLANK(BS_Items!$B$10:C$10),FALSE)</f>
        <v>2240.2800000000002</v>
      </c>
      <c r="D73" s="59">
        <f>VLOOKUP($B73,BS_Input!$B$62:$G$70,COUNTBLANK(BS_Items!$B$10:D$10),FALSE)</f>
        <v>1875.45</v>
      </c>
      <c r="E73" s="59">
        <f>VLOOKUP($B73,BS_Input!$B$62:$G$70,COUNTBLANK(BS_Items!$B$10:E$10),FALSE)</f>
        <v>2149.39</v>
      </c>
      <c r="F73" s="59">
        <f>VLOOKUP($B73,BS_Input!$B$62:$G$70,COUNTBLANK(BS_Items!$B$10:F$10),FALSE)</f>
        <v>2471.11</v>
      </c>
      <c r="G73" s="59">
        <f>VLOOKUP($B73,BS_Input!$B$62:$G$70,COUNTBLANK(BS_Items!$B$10:G$10),FALSE)</f>
        <v>1855.31</v>
      </c>
      <c r="H73" s="39">
        <f>H74*Revenue_Build_Up!H$14</f>
        <v>4093.6453558164967</v>
      </c>
      <c r="I73" s="39">
        <f>I74*Revenue_Build_Up!I$14</f>
        <v>4810.1927462421072</v>
      </c>
      <c r="J73" s="39">
        <f>J74*Revenue_Build_Up!J$14</f>
        <v>5656.0594621622286</v>
      </c>
      <c r="K73" s="39">
        <f>K74*Revenue_Build_Up!K$14</f>
        <v>6655.0068801767957</v>
      </c>
      <c r="L73" s="39">
        <f>L74*Revenue_Build_Up!L$14</f>
        <v>7835.2140476104478</v>
      </c>
      <c r="M73" s="39">
        <f>M74*Revenue_Build_Up!M$14</f>
        <v>9230.1062736164422</v>
      </c>
      <c r="N73" s="39">
        <f>N74*Revenue_Build_Up!N$14</f>
        <v>10879.340273219066</v>
      </c>
      <c r="O73" s="39">
        <f>O74*Revenue_Build_Up!O$14</f>
        <v>12829.975634767336</v>
      </c>
      <c r="P73" s="39">
        <f>P74*Revenue_Build_Up!P$14</f>
        <v>15137.868075870878</v>
      </c>
      <c r="Q73" s="39">
        <f>Q74*Revenue_Build_Up!Q$14</f>
        <v>17869.326742684691</v>
      </c>
    </row>
    <row r="74" spans="2:17" x14ac:dyDescent="0.15">
      <c r="C74" s="62">
        <f>C73/Revenue_Build_Up!C$14</f>
        <v>9.8938587882058931E-3</v>
      </c>
      <c r="D74" s="62">
        <f>D73/Revenue_Build_Up!D$14</f>
        <v>2.414770367949742E-2</v>
      </c>
      <c r="E74" s="62">
        <f>E73/Revenue_Build_Up!E$14</f>
        <v>1.1441601674120545E-2</v>
      </c>
      <c r="F74" s="62">
        <f>F73/Revenue_Build_Up!F$14</f>
        <v>6.9776335151399858E-3</v>
      </c>
      <c r="G74" s="62">
        <f>G73/Revenue_Build_Up!G$14</f>
        <v>4.3448067727952268E-3</v>
      </c>
      <c r="H74" s="41">
        <f>AVERAGE(C74,E74:G74)</f>
        <v>8.164475187565412E-3</v>
      </c>
      <c r="I74" s="41">
        <f>H74</f>
        <v>8.164475187565412E-3</v>
      </c>
      <c r="J74" s="41">
        <f t="shared" ref="J74:Q74" si="16">I74</f>
        <v>8.164475187565412E-3</v>
      </c>
      <c r="K74" s="41">
        <f t="shared" si="16"/>
        <v>8.164475187565412E-3</v>
      </c>
      <c r="L74" s="41">
        <f t="shared" si="16"/>
        <v>8.164475187565412E-3</v>
      </c>
      <c r="M74" s="41">
        <f t="shared" si="16"/>
        <v>8.164475187565412E-3</v>
      </c>
      <c r="N74" s="41">
        <f t="shared" si="16"/>
        <v>8.164475187565412E-3</v>
      </c>
      <c r="O74" s="41">
        <f t="shared" si="16"/>
        <v>8.164475187565412E-3</v>
      </c>
      <c r="P74" s="41">
        <f t="shared" si="16"/>
        <v>8.164475187565412E-3</v>
      </c>
      <c r="Q74" s="41">
        <f t="shared" si="16"/>
        <v>8.164475187565412E-3</v>
      </c>
    </row>
    <row r="75" spans="2:17" x14ac:dyDescent="0.15">
      <c r="H75" s="39"/>
      <c r="I75" s="39"/>
      <c r="J75" s="39"/>
      <c r="K75" s="39"/>
      <c r="L75" s="39"/>
      <c r="M75" s="39"/>
      <c r="N75" s="39"/>
      <c r="O75" s="39"/>
      <c r="P75" s="39"/>
      <c r="Q75" s="39"/>
    </row>
    <row r="76" spans="2:17" x14ac:dyDescent="0.15">
      <c r="B76" s="1" t="s">
        <v>58</v>
      </c>
      <c r="C76" s="59">
        <f>VLOOKUP($B76,BS_Input!$B$62:$G$70,COUNTBLANK(BS_Items!$B$10:C$10),FALSE)</f>
        <v>75677.759999999995</v>
      </c>
      <c r="D76" s="59">
        <f>VLOOKUP($B76,BS_Input!$B$62:$G$70,COUNTBLANK(BS_Items!$B$10:D$10),FALSE)</f>
        <v>27595.71</v>
      </c>
      <c r="E76" s="59">
        <f>VLOOKUP($B76,BS_Input!$B$62:$G$70,COUNTBLANK(BS_Items!$B$10:E$10),FALSE)</f>
        <v>32022.71</v>
      </c>
      <c r="F76" s="59">
        <f>VLOOKUP($B76,BS_Input!$B$62:$G$70,COUNTBLANK(BS_Items!$B$10:F$10),FALSE)</f>
        <v>35502.43</v>
      </c>
      <c r="G76" s="59">
        <f>VLOOKUP($B76,BS_Input!$B$62:$G$70,COUNTBLANK(BS_Items!$B$10:G$10),FALSE)</f>
        <v>55734.76</v>
      </c>
      <c r="H76" s="39">
        <f>H77*Revenue_Build_Up!H$14</f>
        <v>92188.250679586956</v>
      </c>
      <c r="I76" s="39">
        <f>I77*Revenue_Build_Up!I$14</f>
        <v>108324.78540859125</v>
      </c>
      <c r="J76" s="39">
        <f>J77*Revenue_Build_Up!J$14</f>
        <v>127373.57104361603</v>
      </c>
      <c r="K76" s="39">
        <f>K77*Revenue_Build_Up!K$14</f>
        <v>149869.71005497526</v>
      </c>
      <c r="L76" s="39">
        <f>L77*Revenue_Build_Up!L$14</f>
        <v>176447.79016409547</v>
      </c>
      <c r="M76" s="39">
        <f>M77*Revenue_Build_Up!M$14</f>
        <v>207860.54408508071</v>
      </c>
      <c r="N76" s="39">
        <f>N77*Revenue_Build_Up!N$14</f>
        <v>245001.0348138726</v>
      </c>
      <c r="O76" s="39">
        <f>O77*Revenue_Build_Up!O$14</f>
        <v>288929.03689137829</v>
      </c>
      <c r="P76" s="39">
        <f>P77*Revenue_Build_Up!P$14</f>
        <v>340902.41230839491</v>
      </c>
      <c r="Q76" s="39">
        <f>Q77*Revenue_Build_Up!Q$14</f>
        <v>402414.43262529356</v>
      </c>
    </row>
    <row r="77" spans="2:17" x14ac:dyDescent="0.15">
      <c r="C77" s="62">
        <f>C76/Revenue_Build_Up!C$14</f>
        <v>0.33421941491587492</v>
      </c>
      <c r="D77" s="62">
        <f>D76/Revenue_Build_Up!D$14</f>
        <v>0.35531367293467897</v>
      </c>
      <c r="E77" s="62">
        <f>E76/Revenue_Build_Up!E$14</f>
        <v>0.17046282542762214</v>
      </c>
      <c r="F77" s="62">
        <f>F76/Revenue_Build_Up!F$14</f>
        <v>0.10024763990146585</v>
      </c>
      <c r="G77" s="62">
        <f>G76/Revenue_Build_Up!G$14</f>
        <v>0.13052091711256691</v>
      </c>
      <c r="H77" s="41">
        <f>AVERAGE(C77,E77:G77)</f>
        <v>0.18386269933938248</v>
      </c>
      <c r="I77" s="41">
        <f>H77</f>
        <v>0.18386269933938248</v>
      </c>
      <c r="J77" s="41">
        <f t="shared" ref="J77:Q77" si="17">I77</f>
        <v>0.18386269933938248</v>
      </c>
      <c r="K77" s="41">
        <f t="shared" si="17"/>
        <v>0.18386269933938248</v>
      </c>
      <c r="L77" s="41">
        <f t="shared" si="17"/>
        <v>0.18386269933938248</v>
      </c>
      <c r="M77" s="41">
        <f t="shared" si="17"/>
        <v>0.18386269933938248</v>
      </c>
      <c r="N77" s="41">
        <f t="shared" si="17"/>
        <v>0.18386269933938248</v>
      </c>
      <c r="O77" s="41">
        <f t="shared" si="17"/>
        <v>0.18386269933938248</v>
      </c>
      <c r="P77" s="41">
        <f t="shared" si="17"/>
        <v>0.18386269933938248</v>
      </c>
      <c r="Q77" s="41">
        <f t="shared" si="17"/>
        <v>0.18386269933938248</v>
      </c>
    </row>
    <row r="78" spans="2:17" x14ac:dyDescent="0.15">
      <c r="H78" s="39"/>
      <c r="I78" s="39"/>
      <c r="J78" s="39"/>
      <c r="K78" s="39"/>
      <c r="L78" s="39"/>
      <c r="M78" s="39"/>
      <c r="N78" s="39"/>
      <c r="O78" s="39"/>
      <c r="P78" s="39"/>
      <c r="Q78" s="39"/>
    </row>
    <row r="79" spans="2:17" x14ac:dyDescent="0.15">
      <c r="B79" s="6" t="s">
        <v>64</v>
      </c>
      <c r="C79" s="59">
        <f>VLOOKUP($B79,BS_Input!$B$62:$G$70,COUNTBLANK(BS_Items!$B$10:C$10),FALSE)</f>
        <v>80486.91</v>
      </c>
      <c r="D79" s="59">
        <f>VLOOKUP($B79,BS_Input!$B$62:$G$70,COUNTBLANK(BS_Items!$B$10:D$10),FALSE)</f>
        <v>64618.87</v>
      </c>
      <c r="E79" s="59">
        <f>VLOOKUP($B79,BS_Input!$B$62:$G$70,COUNTBLANK(BS_Items!$B$10:E$10),FALSE)</f>
        <v>73689.570000000007</v>
      </c>
      <c r="F79" s="59">
        <f>VLOOKUP($B79,BS_Input!$B$62:$G$70,COUNTBLANK(BS_Items!$B$10:F$10),FALSE)</f>
        <v>113189.73</v>
      </c>
      <c r="G79" s="59">
        <f>VLOOKUP($B79,BS_Input!$B$62:$G$70,COUNTBLANK(BS_Items!$B$10:G$10),FALSE)</f>
        <v>102771.53</v>
      </c>
      <c r="H79" s="39">
        <f>H80*Revenue_Build_Up!H$14</f>
        <v>163957.68265405615</v>
      </c>
      <c r="I79" s="39">
        <f>I80*Revenue_Build_Up!I$14</f>
        <v>192656.66349739346</v>
      </c>
      <c r="J79" s="39">
        <f>J80*Revenue_Build_Up!J$14</f>
        <v>226535.11033925434</v>
      </c>
      <c r="K79" s="39">
        <f>K80*Revenue_Build_Up!K$14</f>
        <v>266544.70802416507</v>
      </c>
      <c r="L79" s="39">
        <f>L80*Revenue_Build_Up!L$14</f>
        <v>313814.07686413726</v>
      </c>
      <c r="M79" s="39">
        <f>M80*Revenue_Build_Up!M$14</f>
        <v>369681.95916692278</v>
      </c>
      <c r="N79" s="39">
        <f>N80*Revenue_Build_Up!N$14</f>
        <v>435736.67598427483</v>
      </c>
      <c r="O79" s="39">
        <f>O80*Revenue_Build_Up!O$14</f>
        <v>513863.04643991025</v>
      </c>
      <c r="P79" s="39">
        <f>P80*Revenue_Build_Up!P$14</f>
        <v>606298.19007552124</v>
      </c>
      <c r="Q79" s="39">
        <f>Q80*Revenue_Build_Up!Q$14</f>
        <v>715697.9045964207</v>
      </c>
    </row>
    <row r="80" spans="2:17" x14ac:dyDescent="0.15">
      <c r="C80" s="62">
        <f>C79/Revenue_Build_Up!C$14</f>
        <v>0.35545830067627116</v>
      </c>
      <c r="D80" s="62">
        <f>D79/Revenue_Build_Up!D$14</f>
        <v>0.83201222366043637</v>
      </c>
      <c r="E80" s="62">
        <f>E79/Revenue_Build_Up!E$14</f>
        <v>0.39226325026041026</v>
      </c>
      <c r="F80" s="62">
        <f>F79/Revenue_Build_Up!F$14</f>
        <v>0.31961201792621363</v>
      </c>
      <c r="G80" s="62">
        <f>G79/Revenue_Build_Up!G$14</f>
        <v>0.24067268520868632</v>
      </c>
      <c r="H80" s="41">
        <f>AVERAGE(C80,E80:G80)</f>
        <v>0.32700156351789533</v>
      </c>
      <c r="I80" s="41">
        <f>H80</f>
        <v>0.32700156351789533</v>
      </c>
      <c r="J80" s="41">
        <f t="shared" ref="J80:Q80" si="18">I80</f>
        <v>0.32700156351789533</v>
      </c>
      <c r="K80" s="41">
        <f t="shared" si="18"/>
        <v>0.32700156351789533</v>
      </c>
      <c r="L80" s="41">
        <f t="shared" si="18"/>
        <v>0.32700156351789533</v>
      </c>
      <c r="M80" s="41">
        <f t="shared" si="18"/>
        <v>0.32700156351789533</v>
      </c>
      <c r="N80" s="41">
        <f t="shared" si="18"/>
        <v>0.32700156351789533</v>
      </c>
      <c r="O80" s="41">
        <f t="shared" si="18"/>
        <v>0.32700156351789533</v>
      </c>
      <c r="P80" s="41">
        <f t="shared" si="18"/>
        <v>0.32700156351789533</v>
      </c>
      <c r="Q80" s="41">
        <f t="shared" si="18"/>
        <v>0.32700156351789533</v>
      </c>
    </row>
    <row r="81" spans="1:17" x14ac:dyDescent="0.15">
      <c r="H81" s="39"/>
      <c r="I81" s="39"/>
      <c r="J81" s="39"/>
      <c r="K81" s="39"/>
      <c r="L81" s="39"/>
      <c r="M81" s="39"/>
      <c r="N81" s="39"/>
      <c r="O81" s="39"/>
      <c r="P81" s="39"/>
      <c r="Q81" s="39"/>
    </row>
    <row r="82" spans="1:17" x14ac:dyDescent="0.15">
      <c r="B82" s="6" t="s">
        <v>59</v>
      </c>
      <c r="C82" s="59">
        <f>VLOOKUP($B82,BS_Input!$B$62:$G$70,COUNTBLANK(BS_Items!$B$10:C$10),FALSE)</f>
        <v>1133.78</v>
      </c>
      <c r="D82" s="59">
        <f>VLOOKUP($B82,BS_Input!$B$62:$G$70,COUNTBLANK(BS_Items!$B$10:D$10),FALSE)</f>
        <v>1044.54</v>
      </c>
      <c r="E82" s="59">
        <f>VLOOKUP($B82,BS_Input!$B$62:$G$70,COUNTBLANK(BS_Items!$B$10:E$10),FALSE)</f>
        <v>2839.58</v>
      </c>
      <c r="F82" s="59">
        <f>VLOOKUP($B82,BS_Input!$B$62:$G$70,COUNTBLANK(BS_Items!$B$10:F$10),FALSE)</f>
        <v>2757.8</v>
      </c>
      <c r="G82" s="59">
        <f>VLOOKUP($B82,BS_Input!$B$62:$G$70,COUNTBLANK(BS_Items!$B$10:G$10),FALSE)</f>
        <v>3040.72</v>
      </c>
      <c r="H82" s="39">
        <f>H83*Revenue_Build_Up!H$14</f>
        <v>4391.0818217914639</v>
      </c>
      <c r="I82" s="39">
        <f>I83*Revenue_Build_Up!I$14</f>
        <v>5159.6921793250949</v>
      </c>
      <c r="J82" s="39">
        <f>J83*Revenue_Build_Up!J$14</f>
        <v>6067.0179579634014</v>
      </c>
      <c r="K82" s="39">
        <f>K83*Revenue_Build_Up!K$14</f>
        <v>7138.5469906229455</v>
      </c>
      <c r="L82" s="39">
        <f>L83*Revenue_Build_Up!L$14</f>
        <v>8404.5057604764352</v>
      </c>
      <c r="M82" s="39">
        <f>M83*Revenue_Build_Up!M$14</f>
        <v>9900.748195906328</v>
      </c>
      <c r="N82" s="39">
        <f>N83*Revenue_Build_Up!N$14</f>
        <v>11669.812393234941</v>
      </c>
      <c r="O82" s="39">
        <f>O83*Revenue_Build_Up!O$14</f>
        <v>13762.177200769622</v>
      </c>
      <c r="P82" s="39">
        <f>P83*Revenue_Build_Up!P$14</f>
        <v>16237.756706058348</v>
      </c>
      <c r="Q82" s="39">
        <f>Q83*Revenue_Build_Up!Q$14</f>
        <v>19167.677951380443</v>
      </c>
    </row>
    <row r="83" spans="1:17" x14ac:dyDescent="0.15">
      <c r="C83" s="62">
        <f>C82/Revenue_Build_Up!C$14</f>
        <v>5.0071683972057407E-3</v>
      </c>
      <c r="D83" s="62">
        <f>D82/Revenue_Build_Up!D$14</f>
        <v>1.3449168147048565E-2</v>
      </c>
      <c r="E83" s="62">
        <f>E82/Revenue_Build_Up!E$14</f>
        <v>1.5115611071885148E-2</v>
      </c>
      <c r="F83" s="62">
        <f>F82/Revenue_Build_Up!F$14</f>
        <v>7.7871554516201437E-3</v>
      </c>
      <c r="G83" s="62">
        <f>G82/Revenue_Build_Up!G$14</f>
        <v>7.1208266274498068E-3</v>
      </c>
      <c r="H83" s="41">
        <f>AVERAGE(C83,E83:G83)</f>
        <v>8.7576903870402092E-3</v>
      </c>
      <c r="I83" s="41">
        <f>H83</f>
        <v>8.7576903870402092E-3</v>
      </c>
      <c r="J83" s="41">
        <f t="shared" ref="J83:Q83" si="19">I83</f>
        <v>8.7576903870402092E-3</v>
      </c>
      <c r="K83" s="41">
        <f t="shared" si="19"/>
        <v>8.7576903870402092E-3</v>
      </c>
      <c r="L83" s="41">
        <f t="shared" si="19"/>
        <v>8.7576903870402092E-3</v>
      </c>
      <c r="M83" s="41">
        <f t="shared" si="19"/>
        <v>8.7576903870402092E-3</v>
      </c>
      <c r="N83" s="41">
        <f t="shared" si="19"/>
        <v>8.7576903870402092E-3</v>
      </c>
      <c r="O83" s="41">
        <f t="shared" si="19"/>
        <v>8.7576903870402092E-3</v>
      </c>
      <c r="P83" s="41">
        <f t="shared" si="19"/>
        <v>8.7576903870402092E-3</v>
      </c>
      <c r="Q83" s="41">
        <f t="shared" si="19"/>
        <v>8.7576903870402092E-3</v>
      </c>
    </row>
    <row r="84" spans="1:17" x14ac:dyDescent="0.15">
      <c r="H84" s="39"/>
      <c r="I84" s="39"/>
      <c r="J84" s="39"/>
      <c r="K84" s="39"/>
      <c r="L84" s="39"/>
      <c r="M84" s="39"/>
      <c r="N84" s="39"/>
      <c r="O84" s="39"/>
      <c r="P84" s="39"/>
      <c r="Q84" s="39"/>
    </row>
    <row r="85" spans="1:17" x14ac:dyDescent="0.15">
      <c r="B85" s="6" t="s">
        <v>65</v>
      </c>
      <c r="C85" s="59">
        <f>VLOOKUP($B85,BS_Input!$B$62:$G$70,COUNTBLANK(BS_Items!$B$10:C$10),FALSE)</f>
        <v>104.58</v>
      </c>
      <c r="D85" s="59">
        <f>VLOOKUP($B85,BS_Input!$B$62:$G$70,COUNTBLANK(BS_Items!$B$10:D$10),FALSE)</f>
        <v>461.61</v>
      </c>
      <c r="E85" s="59">
        <f>VLOOKUP($B85,BS_Input!$B$62:$G$70,COUNTBLANK(BS_Items!$B$10:E$10),FALSE)</f>
        <v>0</v>
      </c>
      <c r="F85" s="59">
        <f>VLOOKUP($B85,BS_Input!$B$62:$G$70,COUNTBLANK(BS_Items!$B$10:F$10),FALSE)</f>
        <v>0</v>
      </c>
      <c r="G85" s="59">
        <f>VLOOKUP($B85,BS_Input!$B$62:$G$70,COUNTBLANK(BS_Items!$B$10:G$10),FALSE)</f>
        <v>0</v>
      </c>
      <c r="H85" s="39">
        <f>H86*Revenue_Build_Up!H$14</f>
        <v>57.894058310838219</v>
      </c>
      <c r="I85" s="39">
        <f>I86*Revenue_Build_Up!I$14</f>
        <v>68.027773569009412</v>
      </c>
      <c r="J85" s="39">
        <f>J86*Revenue_Build_Up!J$14</f>
        <v>79.990377243286247</v>
      </c>
      <c r="K85" s="39">
        <f>K86*Revenue_Build_Up!K$14</f>
        <v>94.11791273822692</v>
      </c>
      <c r="L85" s="39">
        <f>L86*Revenue_Build_Up!L$14</f>
        <v>110.80890002006119</v>
      </c>
      <c r="M85" s="39">
        <f>M86*Revenue_Build_Up!M$14</f>
        <v>130.53605390137702</v>
      </c>
      <c r="N85" s="39">
        <f>N86*Revenue_Build_Up!N$14</f>
        <v>153.86021636345899</v>
      </c>
      <c r="O85" s="39">
        <f>O86*Revenue_Build_Up!O$14</f>
        <v>181.44692394285408</v>
      </c>
      <c r="P85" s="39">
        <f>P86*Revenue_Build_Up!P$14</f>
        <v>214.08611174414847</v>
      </c>
      <c r="Q85" s="39">
        <f>Q86*Revenue_Build_Up!Q$14</f>
        <v>252.71555166509214</v>
      </c>
    </row>
    <row r="86" spans="1:17" x14ac:dyDescent="0.15">
      <c r="C86" s="62">
        <f>C85/Revenue_Build_Up!C$14</f>
        <v>4.6186179944943139E-4</v>
      </c>
      <c r="D86" s="62">
        <f>D85/Revenue_Build_Up!D$14</f>
        <v>5.9435450134595986E-3</v>
      </c>
      <c r="E86" s="62">
        <f>E85/Revenue_Build_Up!E$14</f>
        <v>0</v>
      </c>
      <c r="F86" s="62">
        <f>F85/Revenue_Build_Up!F$14</f>
        <v>0</v>
      </c>
      <c r="G86" s="62">
        <f>G85/Revenue_Build_Up!G$14</f>
        <v>0</v>
      </c>
      <c r="H86" s="41">
        <f>AVERAGE(C86,E86:G86)</f>
        <v>1.1546544986235785E-4</v>
      </c>
      <c r="I86" s="41">
        <f>H86</f>
        <v>1.1546544986235785E-4</v>
      </c>
      <c r="J86" s="41">
        <f t="shared" ref="J86:Q86" si="20">I86</f>
        <v>1.1546544986235785E-4</v>
      </c>
      <c r="K86" s="41">
        <f t="shared" si="20"/>
        <v>1.1546544986235785E-4</v>
      </c>
      <c r="L86" s="41">
        <f t="shared" si="20"/>
        <v>1.1546544986235785E-4</v>
      </c>
      <c r="M86" s="41">
        <f t="shared" si="20"/>
        <v>1.1546544986235785E-4</v>
      </c>
      <c r="N86" s="41">
        <f t="shared" si="20"/>
        <v>1.1546544986235785E-4</v>
      </c>
      <c r="O86" s="41">
        <f t="shared" si="20"/>
        <v>1.1546544986235785E-4</v>
      </c>
      <c r="P86" s="41">
        <f t="shared" si="20"/>
        <v>1.1546544986235785E-4</v>
      </c>
      <c r="Q86" s="41">
        <f t="shared" si="20"/>
        <v>1.1546544986235785E-4</v>
      </c>
    </row>
    <row r="88" spans="1:17" s="1" customFormat="1" ht="21" x14ac:dyDescent="0.25">
      <c r="A88" s="10"/>
      <c r="B88" s="10"/>
      <c r="C88" s="10"/>
      <c r="D88" s="10"/>
      <c r="E88" s="10"/>
      <c r="F88" s="10"/>
      <c r="G88" s="10"/>
      <c r="H88" s="10"/>
      <c r="I88" s="10"/>
      <c r="J88" s="10"/>
      <c r="K88" s="10"/>
      <c r="L88" s="10"/>
      <c r="M88" s="10"/>
      <c r="N88" s="10"/>
      <c r="O88" s="10"/>
      <c r="P88" s="10"/>
      <c r="Q88" s="10"/>
    </row>
  </sheetData>
  <mergeCells count="1">
    <mergeCell ref="B11:B12"/>
  </mergeCells>
  <pageMargins left="0.7" right="0.7" top="0.75" bottom="0.75" header="0.3" footer="0.3"/>
  <pageSetup scale="40"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9853A-F2DA-45F3-9054-6E5DB2FD314C}">
  <sheetPr>
    <tabColor theme="7" tint="0.79998168889431442"/>
    <pageSetUpPr fitToPage="1"/>
  </sheetPr>
  <dimension ref="A1:Q55"/>
  <sheetViews>
    <sheetView showGridLines="0" workbookViewId="0">
      <pane xSplit="2" ySplit="12" topLeftCell="C13" activePane="bottomRight" state="frozen"/>
      <selection pane="topRight" activeCell="C1" sqref="C1"/>
      <selection pane="bottomLeft" activeCell="A12" sqref="A12"/>
      <selection pane="bottomRight"/>
    </sheetView>
  </sheetViews>
  <sheetFormatPr baseColWidth="10" defaultColWidth="15.6640625" defaultRowHeight="14" x14ac:dyDescent="0.15"/>
  <cols>
    <col min="1" max="1" width="2.6640625" style="3" customWidth="1"/>
    <col min="2" max="2" width="40.6640625" style="6" customWidth="1"/>
    <col min="3" max="17" width="15.6640625" style="13"/>
    <col min="18" max="16384" width="15.6640625" style="3"/>
  </cols>
  <sheetData>
    <row r="1" spans="1:17" s="1" customFormat="1" x14ac:dyDescent="0.15"/>
    <row r="2" spans="1:17" s="1" customFormat="1" x14ac:dyDescent="0.15"/>
    <row r="3" spans="1:17" s="1" customFormat="1" x14ac:dyDescent="0.15"/>
    <row r="4" spans="1:17" s="1" customFormat="1" x14ac:dyDescent="0.15"/>
    <row r="5" spans="1:17" s="1" customFormat="1" x14ac:dyDescent="0.15"/>
    <row r="6" spans="1:17" s="1" customFormat="1" x14ac:dyDescent="0.15"/>
    <row r="7" spans="1:17" s="1" customFormat="1" x14ac:dyDescent="0.15"/>
    <row r="8" spans="1:17" s="1" customFormat="1" ht="21" x14ac:dyDescent="0.25">
      <c r="A8" s="10" t="s">
        <v>359</v>
      </c>
      <c r="B8" s="10"/>
      <c r="C8" s="10"/>
      <c r="D8" s="10"/>
      <c r="E8" s="10"/>
      <c r="F8" s="10"/>
      <c r="G8" s="10"/>
      <c r="H8" s="10"/>
      <c r="I8" s="10"/>
      <c r="J8" s="10"/>
      <c r="K8" s="10"/>
      <c r="L8" s="10"/>
      <c r="M8" s="10"/>
      <c r="N8" s="10"/>
      <c r="O8" s="10"/>
      <c r="P8" s="10"/>
      <c r="Q8" s="10"/>
    </row>
    <row r="9" spans="1:17" s="1" customFormat="1" ht="21" x14ac:dyDescent="0.25">
      <c r="A9" s="10" t="s">
        <v>144</v>
      </c>
      <c r="B9" s="10"/>
      <c r="C9" s="10"/>
      <c r="D9" s="10"/>
      <c r="E9" s="10"/>
      <c r="F9" s="10"/>
      <c r="G9" s="10"/>
      <c r="H9" s="10"/>
      <c r="I9" s="10"/>
      <c r="J9" s="10"/>
      <c r="K9" s="10"/>
      <c r="L9" s="10"/>
      <c r="M9" s="10"/>
      <c r="N9" s="10"/>
      <c r="O9" s="10"/>
      <c r="P9" s="10"/>
      <c r="Q9" s="10"/>
    </row>
    <row r="10" spans="1:17" s="1" customFormat="1" x14ac:dyDescent="0.15"/>
    <row r="11" spans="1:17" s="18" customFormat="1" ht="18" x14ac:dyDescent="0.2">
      <c r="A11" s="3"/>
      <c r="B11" s="157" t="s">
        <v>0</v>
      </c>
      <c r="C11" s="5">
        <v>2020</v>
      </c>
      <c r="D11" s="5">
        <v>2021</v>
      </c>
      <c r="E11" s="5">
        <v>2022</v>
      </c>
      <c r="F11" s="5">
        <v>2023</v>
      </c>
      <c r="G11" s="5">
        <v>2024</v>
      </c>
      <c r="H11" s="35">
        <v>2025</v>
      </c>
      <c r="I11" s="35">
        <v>2026</v>
      </c>
      <c r="J11" s="35">
        <v>2027</v>
      </c>
      <c r="K11" s="35">
        <v>2028</v>
      </c>
      <c r="L11" s="35">
        <v>2029</v>
      </c>
      <c r="M11" s="35">
        <v>2030</v>
      </c>
      <c r="N11" s="35">
        <v>2031</v>
      </c>
      <c r="O11" s="35">
        <v>2032</v>
      </c>
      <c r="P11" s="35">
        <v>2033</v>
      </c>
      <c r="Q11" s="35">
        <v>2034</v>
      </c>
    </row>
    <row r="12" spans="1:17" s="25" customFormat="1" ht="18" x14ac:dyDescent="0.2">
      <c r="A12" s="3"/>
      <c r="B12" s="157"/>
      <c r="C12" s="4" t="s">
        <v>1</v>
      </c>
      <c r="D12" s="4" t="s">
        <v>1</v>
      </c>
      <c r="E12" s="4" t="s">
        <v>1</v>
      </c>
      <c r="F12" s="4" t="s">
        <v>1</v>
      </c>
      <c r="G12" s="4" t="s">
        <v>1</v>
      </c>
      <c r="H12" s="36" t="s">
        <v>71</v>
      </c>
      <c r="I12" s="36" t="s">
        <v>71</v>
      </c>
      <c r="J12" s="36" t="s">
        <v>71</v>
      </c>
      <c r="K12" s="36" t="s">
        <v>71</v>
      </c>
      <c r="L12" s="36" t="s">
        <v>71</v>
      </c>
      <c r="M12" s="36" t="s">
        <v>71</v>
      </c>
      <c r="N12" s="36" t="s">
        <v>71</v>
      </c>
      <c r="O12" s="36" t="s">
        <v>71</v>
      </c>
      <c r="P12" s="36" t="s">
        <v>71</v>
      </c>
      <c r="Q12" s="36" t="s">
        <v>71</v>
      </c>
    </row>
    <row r="13" spans="1:17" x14ac:dyDescent="0.15">
      <c r="C13" s="3"/>
      <c r="D13" s="3"/>
      <c r="E13" s="3"/>
      <c r="F13" s="3"/>
      <c r="G13" s="3"/>
      <c r="H13" s="37"/>
      <c r="I13" s="37"/>
      <c r="J13" s="37"/>
      <c r="K13" s="37"/>
      <c r="L13" s="37"/>
      <c r="M13" s="37"/>
      <c r="N13" s="37"/>
      <c r="O13" s="37"/>
      <c r="P13" s="37"/>
      <c r="Q13" s="37"/>
    </row>
    <row r="14" spans="1:17" x14ac:dyDescent="0.15">
      <c r="B14" s="15" t="s">
        <v>2</v>
      </c>
      <c r="C14" s="135">
        <f>Revenue_Build_Up!C14</f>
        <v>226431.37</v>
      </c>
      <c r="D14" s="135">
        <f>Revenue_Build_Up!D14</f>
        <v>77665.76999999999</v>
      </c>
      <c r="E14" s="135">
        <f>Revenue_Build_Up!E14</f>
        <v>187857.44</v>
      </c>
      <c r="F14" s="135">
        <f>Revenue_Build_Up!F14</f>
        <v>354147.29000000004</v>
      </c>
      <c r="G14" s="135">
        <f>Revenue_Build_Up!G14</f>
        <v>427017.83923209738</v>
      </c>
      <c r="H14" s="136">
        <f>Revenue_Build_Up!H14</f>
        <v>501397.24376297509</v>
      </c>
      <c r="I14" s="136">
        <f>Revenue_Build_Up!I14</f>
        <v>589161.29153874889</v>
      </c>
      <c r="J14" s="136">
        <f>Revenue_Build_Up!J14</f>
        <v>692764.60914186761</v>
      </c>
      <c r="K14" s="136">
        <f>Revenue_Build_Up!K14</f>
        <v>815117.53386334574</v>
      </c>
      <c r="L14" s="136">
        <f>Revenue_Build_Up!L14</f>
        <v>959671.48746358708</v>
      </c>
      <c r="M14" s="136">
        <f>Revenue_Build_Up!M14</f>
        <v>1130520.4635411224</v>
      </c>
      <c r="N14" s="136">
        <f>Revenue_Build_Up!N14</f>
        <v>1332521.6897943942</v>
      </c>
      <c r="O14" s="136">
        <f>Revenue_Build_Up!O14</f>
        <v>1571439.1115190764</v>
      </c>
      <c r="P14" s="136">
        <f>Revenue_Build_Up!P14</f>
        <v>1854114.0401683163</v>
      </c>
      <c r="Q14" s="136">
        <f>Revenue_Build_Up!Q14</f>
        <v>2188668.1424300093</v>
      </c>
    </row>
    <row r="15" spans="1:17" x14ac:dyDescent="0.15">
      <c r="C15" s="49"/>
      <c r="D15" s="49"/>
      <c r="E15" s="49"/>
      <c r="F15" s="49"/>
      <c r="G15" s="49"/>
      <c r="H15" s="130"/>
      <c r="I15" s="130"/>
      <c r="J15" s="130"/>
      <c r="K15" s="130"/>
      <c r="L15" s="130"/>
      <c r="M15" s="130"/>
      <c r="N15" s="130"/>
      <c r="O15" s="130"/>
      <c r="P15" s="130"/>
      <c r="Q15" s="130"/>
    </row>
    <row r="16" spans="1:17" x14ac:dyDescent="0.15">
      <c r="B16" s="15" t="s">
        <v>128</v>
      </c>
      <c r="C16" s="49"/>
      <c r="D16" s="49"/>
      <c r="E16" s="49"/>
      <c r="F16" s="49"/>
      <c r="G16" s="49"/>
      <c r="H16" s="130"/>
      <c r="I16" s="130"/>
      <c r="J16" s="130"/>
      <c r="K16" s="130"/>
      <c r="L16" s="130"/>
      <c r="M16" s="130"/>
      <c r="N16" s="130"/>
      <c r="O16" s="130"/>
      <c r="P16" s="130"/>
      <c r="Q16" s="130"/>
    </row>
    <row r="17" spans="2:17" x14ac:dyDescent="0.15">
      <c r="B17" s="6" t="s">
        <v>3</v>
      </c>
      <c r="C17" s="49">
        <f>VLOOKUP($B17,Cost_Build_Up!$B$16:$Q$50,COUNTBLANK(Income_Statement!$B$10:C$10),FALSE)</f>
        <v>10992.97</v>
      </c>
      <c r="D17" s="49">
        <f>VLOOKUP($B17,Cost_Build_Up!$B$16:$Q$50,COUNTBLANK(Income_Statement!$B$10:D$10),FALSE)</f>
        <v>1273.5999999999999</v>
      </c>
      <c r="E17" s="49">
        <f>VLOOKUP($B17,Cost_Build_Up!$B$16:$Q$50,COUNTBLANK(Income_Statement!$B$10:E$10),FALSE)</f>
        <v>4012.81</v>
      </c>
      <c r="F17" s="49">
        <f>VLOOKUP($B17,Cost_Build_Up!$B$16:$Q$50,COUNTBLANK(Income_Statement!$B$10:F$10),FALSE)</f>
        <v>7567.38</v>
      </c>
      <c r="G17" s="49">
        <f>VLOOKUP($B17,Cost_Build_Up!$B$16:$Q$50,COUNTBLANK(Income_Statement!$B$10:G$10),FALSE)</f>
        <v>7198.98</v>
      </c>
      <c r="H17" s="130">
        <f>VLOOKUP($B17,Cost_Build_Up!$B$16:$Q$50,COUNTBLANK(Income_Statement!$B$10:H$10),FALSE)</f>
        <v>12488.283252106379</v>
      </c>
      <c r="I17" s="130">
        <f>VLOOKUP($B17,Cost_Build_Up!$B$16:$Q$50,COUNTBLANK(Income_Statement!$B$10:I$10),FALSE)</f>
        <v>14674.219257158256</v>
      </c>
      <c r="J17" s="130">
        <f>VLOOKUP($B17,Cost_Build_Up!$B$16:$Q$50,COUNTBLANK(Income_Statement!$B$10:J$10),FALSE)</f>
        <v>17254.663390387908</v>
      </c>
      <c r="K17" s="130">
        <f>VLOOKUP($B17,Cost_Build_Up!$B$16:$Q$50,COUNTBLANK(Income_Statement!$B$10:K$10),FALSE)</f>
        <v>20302.103318812777</v>
      </c>
      <c r="L17" s="130">
        <f>VLOOKUP($B17,Cost_Build_Up!$B$16:$Q$50,COUNTBLANK(Income_Statement!$B$10:L$10),FALSE)</f>
        <v>23902.503481014388</v>
      </c>
      <c r="M17" s="130">
        <f>VLOOKUP($B17,Cost_Build_Up!$B$16:$Q$50,COUNTBLANK(Income_Statement!$B$10:M$10),FALSE)</f>
        <v>28157.832829408708</v>
      </c>
      <c r="N17" s="130">
        <f>VLOOKUP($B17,Cost_Build_Up!$B$16:$Q$50,COUNTBLANK(Income_Statement!$B$10:N$10),FALSE)</f>
        <v>33189.070160893149</v>
      </c>
      <c r="O17" s="130">
        <f>VLOOKUP($B17,Cost_Build_Up!$B$16:$Q$50,COUNTBLANK(Income_Statement!$B$10:O$10),FALSE)</f>
        <v>39139.777855192428</v>
      </c>
      <c r="P17" s="130">
        <f>VLOOKUP($B17,Cost_Build_Up!$B$16:$Q$50,COUNTBLANK(Income_Statement!$B$10:P$10),FALSE)</f>
        <v>46180.352212456863</v>
      </c>
      <c r="Q17" s="130">
        <f>VLOOKUP($B17,Cost_Build_Up!$B$16:$Q$50,COUNTBLANK(Income_Statement!$B$10:Q$10),FALSE)</f>
        <v>54513.079294964024</v>
      </c>
    </row>
    <row r="18" spans="2:17" x14ac:dyDescent="0.15">
      <c r="B18" s="6" t="s">
        <v>4</v>
      </c>
      <c r="C18" s="49">
        <f>VLOOKUP($B18,Cost_Build_Up!$B$16:$Q$50,COUNTBLANK(Income_Statement!$B$10:C$10),FALSE)</f>
        <v>2877.33</v>
      </c>
      <c r="D18" s="49">
        <f>VLOOKUP($B18,Cost_Build_Up!$B$16:$Q$50,COUNTBLANK(Income_Statement!$B$10:D$10),FALSE)</f>
        <v>3215.5</v>
      </c>
      <c r="E18" s="49">
        <f>VLOOKUP($B18,Cost_Build_Up!$B$16:$Q$50,COUNTBLANK(Income_Statement!$B$10:E$10),FALSE)</f>
        <v>6579.63</v>
      </c>
      <c r="F18" s="49">
        <f>VLOOKUP($B18,Cost_Build_Up!$B$16:$Q$50,COUNTBLANK(Income_Statement!$B$10:F$10),FALSE)</f>
        <v>12068.58</v>
      </c>
      <c r="G18" s="49">
        <f>VLOOKUP($B18,Cost_Build_Up!$B$16:$Q$50,COUNTBLANK(Income_Statement!$B$10:G$10),FALSE)</f>
        <v>17495.900000000001</v>
      </c>
      <c r="H18" s="130">
        <f>VLOOKUP($B18,Cost_Build_Up!$B$16:$Q$50,COUNTBLANK(Income_Statement!$B$10:H$10),FALSE)</f>
        <v>16464.260809971835</v>
      </c>
      <c r="I18" s="130">
        <f>VLOOKUP($B18,Cost_Build_Up!$B$16:$Q$50,COUNTBLANK(Income_Statement!$B$10:I$10),FALSE)</f>
        <v>19346.147757484148</v>
      </c>
      <c r="J18" s="130">
        <f>VLOOKUP($B18,Cost_Build_Up!$B$16:$Q$50,COUNTBLANK(Income_Statement!$B$10:J$10),FALSE)</f>
        <v>22748.145002212626</v>
      </c>
      <c r="K18" s="130">
        <f>VLOOKUP($B18,Cost_Build_Up!$B$16:$Q$50,COUNTBLANK(Income_Statement!$B$10:K$10),FALSE)</f>
        <v>26765.818590441511</v>
      </c>
      <c r="L18" s="130">
        <f>VLOOKUP($B18,Cost_Build_Up!$B$16:$Q$50,COUNTBLANK(Income_Statement!$B$10:L$10),FALSE)</f>
        <v>31512.502029156272</v>
      </c>
      <c r="M18" s="130">
        <f>VLOOKUP($B18,Cost_Build_Up!$B$16:$Q$50,COUNTBLANK(Income_Statement!$B$10:M$10),FALSE)</f>
        <v>37122.62880238385</v>
      </c>
      <c r="N18" s="130">
        <f>VLOOKUP($B18,Cost_Build_Up!$B$16:$Q$50,COUNTBLANK(Income_Statement!$B$10:N$10),FALSE)</f>
        <v>43755.694528888314</v>
      </c>
      <c r="O18" s="130">
        <f>VLOOKUP($B18,Cost_Build_Up!$B$16:$Q$50,COUNTBLANK(Income_Statement!$B$10:O$10),FALSE)</f>
        <v>51600.968495293935</v>
      </c>
      <c r="P18" s="130">
        <f>VLOOKUP($B18,Cost_Build_Up!$B$16:$Q$50,COUNTBLANK(Income_Statement!$B$10:P$10),FALSE)</f>
        <v>60883.097201851728</v>
      </c>
      <c r="Q18" s="130">
        <f>VLOOKUP($B18,Cost_Build_Up!$B$16:$Q$50,COUNTBLANK(Income_Statement!$B$10:Q$10),FALSE)</f>
        <v>71868.76986599261</v>
      </c>
    </row>
    <row r="19" spans="2:17" ht="30" x14ac:dyDescent="0.15">
      <c r="B19" s="7" t="s">
        <v>5</v>
      </c>
      <c r="C19" s="137">
        <f>VLOOKUP($B19,Cost_Build_Up!$B$16:$Q$50,COUNTBLANK(Income_Statement!$B$10:C$10),FALSE)</f>
        <v>-69.58</v>
      </c>
      <c r="D19" s="137">
        <f>VLOOKUP($B19,Cost_Build_Up!$B$16:$Q$50,COUNTBLANK(Income_Statement!$B$10:D$10),FALSE)</f>
        <v>241.66</v>
      </c>
      <c r="E19" s="137">
        <f>VLOOKUP($B19,Cost_Build_Up!$B$16:$Q$50,COUNTBLANK(Income_Statement!$B$10:E$10),FALSE)</f>
        <v>-42.84</v>
      </c>
      <c r="F19" s="137">
        <f>VLOOKUP($B19,Cost_Build_Up!$B$16:$Q$50,COUNTBLANK(Income_Statement!$B$10:F$10),FALSE)</f>
        <v>-132.47999999999999</v>
      </c>
      <c r="G19" s="137">
        <f>VLOOKUP($B19,Cost_Build_Up!$B$16:$Q$50,COUNTBLANK(Income_Statement!$B$10:G$10),FALSE)</f>
        <v>-152.71</v>
      </c>
      <c r="H19" s="138">
        <f>VLOOKUP($B19,Cost_Build_Up!$B$16:$Q$50,COUNTBLANK(Income_Statement!$B$10:H$10),FALSE)</f>
        <v>-158.82211542649415</v>
      </c>
      <c r="I19" s="138">
        <f>VLOOKUP($B19,Cost_Build_Up!$B$16:$Q$50,COUNTBLANK(Income_Statement!$B$10:I$10),FALSE)</f>
        <v>-186.62217196755003</v>
      </c>
      <c r="J19" s="138">
        <f>VLOOKUP($B19,Cost_Build_Up!$B$16:$Q$50,COUNTBLANK(Income_Statement!$B$10:J$10),FALSE)</f>
        <v>-219.43946059769809</v>
      </c>
      <c r="K19" s="138">
        <f>VLOOKUP($B19,Cost_Build_Up!$B$16:$Q$50,COUNTBLANK(Income_Statement!$B$10:K$10),FALSE)</f>
        <v>-258.19585699717646</v>
      </c>
      <c r="L19" s="138">
        <f>VLOOKUP($B19,Cost_Build_Up!$B$16:$Q$50,COUNTBLANK(Income_Statement!$B$10:L$10),FALSE)</f>
        <v>-303.9846302496012</v>
      </c>
      <c r="M19" s="138">
        <f>VLOOKUP($B19,Cost_Build_Up!$B$16:$Q$50,COUNTBLANK(Income_Statement!$B$10:M$10),FALSE)</f>
        <v>-358.10258988464051</v>
      </c>
      <c r="N19" s="138">
        <f>VLOOKUP($B19,Cost_Build_Up!$B$16:$Q$50,COUNTBLANK(Income_Statement!$B$10:N$10),FALSE)</f>
        <v>-422.08830674162567</v>
      </c>
      <c r="O19" s="138">
        <f>VLOOKUP($B19,Cost_Build_Up!$B$16:$Q$50,COUNTBLANK(Income_Statement!$B$10:O$10),FALSE)</f>
        <v>-497.76756266608731</v>
      </c>
      <c r="P19" s="138">
        <f>VLOOKUP($B19,Cost_Build_Up!$B$16:$Q$50,COUNTBLANK(Income_Statement!$B$10:P$10),FALSE)</f>
        <v>-587.30740498586033</v>
      </c>
      <c r="Q19" s="138">
        <f>VLOOKUP($B19,Cost_Build_Up!$B$16:$Q$50,COUNTBLANK(Income_Statement!$B$10:Q$10),FALSE)</f>
        <v>-693.28044513869361</v>
      </c>
    </row>
    <row r="20" spans="2:17" x14ac:dyDescent="0.15">
      <c r="B20" s="6" t="s">
        <v>6</v>
      </c>
      <c r="C20" s="49">
        <f>VLOOKUP($B20,Cost_Build_Up!$B$16:$Q$50,COUNTBLANK(Income_Statement!$B$10:C$10),FALSE)</f>
        <v>67285.179999999993</v>
      </c>
      <c r="D20" s="49">
        <f>VLOOKUP($B20,Cost_Build_Up!$B$16:$Q$50,COUNTBLANK(Income_Statement!$B$10:D$10),FALSE)</f>
        <v>10896.22</v>
      </c>
      <c r="E20" s="49">
        <f>VLOOKUP($B20,Cost_Build_Up!$B$16:$Q$50,COUNTBLANK(Income_Statement!$B$10:E$10),FALSE)</f>
        <v>28334.32</v>
      </c>
      <c r="F20" s="49">
        <f>VLOOKUP($B20,Cost_Build_Up!$B$16:$Q$50,COUNTBLANK(Income_Statement!$B$10:F$10),FALSE)</f>
        <v>107289.98</v>
      </c>
      <c r="G20" s="49">
        <f>VLOOKUP($B20,Cost_Build_Up!$B$16:$Q$50,COUNTBLANK(Income_Statement!$B$10:G$10),FALSE)</f>
        <v>136704.01999999999</v>
      </c>
      <c r="H20" s="130">
        <f>VLOOKUP($B20,Cost_Build_Up!$B$16:$Q$50,COUNTBLANK(Income_Statement!$B$10:H$10),FALSE)</f>
        <v>148175.46169799077</v>
      </c>
      <c r="I20" s="130">
        <f>VLOOKUP($B20,Cost_Build_Up!$B$16:$Q$50,COUNTBLANK(Income_Statement!$B$10:I$10),FALSE)</f>
        <v>174530.6150696149</v>
      </c>
      <c r="J20" s="130">
        <f>VLOOKUP($B20,Cost_Build_Up!$B$16:$Q$50,COUNTBLANK(Income_Statement!$B$10:J$10),FALSE)</f>
        <v>205573.41443391723</v>
      </c>
      <c r="K20" s="130">
        <f>VLOOKUP($B20,Cost_Build_Up!$B$16:$Q$50,COUNTBLANK(Income_Statement!$B$10:K$10),FALSE)</f>
        <v>242137.62556880183</v>
      </c>
      <c r="L20" s="130">
        <f>VLOOKUP($B20,Cost_Build_Up!$B$16:$Q$50,COUNTBLANK(Income_Statement!$B$10:L$10),FALSE)</f>
        <v>285205.31157954969</v>
      </c>
      <c r="M20" s="130">
        <f>VLOOKUP($B20,Cost_Build_Up!$B$16:$Q$50,COUNTBLANK(Income_Statement!$B$10:M$10),FALSE)</f>
        <v>335933.20972776785</v>
      </c>
      <c r="N20" s="130">
        <f>VLOOKUP($B20,Cost_Build_Up!$B$16:$Q$50,COUNTBLANK(Income_Statement!$B$10:N$10),FALSE)</f>
        <v>395683.79976164625</v>
      </c>
      <c r="O20" s="130">
        <f>VLOOKUP($B20,Cost_Build_Up!$B$16:$Q$50,COUNTBLANK(Income_Statement!$B$10:O$10),FALSE)</f>
        <v>466061.89819902467</v>
      </c>
      <c r="P20" s="130">
        <f>VLOOKUP($B20,Cost_Build_Up!$B$16:$Q$50,COUNTBLANK(Income_Statement!$B$10:P$10),FALSE)</f>
        <v>548957.76143406471</v>
      </c>
      <c r="Q20" s="130">
        <f>VLOOKUP($B20,Cost_Build_Up!$B$16:$Q$50,COUNTBLANK(Income_Statement!$B$10:Q$10),FALSE)</f>
        <v>646597.85535613692</v>
      </c>
    </row>
    <row r="21" spans="2:17" x14ac:dyDescent="0.15">
      <c r="B21" s="6" t="s">
        <v>7</v>
      </c>
      <c r="C21" s="49">
        <f>VLOOKUP($B21,Cost_Build_Up!$B$16:$Q$50,COUNTBLANK(Income_Statement!$B$10:C$10),FALSE)</f>
        <v>28688.82</v>
      </c>
      <c r="D21" s="49">
        <f>VLOOKUP($B21,Cost_Build_Up!$B$16:$Q$50,COUNTBLANK(Income_Statement!$B$10:D$10),FALSE)</f>
        <v>7035.89</v>
      </c>
      <c r="E21" s="49">
        <f>VLOOKUP($B21,Cost_Build_Up!$B$16:$Q$50,COUNTBLANK(Income_Statement!$B$10:E$10),FALSE)</f>
        <v>16572.98</v>
      </c>
      <c r="F21" s="49">
        <f>VLOOKUP($B21,Cost_Build_Up!$B$16:$Q$50,COUNTBLANK(Income_Statement!$B$10:F$10),FALSE)</f>
        <v>44235.43</v>
      </c>
      <c r="G21" s="49">
        <f>VLOOKUP($B21,Cost_Build_Up!$B$16:$Q$50,COUNTBLANK(Income_Statement!$B$10:G$10),FALSE)</f>
        <v>55042.28</v>
      </c>
      <c r="H21" s="130">
        <f>VLOOKUP($B21,Cost_Build_Up!$B$16:$Q$50,COUNTBLANK(Income_Statement!$B$10:H$10),FALSE)</f>
        <v>64674.215710147328</v>
      </c>
      <c r="I21" s="130">
        <f>VLOOKUP($B21,Cost_Build_Up!$B$16:$Q$50,COUNTBLANK(Income_Statement!$B$10:I$10),FALSE)</f>
        <v>74917.96773885061</v>
      </c>
      <c r="J21" s="130">
        <f>VLOOKUP($B21,Cost_Build_Up!$B$16:$Q$50,COUNTBLANK(Income_Statement!$B$10:J$10),FALSE)</f>
        <v>86784.228126926188</v>
      </c>
      <c r="K21" s="130">
        <f>VLOOKUP($B21,Cost_Build_Up!$B$16:$Q$50,COUNTBLANK(Income_Statement!$B$10:K$10),FALSE)</f>
        <v>100529.98604873683</v>
      </c>
      <c r="L21" s="130">
        <f>VLOOKUP($B21,Cost_Build_Up!$B$16:$Q$50,COUNTBLANK(Income_Statement!$B$10:L$10),FALSE)</f>
        <v>116452.93520590279</v>
      </c>
      <c r="M21" s="130">
        <f>VLOOKUP($B21,Cost_Build_Up!$B$16:$Q$50,COUNTBLANK(Income_Statement!$B$10:M$10),FALSE)</f>
        <v>134897.9210192638</v>
      </c>
      <c r="N21" s="130">
        <f>VLOOKUP($B21,Cost_Build_Up!$B$16:$Q$50,COUNTBLANK(Income_Statement!$B$10:N$10),FALSE)</f>
        <v>156264.40899187516</v>
      </c>
      <c r="O21" s="130">
        <f>VLOOKUP($B21,Cost_Build_Up!$B$16:$Q$50,COUNTBLANK(Income_Statement!$B$10:O$10),FALSE)</f>
        <v>181015.13598636555</v>
      </c>
      <c r="P21" s="130">
        <f>VLOOKUP($B21,Cost_Build_Up!$B$16:$Q$50,COUNTBLANK(Income_Statement!$B$10:P$10),FALSE)</f>
        <v>209686.13177851704</v>
      </c>
      <c r="Q21" s="130">
        <f>VLOOKUP($B21,Cost_Build_Up!$B$16:$Q$50,COUNTBLANK(Income_Statement!$B$10:Q$10),FALSE)</f>
        <v>242898.32792518189</v>
      </c>
    </row>
    <row r="22" spans="2:17" x14ac:dyDescent="0.15">
      <c r="B22" s="6" t="s">
        <v>8</v>
      </c>
      <c r="C22" s="49">
        <f>VLOOKUP($B22,Cost_Build_Up!$B$16:$Q$50,COUNTBLANK(Income_Statement!$B$10:C$10),FALSE)</f>
        <v>9714.2800000000007</v>
      </c>
      <c r="D22" s="49">
        <f>VLOOKUP($B22,Cost_Build_Up!$B$16:$Q$50,COUNTBLANK(Income_Statement!$B$10:D$10),FALSE)</f>
        <v>6263.57</v>
      </c>
      <c r="E22" s="49">
        <f>VLOOKUP($B22,Cost_Build_Up!$B$16:$Q$50,COUNTBLANK(Income_Statement!$B$10:E$10),FALSE)</f>
        <v>9842.58</v>
      </c>
      <c r="F22" s="49">
        <f>VLOOKUP($B22,Cost_Build_Up!$B$16:$Q$50,COUNTBLANK(Income_Statement!$B$10:F$10),FALSE)</f>
        <v>14673.7</v>
      </c>
      <c r="G22" s="49">
        <f>VLOOKUP($B22,Cost_Build_Up!$B$16:$Q$50,COUNTBLANK(Income_Statement!$B$10:G$10),FALSE)</f>
        <v>17462.86</v>
      </c>
      <c r="H22" s="130">
        <f>VLOOKUP($B22,Cost_Build_Up!$B$16:$Q$50,COUNTBLANK(Income_Statement!$B$10:H$10),FALSE)</f>
        <v>19883.851484569183</v>
      </c>
      <c r="I22" s="130">
        <f>VLOOKUP($B22,Cost_Build_Up!$B$16:$Q$50,COUNTBLANK(Income_Statement!$B$10:I$10),FALSE)</f>
        <v>23443.188532954722</v>
      </c>
      <c r="J22" s="130">
        <f>VLOOKUP($B22,Cost_Build_Up!$B$16:$Q$50,COUNTBLANK(Income_Statement!$B$10:J$10),FALSE)</f>
        <v>27685.608899541934</v>
      </c>
      <c r="K22" s="130">
        <f>VLOOKUP($B22,Cost_Build_Up!$B$16:$Q$50,COUNTBLANK(Income_Statement!$B$10:K$10),FALSE)</f>
        <v>32746.360357571892</v>
      </c>
      <c r="L22" s="130">
        <f>VLOOKUP($B22,Cost_Build_Up!$B$16:$Q$50,COUNTBLANK(Income_Statement!$B$10:L$10),FALSE)</f>
        <v>38787.81975435144</v>
      </c>
      <c r="M22" s="130">
        <f>VLOOKUP($B22,Cost_Build_Up!$B$16:$Q$50,COUNTBLANK(Income_Statement!$B$10:M$10),FALSE)</f>
        <v>46004.96344299971</v>
      </c>
      <c r="N22" s="130">
        <f>VLOOKUP($B22,Cost_Build_Up!$B$16:$Q$50,COUNTBLANK(Income_Statement!$B$10:N$10),FALSE)</f>
        <v>54631.943111181332</v>
      </c>
      <c r="O22" s="130">
        <f>VLOOKUP($B22,Cost_Build_Up!$B$16:$Q$50,COUNTBLANK(Income_Statement!$B$10:O$10),FALSE)</f>
        <v>64949.990557528472</v>
      </c>
      <c r="P22" s="130">
        <f>VLOOKUP($B22,Cost_Build_Up!$B$16:$Q$50,COUNTBLANK(Income_Statement!$B$10:P$10),FALSE)</f>
        <v>77296.920191266865</v>
      </c>
      <c r="Q22" s="130">
        <f>VLOOKUP($B22,Cost_Build_Up!$B$16:$Q$50,COUNTBLANK(Income_Statement!$B$10:Q$10),FALSE)</f>
        <v>92078.552405648385</v>
      </c>
    </row>
    <row r="23" spans="2:17" x14ac:dyDescent="0.15">
      <c r="B23" s="6" t="s">
        <v>9</v>
      </c>
      <c r="C23" s="49">
        <f>VLOOKUP($B23,Cost_Build_Up!$B$16:$Q$50,COUNTBLANK(Income_Statement!$B$10:C$10),FALSE)</f>
        <v>24411.47</v>
      </c>
      <c r="D23" s="49">
        <f>VLOOKUP($B23,Cost_Build_Up!$B$16:$Q$50,COUNTBLANK(Income_Statement!$B$10:D$10),FALSE)</f>
        <v>20628.509999999998</v>
      </c>
      <c r="E23" s="49">
        <f>VLOOKUP($B23,Cost_Build_Up!$B$16:$Q$50,COUNTBLANK(Income_Statement!$B$10:E$10),FALSE)</f>
        <v>24045.05</v>
      </c>
      <c r="F23" s="49">
        <f>VLOOKUP($B23,Cost_Build_Up!$B$16:$Q$50,COUNTBLANK(Income_Statement!$B$10:F$10),FALSE)</f>
        <v>24552.41</v>
      </c>
      <c r="G23" s="49">
        <f>VLOOKUP($B23,Cost_Build_Up!$B$16:$Q$50,COUNTBLANK(Income_Statement!$B$10:G$10),FALSE)</f>
        <v>28904.81</v>
      </c>
      <c r="H23" s="130">
        <f>VLOOKUP($B23,Cost_Build_Up!$B$16:$Q$50,COUNTBLANK(Income_Statement!$B$10:H$10),FALSE)</f>
        <v>31691.466491839059</v>
      </c>
      <c r="I23" s="130">
        <f>VLOOKUP($B23,Cost_Build_Up!$B$16:$Q$50,COUNTBLANK(Income_Statement!$B$10:I$10),FALSE)</f>
        <v>34746.77911404219</v>
      </c>
      <c r="J23" s="130">
        <f>VLOOKUP($B23,Cost_Build_Up!$B$16:$Q$50,COUNTBLANK(Income_Statement!$B$10:J$10),FALSE)</f>
        <v>38096.648481411961</v>
      </c>
      <c r="K23" s="130">
        <f>VLOOKUP($B23,Cost_Build_Up!$B$16:$Q$50,COUNTBLANK(Income_Statement!$B$10:K$10),FALSE)</f>
        <v>41769.472236629073</v>
      </c>
      <c r="L23" s="130">
        <f>VLOOKUP($B23,Cost_Build_Up!$B$16:$Q$50,COUNTBLANK(Income_Statement!$B$10:L$10),FALSE)</f>
        <v>45796.38578385162</v>
      </c>
      <c r="M23" s="130">
        <f>VLOOKUP($B23,Cost_Build_Up!$B$16:$Q$50,COUNTBLANK(Income_Statement!$B$10:M$10),FALSE)</f>
        <v>50211.526230972224</v>
      </c>
      <c r="N23" s="130">
        <f>VLOOKUP($B23,Cost_Build_Up!$B$16:$Q$50,COUNTBLANK(Income_Statement!$B$10:N$10),FALSE)</f>
        <v>55052.32177803466</v>
      </c>
      <c r="O23" s="130">
        <f>VLOOKUP($B23,Cost_Build_Up!$B$16:$Q$50,COUNTBLANK(Income_Statement!$B$10:O$10),FALSE)</f>
        <v>60359.809005024668</v>
      </c>
      <c r="P23" s="130">
        <f>VLOOKUP($B23,Cost_Build_Up!$B$16:$Q$50,COUNTBLANK(Income_Statement!$B$10:P$10),FALSE)</f>
        <v>66178.980748759277</v>
      </c>
      <c r="Q23" s="130">
        <f>VLOOKUP($B23,Cost_Build_Up!$B$16:$Q$50,COUNTBLANK(Income_Statement!$B$10:Q$10),FALSE)</f>
        <v>72559.167517910231</v>
      </c>
    </row>
    <row r="24" spans="2:17" x14ac:dyDescent="0.15">
      <c r="B24" s="6" t="s">
        <v>12</v>
      </c>
      <c r="C24" s="49">
        <f>VLOOKUP($B24,Cost_Build_Up!$B$16:$Q$50,COUNTBLANK(Income_Statement!$B$10:C$10),FALSE)</f>
        <v>0</v>
      </c>
      <c r="D24" s="49">
        <f>VLOOKUP($B24,Cost_Build_Up!$B$16:$Q$50,COUNTBLANK(Income_Statement!$B$10:D$10),FALSE)</f>
        <v>122.97</v>
      </c>
      <c r="E24" s="49">
        <f>VLOOKUP($B24,Cost_Build_Up!$B$16:$Q$50,COUNTBLANK(Income_Statement!$B$10:E$10),FALSE)</f>
        <v>-122.97</v>
      </c>
      <c r="F24" s="49">
        <f>VLOOKUP($B24,Cost_Build_Up!$B$16:$Q$50,COUNTBLANK(Income_Statement!$B$10:F$10),FALSE)</f>
        <v>0</v>
      </c>
      <c r="G24" s="49">
        <f>VLOOKUP($B24,Cost_Build_Up!$B$16:$Q$50,COUNTBLANK(Income_Statement!$B$10:G$10),FALSE)</f>
        <v>0</v>
      </c>
      <c r="H24" s="130">
        <f>VLOOKUP($B24,Cost_Build_Up!$B$16:$Q$50,COUNTBLANK(Income_Statement!$B$10:H$10),FALSE)</f>
        <v>0</v>
      </c>
      <c r="I24" s="130">
        <f>VLOOKUP($B24,Cost_Build_Up!$B$16:$Q$50,COUNTBLANK(Income_Statement!$B$10:I$10),FALSE)</f>
        <v>0</v>
      </c>
      <c r="J24" s="130">
        <f>VLOOKUP($B24,Cost_Build_Up!$B$16:$Q$50,COUNTBLANK(Income_Statement!$B$10:J$10),FALSE)</f>
        <v>0</v>
      </c>
      <c r="K24" s="130">
        <f>VLOOKUP($B24,Cost_Build_Up!$B$16:$Q$50,COUNTBLANK(Income_Statement!$B$10:K$10),FALSE)</f>
        <v>0</v>
      </c>
      <c r="L24" s="130">
        <f>VLOOKUP($B24,Cost_Build_Up!$B$16:$Q$50,COUNTBLANK(Income_Statement!$B$10:L$10),FALSE)</f>
        <v>0</v>
      </c>
      <c r="M24" s="130">
        <f>VLOOKUP($B24,Cost_Build_Up!$B$16:$Q$50,COUNTBLANK(Income_Statement!$B$10:M$10),FALSE)</f>
        <v>0</v>
      </c>
      <c r="N24" s="130">
        <f>VLOOKUP($B24,Cost_Build_Up!$B$16:$Q$50,COUNTBLANK(Income_Statement!$B$10:N$10),FALSE)</f>
        <v>0</v>
      </c>
      <c r="O24" s="130">
        <f>VLOOKUP($B24,Cost_Build_Up!$B$16:$Q$50,COUNTBLANK(Income_Statement!$B$10:O$10),FALSE)</f>
        <v>0</v>
      </c>
      <c r="P24" s="130">
        <f>VLOOKUP($B24,Cost_Build_Up!$B$16:$Q$50,COUNTBLANK(Income_Statement!$B$10:P$10),FALSE)</f>
        <v>0</v>
      </c>
      <c r="Q24" s="130">
        <f>VLOOKUP($B24,Cost_Build_Up!$B$16:$Q$50,COUNTBLANK(Income_Statement!$B$10:Q$10),FALSE)</f>
        <v>0</v>
      </c>
    </row>
    <row r="25" spans="2:17" x14ac:dyDescent="0.15">
      <c r="B25" s="6" t="s">
        <v>13</v>
      </c>
      <c r="C25" s="49">
        <f>VLOOKUP($B25,Cost_Build_Up!$B$16:$Q$50,COUNTBLANK(Income_Statement!$B$10:C$10),FALSE)</f>
        <v>767</v>
      </c>
      <c r="D25" s="49">
        <f>VLOOKUP($B25,Cost_Build_Up!$B$16:$Q$50,COUNTBLANK(Income_Statement!$B$10:D$10),FALSE)</f>
        <v>1052.72</v>
      </c>
      <c r="E25" s="49">
        <f>VLOOKUP($B25,Cost_Build_Up!$B$16:$Q$50,COUNTBLANK(Income_Statement!$B$10:E$10),FALSE)</f>
        <v>990</v>
      </c>
      <c r="F25" s="49">
        <f>VLOOKUP($B25,Cost_Build_Up!$B$16:$Q$50,COUNTBLANK(Income_Statement!$B$10:F$10),FALSE)</f>
        <v>1253</v>
      </c>
      <c r="G25" s="49">
        <f>VLOOKUP($B25,Cost_Build_Up!$B$16:$Q$50,COUNTBLANK(Income_Statement!$B$10:G$10),FALSE)</f>
        <v>0</v>
      </c>
      <c r="H25" s="130">
        <f>VLOOKUP($B25,Cost_Build_Up!$B$16:$Q$50,COUNTBLANK(Income_Statement!$B$10:H$10),FALSE)</f>
        <v>2582.1818317643292</v>
      </c>
      <c r="I25" s="130">
        <f>VLOOKUP($B25,Cost_Build_Up!$B$16:$Q$50,COUNTBLANK(Income_Statement!$B$10:I$10),FALSE)</f>
        <v>3034.1642318826489</v>
      </c>
      <c r="J25" s="130">
        <f>VLOOKUP($B25,Cost_Build_Up!$B$16:$Q$50,COUNTBLANK(Income_Statement!$B$10:J$10),FALSE)</f>
        <v>3567.7184301816492</v>
      </c>
      <c r="K25" s="130">
        <f>VLOOKUP($B25,Cost_Build_Up!$B$16:$Q$50,COUNTBLANK(Income_Statement!$B$10:K$10),FALSE)</f>
        <v>4197.8325826008477</v>
      </c>
      <c r="L25" s="130">
        <f>VLOOKUP($B25,Cost_Build_Up!$B$16:$Q$50,COUNTBLANK(Income_Statement!$B$10:L$10),FALSE)</f>
        <v>4942.2814150174454</v>
      </c>
      <c r="M25" s="130">
        <f>VLOOKUP($B25,Cost_Build_Up!$B$16:$Q$50,COUNTBLANK(Income_Statement!$B$10:M$10),FALSE)</f>
        <v>5822.1488803669372</v>
      </c>
      <c r="N25" s="130">
        <f>VLOOKUP($B25,Cost_Build_Up!$B$16:$Q$50,COUNTBLANK(Income_Statement!$B$10:N$10),FALSE)</f>
        <v>6862.4495659285267</v>
      </c>
      <c r="O25" s="130">
        <f>VLOOKUP($B25,Cost_Build_Up!$B$16:$Q$50,COUNTBLANK(Income_Statement!$B$10:O$10),FALSE)</f>
        <v>8092.8676293375274</v>
      </c>
      <c r="P25" s="130">
        <f>VLOOKUP($B25,Cost_Build_Up!$B$16:$Q$50,COUNTBLANK(Income_Statement!$B$10:P$10),FALSE)</f>
        <v>9548.6356339147496</v>
      </c>
      <c r="Q25" s="130">
        <f>VLOOKUP($B25,Cost_Build_Up!$B$16:$Q$50,COUNTBLANK(Income_Statement!$B$10:Q$10),FALSE)</f>
        <v>11271.579936757287</v>
      </c>
    </row>
    <row r="26" spans="2:17" x14ac:dyDescent="0.15">
      <c r="B26" s="6" t="s">
        <v>14</v>
      </c>
      <c r="C26" s="49">
        <f>VLOOKUP($B26,Cost_Build_Up!$B$16:$Q$50,COUNTBLANK(Income_Statement!$B$10:C$10),FALSE)</f>
        <v>11730.05</v>
      </c>
      <c r="D26" s="49">
        <f>VLOOKUP($B26,Cost_Build_Up!$B$16:$Q$50,COUNTBLANK(Income_Statement!$B$10:D$10),FALSE)</f>
        <v>8159.5</v>
      </c>
      <c r="E26" s="49">
        <f>VLOOKUP($B26,Cost_Build_Up!$B$16:$Q$50,COUNTBLANK(Income_Statement!$B$10:E$10),FALSE)</f>
        <v>10294.299999999999</v>
      </c>
      <c r="F26" s="49">
        <f>VLOOKUP($B26,Cost_Build_Up!$B$16:$Q$50,COUNTBLANK(Income_Statement!$B$10:F$10),FALSE)</f>
        <v>15017.17</v>
      </c>
      <c r="G26" s="49">
        <f>VLOOKUP($B26,Cost_Build_Up!$B$16:$Q$50,COUNTBLANK(Income_Statement!$B$10:G$10),FALSE)</f>
        <v>17766.080000000002</v>
      </c>
      <c r="H26" s="130">
        <f>VLOOKUP($B26,Cost_Build_Up!$B$16:$Q$50,COUNTBLANK(Income_Statement!$B$10:H$10),FALSE)</f>
        <v>29649.661304423244</v>
      </c>
      <c r="I26" s="130">
        <f>VLOOKUP($B26,Cost_Build_Up!$B$16:$Q$50,COUNTBLANK(Income_Statement!$B$10:I$10),FALSE)</f>
        <v>34839.506928080154</v>
      </c>
      <c r="J26" s="130">
        <f>VLOOKUP($B26,Cost_Build_Up!$B$16:$Q$50,COUNTBLANK(Income_Statement!$B$10:J$10),FALSE)</f>
        <v>40965.993092809033</v>
      </c>
      <c r="K26" s="130">
        <f>VLOOKUP($B26,Cost_Build_Up!$B$16:$Q$50,COUNTBLANK(Income_Statement!$B$10:K$10),FALSE)</f>
        <v>48201.21989695228</v>
      </c>
      <c r="L26" s="130">
        <f>VLOOKUP($B26,Cost_Build_Up!$B$16:$Q$50,COUNTBLANK(Income_Statement!$B$10:L$10),FALSE)</f>
        <v>56749.283967461153</v>
      </c>
      <c r="M26" s="130">
        <f>VLOOKUP($B26,Cost_Build_Up!$B$16:$Q$50,COUNTBLANK(Income_Statement!$B$10:M$10),FALSE)</f>
        <v>66852.279821385499</v>
      </c>
      <c r="N26" s="130">
        <f>VLOOKUP($B26,Cost_Build_Up!$B$16:$Q$50,COUNTBLANK(Income_Statement!$B$10:N$10),FALSE)</f>
        <v>78797.435116892026</v>
      </c>
      <c r="O26" s="130">
        <f>VLOOKUP($B26,Cost_Build_Up!$B$16:$Q$50,COUNTBLANK(Income_Statement!$B$10:O$10),FALSE)</f>
        <v>92925.595416894808</v>
      </c>
      <c r="P26" s="130">
        <f>VLOOKUP($B26,Cost_Build_Up!$B$16:$Q$50,COUNTBLANK(Income_Statement!$B$10:P$10),FALSE)</f>
        <v>109641.31533350451</v>
      </c>
      <c r="Q26" s="130">
        <f>VLOOKUP($B26,Cost_Build_Up!$B$16:$Q$50,COUNTBLANK(Income_Statement!$B$10:Q$10),FALSE)</f>
        <v>129424.86209897848</v>
      </c>
    </row>
    <row r="27" spans="2:17" x14ac:dyDescent="0.15">
      <c r="H27" s="39"/>
      <c r="I27" s="39"/>
      <c r="J27" s="39"/>
      <c r="K27" s="39"/>
      <c r="L27" s="39"/>
      <c r="M27" s="39"/>
      <c r="N27" s="39"/>
      <c r="O27" s="39"/>
      <c r="P27" s="39"/>
      <c r="Q27" s="39"/>
    </row>
    <row r="28" spans="2:17" x14ac:dyDescent="0.15">
      <c r="B28" s="15" t="s">
        <v>15</v>
      </c>
      <c r="C28" s="17">
        <f t="shared" ref="C28:Q28" si="0">C14-SUM(C17:C26)</f>
        <v>70033.850000000006</v>
      </c>
      <c r="D28" s="17">
        <f t="shared" si="0"/>
        <v>18775.62999999999</v>
      </c>
      <c r="E28" s="17">
        <f t="shared" si="0"/>
        <v>87351.58</v>
      </c>
      <c r="F28" s="17">
        <f t="shared" si="0"/>
        <v>127622.12000000002</v>
      </c>
      <c r="G28" s="17">
        <f t="shared" si="0"/>
        <v>146595.61923209735</v>
      </c>
      <c r="H28" s="76">
        <f t="shared" si="0"/>
        <v>175946.68329558946</v>
      </c>
      <c r="I28" s="76">
        <f t="shared" si="0"/>
        <v>209815.32508064882</v>
      </c>
      <c r="J28" s="76">
        <f t="shared" si="0"/>
        <v>250307.62874507671</v>
      </c>
      <c r="K28" s="76">
        <f t="shared" si="0"/>
        <v>298725.31111979589</v>
      </c>
      <c r="L28" s="76">
        <f t="shared" si="0"/>
        <v>356626.4488775318</v>
      </c>
      <c r="M28" s="76">
        <f t="shared" si="0"/>
        <v>425876.05537645833</v>
      </c>
      <c r="N28" s="76">
        <f t="shared" si="0"/>
        <v>508706.65508579637</v>
      </c>
      <c r="O28" s="76">
        <f t="shared" si="0"/>
        <v>607790.83593708044</v>
      </c>
      <c r="P28" s="76">
        <f t="shared" si="0"/>
        <v>726328.15303896647</v>
      </c>
      <c r="Q28" s="76">
        <f t="shared" si="0"/>
        <v>868149.22847357811</v>
      </c>
    </row>
    <row r="29" spans="2:17" x14ac:dyDescent="0.15">
      <c r="H29" s="39"/>
      <c r="I29" s="39"/>
      <c r="J29" s="39"/>
      <c r="K29" s="39"/>
      <c r="L29" s="39"/>
      <c r="M29" s="39"/>
      <c r="N29" s="39"/>
      <c r="O29" s="39"/>
      <c r="P29" s="39"/>
      <c r="Q29" s="39"/>
    </row>
    <row r="30" spans="2:17" x14ac:dyDescent="0.15">
      <c r="B30" s="6" t="s">
        <v>11</v>
      </c>
      <c r="C30" s="49">
        <f>Fixed_Asset_Schedule!C221</f>
        <v>4021.07</v>
      </c>
      <c r="D30" s="49">
        <f>Fixed_Asset_Schedule!D221</f>
        <v>4634.74</v>
      </c>
      <c r="E30" s="49">
        <f>Fixed_Asset_Schedule!E221</f>
        <v>4898.8400000000011</v>
      </c>
      <c r="F30" s="49">
        <f>Fixed_Asset_Schedule!F221</f>
        <v>5372.96</v>
      </c>
      <c r="G30" s="49">
        <f>Fixed_Asset_Schedule!G221</f>
        <v>5586.2335000000003</v>
      </c>
      <c r="H30" s="130">
        <f>Fixed_Asset_Schedule!H221</f>
        <v>5586.2335000000003</v>
      </c>
      <c r="I30" s="130">
        <f>Fixed_Asset_Schedule!I221</f>
        <v>5586.2335000000003</v>
      </c>
      <c r="J30" s="130">
        <f>Fixed_Asset_Schedule!J221</f>
        <v>5809.6828400000013</v>
      </c>
      <c r="K30" s="130">
        <f>Fixed_Asset_Schedule!K221</f>
        <v>5809.6828400000013</v>
      </c>
      <c r="L30" s="130">
        <f>Fixed_Asset_Schedule!L221</f>
        <v>5809.6828400000013</v>
      </c>
      <c r="M30" s="130">
        <f>Fixed_Asset_Schedule!M221</f>
        <v>6042.0701536000015</v>
      </c>
      <c r="N30" s="130">
        <f>Fixed_Asset_Schedule!N221</f>
        <v>6042.0701536000015</v>
      </c>
      <c r="O30" s="130">
        <f>Fixed_Asset_Schedule!O221</f>
        <v>6042.0701536000015</v>
      </c>
      <c r="P30" s="130">
        <f>Fixed_Asset_Schedule!P221</f>
        <v>6283.7529597439998</v>
      </c>
      <c r="Q30" s="130">
        <f>Fixed_Asset_Schedule!Q221</f>
        <v>6283.7529597439998</v>
      </c>
    </row>
    <row r="31" spans="2:17" x14ac:dyDescent="0.15">
      <c r="C31" s="49"/>
      <c r="D31" s="49"/>
      <c r="E31" s="49"/>
      <c r="F31" s="49"/>
      <c r="G31" s="49"/>
      <c r="H31" s="130"/>
      <c r="I31" s="130"/>
      <c r="J31" s="130"/>
      <c r="K31" s="130"/>
      <c r="L31" s="130"/>
      <c r="M31" s="130"/>
      <c r="N31" s="130"/>
      <c r="O31" s="130"/>
      <c r="P31" s="130"/>
      <c r="Q31" s="130"/>
    </row>
    <row r="32" spans="2:17" x14ac:dyDescent="0.15">
      <c r="B32" s="15" t="s">
        <v>16</v>
      </c>
      <c r="C32" s="133">
        <f t="shared" ref="C32:Q32" si="1">C28-C30</f>
        <v>66012.78</v>
      </c>
      <c r="D32" s="133">
        <f t="shared" si="1"/>
        <v>14140.88999999999</v>
      </c>
      <c r="E32" s="133">
        <f t="shared" si="1"/>
        <v>82452.740000000005</v>
      </c>
      <c r="F32" s="133">
        <f t="shared" si="1"/>
        <v>122249.16000000002</v>
      </c>
      <c r="G32" s="133">
        <f t="shared" si="1"/>
        <v>141009.38573209735</v>
      </c>
      <c r="H32" s="134">
        <f t="shared" si="1"/>
        <v>170360.44979558946</v>
      </c>
      <c r="I32" s="134">
        <f t="shared" si="1"/>
        <v>204229.09158064882</v>
      </c>
      <c r="J32" s="134">
        <f t="shared" si="1"/>
        <v>244497.94590507672</v>
      </c>
      <c r="K32" s="134">
        <f t="shared" si="1"/>
        <v>292915.62827979587</v>
      </c>
      <c r="L32" s="134">
        <f t="shared" si="1"/>
        <v>350816.76603753178</v>
      </c>
      <c r="M32" s="134">
        <f t="shared" si="1"/>
        <v>419833.98522285832</v>
      </c>
      <c r="N32" s="134">
        <f t="shared" si="1"/>
        <v>502664.58493219636</v>
      </c>
      <c r="O32" s="134">
        <f t="shared" si="1"/>
        <v>601748.76578348048</v>
      </c>
      <c r="P32" s="134">
        <f t="shared" si="1"/>
        <v>720044.40007922251</v>
      </c>
      <c r="Q32" s="134">
        <f t="shared" si="1"/>
        <v>861865.47551383416</v>
      </c>
    </row>
    <row r="33" spans="2:17" x14ac:dyDescent="0.15">
      <c r="C33" s="49"/>
      <c r="D33" s="49"/>
      <c r="E33" s="49"/>
      <c r="F33" s="49"/>
      <c r="G33" s="49"/>
      <c r="H33" s="130"/>
      <c r="I33" s="130"/>
      <c r="J33" s="130"/>
      <c r="K33" s="130"/>
      <c r="L33" s="130"/>
      <c r="M33" s="130"/>
      <c r="N33" s="130"/>
      <c r="O33" s="130"/>
      <c r="P33" s="130"/>
      <c r="Q33" s="130"/>
    </row>
    <row r="34" spans="2:17" x14ac:dyDescent="0.15">
      <c r="B34" s="6" t="s">
        <v>10</v>
      </c>
      <c r="C34" s="49">
        <f>VLOOKUP($B34,Cost_Build_Up!$B$16:$Q$50,COUNTBLANK(Income_Statement!$B$10:C$10),FALSE)</f>
        <v>975.6</v>
      </c>
      <c r="D34" s="49">
        <f>VLOOKUP($B34,Cost_Build_Up!$B$16:$Q$50,COUNTBLANK(Income_Statement!$B$10:D$10),FALSE)</f>
        <v>827.72</v>
      </c>
      <c r="E34" s="49">
        <f>VLOOKUP($B34,Cost_Build_Up!$B$16:$Q$50,COUNTBLANK(Income_Statement!$B$10:E$10),FALSE)</f>
        <v>1105</v>
      </c>
      <c r="F34" s="49">
        <f>VLOOKUP($B34,Cost_Build_Up!$B$16:$Q$50,COUNTBLANK(Income_Statement!$B$10:F$10),FALSE)</f>
        <v>1611.25</v>
      </c>
      <c r="G34" s="49">
        <f>VLOOKUP($B34,Cost_Build_Up!$B$16:$Q$50,COUNTBLANK(Income_Statement!$B$10:G$10),FALSE)</f>
        <v>1864.49</v>
      </c>
      <c r="H34" s="130">
        <f>VLOOKUP($B34,Cost_Build_Up!$B$16:$Q$50,COUNTBLANK(Income_Statement!$B$10:H$10),FALSE)</f>
        <v>1889.2404319909356</v>
      </c>
      <c r="I34" s="130">
        <f>VLOOKUP($B34,Cost_Build_Up!$B$16:$Q$50,COUNTBLANK(Income_Statement!$B$10:I$10),FALSE)</f>
        <v>2117.2262030530696</v>
      </c>
      <c r="J34" s="130">
        <f>VLOOKUP($B34,Cost_Build_Up!$B$16:$Q$50,COUNTBLANK(Income_Statement!$B$10:J$10),FALSE)</f>
        <v>2386.357844618743</v>
      </c>
      <c r="K34" s="130">
        <f>VLOOKUP($B34,Cost_Build_Up!$B$16:$Q$50,COUNTBLANK(Income_Statement!$B$10:K$10),FALSE)</f>
        <v>2704.1955764836298</v>
      </c>
      <c r="L34" s="130">
        <f>VLOOKUP($B34,Cost_Build_Up!$B$16:$Q$50,COUNTBLANK(Income_Statement!$B$10:L$10),FALSE)</f>
        <v>3079.7052003768899</v>
      </c>
      <c r="M34" s="130">
        <f>VLOOKUP($B34,Cost_Build_Up!$B$16:$Q$50,COUNTBLANK(Income_Statement!$B$10:M$10),FALSE)</f>
        <v>3523.5217349757531</v>
      </c>
      <c r="N34" s="130">
        <f>VLOOKUP($B34,Cost_Build_Up!$B$16:$Q$50,COUNTBLANK(Income_Statement!$B$10:N$10),FALSE)</f>
        <v>4048.2628617809978</v>
      </c>
      <c r="O34" s="130">
        <f>VLOOKUP($B34,Cost_Build_Up!$B$16:$Q$50,COUNTBLANK(Income_Statement!$B$10:O$10),FALSE)</f>
        <v>4668.9016540030962</v>
      </c>
      <c r="P34" s="130">
        <f>VLOOKUP($B34,Cost_Build_Up!$B$16:$Q$50,COUNTBLANK(Income_Statement!$B$10:P$10),FALSE)</f>
        <v>5403.209872474079</v>
      </c>
      <c r="Q34" s="130">
        <f>VLOOKUP($B34,Cost_Build_Up!$B$16:$Q$50,COUNTBLANK(Income_Statement!$B$10:Q$10),FALSE)</f>
        <v>6272.2852729273663</v>
      </c>
    </row>
    <row r="35" spans="2:17" x14ac:dyDescent="0.15">
      <c r="C35" s="49"/>
      <c r="D35" s="49"/>
      <c r="E35" s="49"/>
      <c r="F35" s="49"/>
      <c r="G35" s="49"/>
      <c r="H35" s="130"/>
      <c r="I35" s="130"/>
      <c r="J35" s="130"/>
      <c r="K35" s="130"/>
      <c r="L35" s="130"/>
      <c r="M35" s="130"/>
      <c r="N35" s="130"/>
      <c r="O35" s="130"/>
      <c r="P35" s="130"/>
      <c r="Q35" s="130"/>
    </row>
    <row r="36" spans="2:17" x14ac:dyDescent="0.15">
      <c r="B36" s="6" t="s">
        <v>17</v>
      </c>
      <c r="C36" s="49">
        <f>Revenue_Build_Up!C32</f>
        <v>7809.73</v>
      </c>
      <c r="D36" s="49">
        <f>Revenue_Build_Up!D32</f>
        <v>8498.3799999999992</v>
      </c>
      <c r="E36" s="49">
        <f>Revenue_Build_Up!E32</f>
        <v>7590.38</v>
      </c>
      <c r="F36" s="49">
        <f>Revenue_Build_Up!F32</f>
        <v>12043.05</v>
      </c>
      <c r="G36" s="49">
        <f>Revenue_Build_Up!G32</f>
        <v>16447.77</v>
      </c>
      <c r="H36" s="130">
        <f>Revenue_Build_Up!H32</f>
        <v>19312.697939921243</v>
      </c>
      <c r="I36" s="130">
        <f>Revenue_Build_Up!I32</f>
        <v>22693.172335746989</v>
      </c>
      <c r="J36" s="130">
        <f>Revenue_Build_Up!J32</f>
        <v>26683.739901348967</v>
      </c>
      <c r="K36" s="130">
        <f>Revenue_Build_Up!K32</f>
        <v>31396.500305610127</v>
      </c>
      <c r="L36" s="130">
        <f>Revenue_Build_Up!L32</f>
        <v>36964.394578324922</v>
      </c>
      <c r="M36" s="130">
        <f>Revenue_Build_Up!M32</f>
        <v>43545.114176157542</v>
      </c>
      <c r="N36" s="130">
        <f>Revenue_Build_Up!N32</f>
        <v>51325.748622499515</v>
      </c>
      <c r="O36" s="130">
        <f>Revenue_Build_Up!O32</f>
        <v>60528.312170165926</v>
      </c>
      <c r="P36" s="130">
        <f>Revenue_Build_Up!P32</f>
        <v>71416.316801424517</v>
      </c>
      <c r="Q36" s="130">
        <f>Revenue_Build_Up!Q32</f>
        <v>84302.590912249041</v>
      </c>
    </row>
    <row r="37" spans="2:17" x14ac:dyDescent="0.15">
      <c r="C37" s="49"/>
      <c r="D37" s="49"/>
      <c r="E37" s="49"/>
      <c r="F37" s="49"/>
      <c r="G37" s="49"/>
      <c r="H37" s="130"/>
      <c r="I37" s="130"/>
      <c r="J37" s="130"/>
      <c r="K37" s="130"/>
      <c r="L37" s="130"/>
      <c r="M37" s="130"/>
      <c r="N37" s="130"/>
      <c r="O37" s="130"/>
      <c r="P37" s="130"/>
      <c r="Q37" s="130"/>
    </row>
    <row r="38" spans="2:17" x14ac:dyDescent="0.15">
      <c r="B38" s="6" t="s">
        <v>18</v>
      </c>
      <c r="C38" s="49">
        <f>'P&amp;L_Input'!C38</f>
        <v>111.4</v>
      </c>
      <c r="D38" s="49">
        <f>'P&amp;L_Input'!D38</f>
        <v>3939.81</v>
      </c>
      <c r="E38" s="49">
        <f>'P&amp;L_Input'!E38</f>
        <v>-400.45</v>
      </c>
      <c r="F38" s="49">
        <f>'P&amp;L_Input'!F38</f>
        <v>2720</v>
      </c>
      <c r="G38" s="49">
        <f>'P&amp;L_Input'!G38</f>
        <v>-5853.03</v>
      </c>
      <c r="H38" s="130">
        <v>0</v>
      </c>
      <c r="I38" s="130">
        <v>0</v>
      </c>
      <c r="J38" s="130">
        <v>0</v>
      </c>
      <c r="K38" s="130">
        <v>0</v>
      </c>
      <c r="L38" s="130">
        <v>0</v>
      </c>
      <c r="M38" s="130">
        <v>0</v>
      </c>
      <c r="N38" s="130">
        <v>0</v>
      </c>
      <c r="O38" s="130">
        <v>0</v>
      </c>
      <c r="P38" s="130">
        <v>0</v>
      </c>
      <c r="Q38" s="130">
        <v>0</v>
      </c>
    </row>
    <row r="39" spans="2:17" x14ac:dyDescent="0.15">
      <c r="C39" s="49"/>
      <c r="D39" s="49"/>
      <c r="E39" s="49"/>
      <c r="F39" s="49"/>
      <c r="G39" s="49"/>
      <c r="H39" s="130"/>
      <c r="I39" s="130"/>
      <c r="J39" s="130"/>
      <c r="K39" s="130"/>
      <c r="L39" s="130"/>
      <c r="M39" s="130"/>
      <c r="N39" s="130"/>
      <c r="O39" s="130"/>
      <c r="P39" s="130"/>
      <c r="Q39" s="130"/>
    </row>
    <row r="40" spans="2:17" x14ac:dyDescent="0.15">
      <c r="B40" s="15" t="s">
        <v>19</v>
      </c>
      <c r="C40" s="133">
        <f t="shared" ref="C40:Q40" si="2">C32-C34+C36+C38</f>
        <v>72958.31</v>
      </c>
      <c r="D40" s="133">
        <f t="shared" si="2"/>
        <v>25751.35999999999</v>
      </c>
      <c r="E40" s="133">
        <f t="shared" si="2"/>
        <v>88537.670000000013</v>
      </c>
      <c r="F40" s="133">
        <f t="shared" si="2"/>
        <v>135400.96000000002</v>
      </c>
      <c r="G40" s="133">
        <f t="shared" si="2"/>
        <v>149739.63573209735</v>
      </c>
      <c r="H40" s="134">
        <f t="shared" si="2"/>
        <v>187783.90730351978</v>
      </c>
      <c r="I40" s="134">
        <f t="shared" si="2"/>
        <v>224805.03771334272</v>
      </c>
      <c r="J40" s="134">
        <f t="shared" si="2"/>
        <v>268795.32796180696</v>
      </c>
      <c r="K40" s="134">
        <f t="shared" si="2"/>
        <v>321607.93300892238</v>
      </c>
      <c r="L40" s="134">
        <f t="shared" si="2"/>
        <v>384701.45541547984</v>
      </c>
      <c r="M40" s="134">
        <f t="shared" si="2"/>
        <v>459855.57766404015</v>
      </c>
      <c r="N40" s="134">
        <f t="shared" si="2"/>
        <v>549942.07069291489</v>
      </c>
      <c r="O40" s="134">
        <f t="shared" si="2"/>
        <v>657608.17629964335</v>
      </c>
      <c r="P40" s="134">
        <f t="shared" si="2"/>
        <v>786057.50700817292</v>
      </c>
      <c r="Q40" s="134">
        <f t="shared" si="2"/>
        <v>939895.78115315584</v>
      </c>
    </row>
    <row r="41" spans="2:17" x14ac:dyDescent="0.15">
      <c r="C41" s="49"/>
      <c r="D41" s="49"/>
      <c r="E41" s="49"/>
      <c r="F41" s="49"/>
      <c r="G41" s="49"/>
      <c r="H41" s="130"/>
      <c r="I41" s="130"/>
      <c r="J41" s="130"/>
      <c r="K41" s="130"/>
      <c r="L41" s="130"/>
      <c r="M41" s="130"/>
      <c r="N41" s="130"/>
      <c r="O41" s="130"/>
      <c r="P41" s="130"/>
      <c r="Q41" s="130"/>
    </row>
    <row r="42" spans="2:17" x14ac:dyDescent="0.15">
      <c r="B42" s="6" t="s">
        <v>20</v>
      </c>
      <c r="C42" s="49">
        <f>C40*Cost_Build_Up!C50</f>
        <v>21647.56</v>
      </c>
      <c r="D42" s="49">
        <f>D40*Cost_Build_Up!D50</f>
        <v>7048.7272627747525</v>
      </c>
      <c r="E42" s="49">
        <f>E40*Cost_Build_Up!E50</f>
        <v>22582.379999999997</v>
      </c>
      <c r="F42" s="49">
        <f>F40*Cost_Build_Up!F50</f>
        <v>34812.850000000013</v>
      </c>
      <c r="G42" s="49">
        <f>G40*Cost_Build_Up!G50</f>
        <v>38531.350343794038</v>
      </c>
      <c r="H42" s="130">
        <f>H40*Cost_Build_Up!H50</f>
        <v>49259.910073610845</v>
      </c>
      <c r="I42" s="130">
        <f>I40*Cost_Build_Up!I50</f>
        <v>58971.378862380239</v>
      </c>
      <c r="J42" s="130">
        <f>J40*Cost_Build_Up!J50</f>
        <v>71854.990462755304</v>
      </c>
      <c r="K42" s="130">
        <f>K40*Cost_Build_Up!K50</f>
        <v>85972.978527313302</v>
      </c>
      <c r="L42" s="130">
        <f>L40*Cost_Build_Up!L50</f>
        <v>104762.79254105021</v>
      </c>
      <c r="M42" s="130">
        <f>M40*Cost_Build_Up!M50</f>
        <v>125228.93740974423</v>
      </c>
      <c r="N42" s="130">
        <f>N40*Cost_Build_Up!N50</f>
        <v>152511.21047405686</v>
      </c>
      <c r="O42" s="130">
        <f>O40*Cost_Build_Up!O50</f>
        <v>182369.42458090014</v>
      </c>
      <c r="P42" s="130">
        <f>P40*Cost_Build_Up!P50</f>
        <v>221921.57840861683</v>
      </c>
      <c r="Q42" s="130">
        <f>Q40*Cost_Build_Up!Q50</f>
        <v>265353.55674803001</v>
      </c>
    </row>
    <row r="43" spans="2:17" x14ac:dyDescent="0.15">
      <c r="C43" s="49"/>
      <c r="D43" s="49"/>
      <c r="E43" s="49"/>
      <c r="F43" s="49"/>
      <c r="G43" s="49"/>
      <c r="H43" s="130"/>
      <c r="I43" s="130"/>
      <c r="J43" s="130"/>
      <c r="K43" s="130"/>
      <c r="L43" s="130"/>
      <c r="M43" s="130"/>
      <c r="N43" s="130"/>
      <c r="O43" s="130"/>
      <c r="P43" s="130"/>
      <c r="Q43" s="130"/>
    </row>
    <row r="44" spans="2:17" x14ac:dyDescent="0.15">
      <c r="B44" s="15" t="s">
        <v>354</v>
      </c>
      <c r="C44" s="133">
        <f t="shared" ref="C44:Q44" si="3">C40-C42</f>
        <v>51310.75</v>
      </c>
      <c r="D44" s="133">
        <f t="shared" si="3"/>
        <v>18702.632737225238</v>
      </c>
      <c r="E44" s="133">
        <f t="shared" si="3"/>
        <v>65955.290000000008</v>
      </c>
      <c r="F44" s="133">
        <f t="shared" si="3"/>
        <v>100588.11000000002</v>
      </c>
      <c r="G44" s="133">
        <f t="shared" si="3"/>
        <v>111208.28538830331</v>
      </c>
      <c r="H44" s="134">
        <f t="shared" si="3"/>
        <v>138523.99722990894</v>
      </c>
      <c r="I44" s="134">
        <f t="shared" si="3"/>
        <v>165833.65885096247</v>
      </c>
      <c r="J44" s="134">
        <f t="shared" si="3"/>
        <v>196940.33749905165</v>
      </c>
      <c r="K44" s="134">
        <f t="shared" si="3"/>
        <v>235634.95448160908</v>
      </c>
      <c r="L44" s="134">
        <f t="shared" si="3"/>
        <v>279938.6628744296</v>
      </c>
      <c r="M44" s="134">
        <f t="shared" si="3"/>
        <v>334626.6402542959</v>
      </c>
      <c r="N44" s="134">
        <f t="shared" si="3"/>
        <v>397430.860218858</v>
      </c>
      <c r="O44" s="134">
        <f t="shared" si="3"/>
        <v>475238.75171874324</v>
      </c>
      <c r="P44" s="134">
        <f t="shared" si="3"/>
        <v>564135.92859955609</v>
      </c>
      <c r="Q44" s="134">
        <f t="shared" si="3"/>
        <v>674542.22440512583</v>
      </c>
    </row>
    <row r="45" spans="2:17" x14ac:dyDescent="0.15">
      <c r="H45" s="39"/>
      <c r="I45" s="39"/>
      <c r="J45" s="39"/>
      <c r="K45" s="39"/>
      <c r="L45" s="39"/>
      <c r="M45" s="39"/>
      <c r="N45" s="39"/>
      <c r="O45" s="39"/>
      <c r="P45" s="39"/>
      <c r="Q45" s="39"/>
    </row>
    <row r="46" spans="2:17" x14ac:dyDescent="0.15">
      <c r="H46" s="39"/>
      <c r="I46" s="39"/>
      <c r="J46" s="39"/>
      <c r="K46" s="39"/>
      <c r="L46" s="39"/>
      <c r="M46" s="39"/>
      <c r="N46" s="39"/>
      <c r="O46" s="39"/>
      <c r="P46" s="39"/>
      <c r="Q46" s="39"/>
    </row>
    <row r="47" spans="2:17" x14ac:dyDescent="0.15">
      <c r="B47" s="6" t="s">
        <v>145</v>
      </c>
      <c r="C47" s="12">
        <v>-366.65</v>
      </c>
      <c r="D47" s="12">
        <v>312.68</v>
      </c>
      <c r="E47" s="12">
        <v>438</v>
      </c>
      <c r="F47" s="12">
        <v>220.94</v>
      </c>
      <c r="G47" s="12">
        <v>30.7</v>
      </c>
      <c r="H47" s="39">
        <f t="shared" ref="H47:Q47" si="4">H48*H44</f>
        <v>68.144354191837934</v>
      </c>
      <c r="I47" s="39">
        <f t="shared" si="4"/>
        <v>81.578844183312881</v>
      </c>
      <c r="J47" s="39">
        <f t="shared" si="4"/>
        <v>96.881207455496835</v>
      </c>
      <c r="K47" s="39">
        <f t="shared" si="4"/>
        <v>115.91631861100701</v>
      </c>
      <c r="L47" s="39">
        <f t="shared" si="4"/>
        <v>137.71071999347316</v>
      </c>
      <c r="M47" s="39">
        <f t="shared" si="4"/>
        <v>164.6134731274565</v>
      </c>
      <c r="N47" s="39">
        <f t="shared" si="4"/>
        <v>195.50886378604463</v>
      </c>
      <c r="O47" s="39">
        <f t="shared" si="4"/>
        <v>233.78503703628834</v>
      </c>
      <c r="P47" s="39">
        <f t="shared" si="4"/>
        <v>277.51638199572056</v>
      </c>
      <c r="Q47" s="39">
        <f t="shared" si="4"/>
        <v>331.82874575098151</v>
      </c>
    </row>
    <row r="48" spans="2:17" x14ac:dyDescent="0.15">
      <c r="C48" s="62">
        <f t="shared" ref="C48:G48" si="5">C47/C44</f>
        <v>-7.1456761010119706E-3</v>
      </c>
      <c r="D48" s="62">
        <f t="shared" si="5"/>
        <v>1.6718501849081909E-2</v>
      </c>
      <c r="E48" s="62">
        <f t="shared" si="5"/>
        <v>6.6408623174881035E-3</v>
      </c>
      <c r="F48" s="62">
        <f t="shared" si="5"/>
        <v>2.1964822681328836E-3</v>
      </c>
      <c r="G48" s="62">
        <f t="shared" si="5"/>
        <v>2.7605856787383729E-4</v>
      </c>
      <c r="H48" s="41">
        <f>AVERAGE(C48,E48:G48)</f>
        <v>4.9193176312071346E-4</v>
      </c>
      <c r="I48" s="41">
        <f t="shared" ref="I48:Q48" si="6">H48</f>
        <v>4.9193176312071346E-4</v>
      </c>
      <c r="J48" s="41">
        <f t="shared" si="6"/>
        <v>4.9193176312071346E-4</v>
      </c>
      <c r="K48" s="41">
        <f t="shared" si="6"/>
        <v>4.9193176312071346E-4</v>
      </c>
      <c r="L48" s="41">
        <f t="shared" si="6"/>
        <v>4.9193176312071346E-4</v>
      </c>
      <c r="M48" s="41">
        <f t="shared" si="6"/>
        <v>4.9193176312071346E-4</v>
      </c>
      <c r="N48" s="41">
        <f t="shared" si="6"/>
        <v>4.9193176312071346E-4</v>
      </c>
      <c r="O48" s="41">
        <f t="shared" si="6"/>
        <v>4.9193176312071346E-4</v>
      </c>
      <c r="P48" s="41">
        <f t="shared" si="6"/>
        <v>4.9193176312071346E-4</v>
      </c>
      <c r="Q48" s="41">
        <f t="shared" si="6"/>
        <v>4.9193176312071346E-4</v>
      </c>
    </row>
    <row r="50" spans="1:17" x14ac:dyDescent="0.15">
      <c r="B50" s="6" t="s">
        <v>146</v>
      </c>
      <c r="C50" s="12">
        <v>26808.12</v>
      </c>
      <c r="D50" s="12">
        <v>4000</v>
      </c>
      <c r="E50" s="12">
        <v>24000</v>
      </c>
      <c r="F50" s="12">
        <v>40000</v>
      </c>
      <c r="G50" s="12">
        <v>36000</v>
      </c>
      <c r="H50" s="13">
        <f t="shared" ref="H50:Q50" si="7">(H44+H47)*H51</f>
        <v>49980.928994638984</v>
      </c>
      <c r="I50" s="13">
        <f t="shared" si="7"/>
        <v>59834.544870912454</v>
      </c>
      <c r="J50" s="13">
        <f t="shared" si="7"/>
        <v>71058.164805794848</v>
      </c>
      <c r="K50" s="13">
        <f t="shared" si="7"/>
        <v>85019.593457540264</v>
      </c>
      <c r="L50" s="13">
        <f t="shared" si="7"/>
        <v>101004.8418452662</v>
      </c>
      <c r="M50" s="13">
        <f t="shared" si="7"/>
        <v>120736.84473965972</v>
      </c>
      <c r="N50" s="13">
        <f t="shared" si="7"/>
        <v>143397.27413372803</v>
      </c>
      <c r="O50" s="13">
        <f t="shared" si="7"/>
        <v>171471.18752090738</v>
      </c>
      <c r="P50" s="13">
        <f t="shared" si="7"/>
        <v>203546.23281525759</v>
      </c>
      <c r="Q50" s="13">
        <f t="shared" si="7"/>
        <v>243381.99659314431</v>
      </c>
    </row>
    <row r="51" spans="1:17" x14ac:dyDescent="0.15">
      <c r="C51" s="62">
        <f t="shared" ref="C51:G51" si="8">C50/(C44+C47)</f>
        <v>0.52622619694920514</v>
      </c>
      <c r="D51" s="62">
        <f t="shared" si="8"/>
        <v>0.21035678220371409</v>
      </c>
      <c r="E51" s="62">
        <f t="shared" si="8"/>
        <v>0.36148231244452561</v>
      </c>
      <c r="F51" s="62">
        <f t="shared" si="8"/>
        <v>0.39678977234682794</v>
      </c>
      <c r="G51" s="62">
        <f t="shared" si="8"/>
        <v>0.32362754725184117</v>
      </c>
      <c r="H51" s="41">
        <f>AVERAGE(E51:G51)</f>
        <v>0.36063321068106485</v>
      </c>
      <c r="I51" s="41">
        <f t="shared" ref="I51:Q51" si="9">H51</f>
        <v>0.36063321068106485</v>
      </c>
      <c r="J51" s="41">
        <f t="shared" si="9"/>
        <v>0.36063321068106485</v>
      </c>
      <c r="K51" s="41">
        <f t="shared" si="9"/>
        <v>0.36063321068106485</v>
      </c>
      <c r="L51" s="41">
        <f t="shared" si="9"/>
        <v>0.36063321068106485</v>
      </c>
      <c r="M51" s="41">
        <f t="shared" si="9"/>
        <v>0.36063321068106485</v>
      </c>
      <c r="N51" s="41">
        <f t="shared" si="9"/>
        <v>0.36063321068106485</v>
      </c>
      <c r="O51" s="41">
        <f t="shared" si="9"/>
        <v>0.36063321068106485</v>
      </c>
      <c r="P51" s="41">
        <f t="shared" si="9"/>
        <v>0.36063321068106485</v>
      </c>
      <c r="Q51" s="41">
        <f t="shared" si="9"/>
        <v>0.36063321068106485</v>
      </c>
    </row>
    <row r="53" spans="1:17" x14ac:dyDescent="0.15">
      <c r="B53" s="6" t="s">
        <v>147</v>
      </c>
      <c r="C53" s="80">
        <f>C50/1600</f>
        <v>16.755074999999998</v>
      </c>
      <c r="D53" s="80">
        <f>D50/1600</f>
        <v>2.5</v>
      </c>
      <c r="E53" s="80">
        <f>E50/Assumption_Sheet!$C$24*10^5</f>
        <v>3</v>
      </c>
      <c r="F53" s="80">
        <f>F50/Assumption_Sheet!$C$24*10^5</f>
        <v>5</v>
      </c>
      <c r="G53" s="80">
        <f>G50/Assumption_Sheet!$C$24*10^5</f>
        <v>4.5</v>
      </c>
      <c r="H53" s="80">
        <f>H50/Assumption_Sheet!$C$24*10^5</f>
        <v>6.2476161243298733</v>
      </c>
      <c r="I53" s="80">
        <f>I50/Assumption_Sheet!$C$24*10^5</f>
        <v>7.4793181088640575</v>
      </c>
      <c r="J53" s="80">
        <f>J50/Assumption_Sheet!$C$24*10^5</f>
        <v>8.8822706007243557</v>
      </c>
      <c r="K53" s="80">
        <f>K50/Assumption_Sheet!$C$24*10^5</f>
        <v>10.627449182192533</v>
      </c>
      <c r="L53" s="80">
        <f>L50/Assumption_Sheet!$C$24*10^5</f>
        <v>12.625605230658275</v>
      </c>
      <c r="M53" s="80">
        <f>M50/Assumption_Sheet!$C$24*10^5</f>
        <v>15.092105592457465</v>
      </c>
      <c r="N53" s="80">
        <f>N50/Assumption_Sheet!$C$24*10^5</f>
        <v>17.924659266716006</v>
      </c>
      <c r="O53" s="80">
        <f>O50/Assumption_Sheet!$C$24*10^5</f>
        <v>21.43389844011342</v>
      </c>
      <c r="P53" s="80">
        <f>P50/Assumption_Sheet!$C$24*10^5</f>
        <v>25.443279101907198</v>
      </c>
      <c r="Q53" s="80">
        <f>Q50/Assumption_Sheet!$C$24*10^5</f>
        <v>30.42274957414304</v>
      </c>
    </row>
    <row r="55" spans="1:17" s="1" customFormat="1" ht="21" x14ac:dyDescent="0.25">
      <c r="A55" s="10"/>
      <c r="B55" s="10"/>
      <c r="C55" s="10"/>
      <c r="D55" s="10"/>
      <c r="E55" s="10"/>
      <c r="F55" s="10"/>
      <c r="G55" s="10"/>
      <c r="H55" s="10"/>
      <c r="I55" s="10"/>
      <c r="J55" s="10"/>
      <c r="K55" s="10"/>
      <c r="L55" s="10"/>
      <c r="M55" s="10"/>
      <c r="N55" s="10"/>
      <c r="O55" s="10"/>
      <c r="P55" s="10"/>
      <c r="Q55" s="10"/>
    </row>
  </sheetData>
  <mergeCells count="1">
    <mergeCell ref="B11:B12"/>
  </mergeCells>
  <pageMargins left="0.7" right="0.7" top="0.75" bottom="0.75" header="0.3" footer="0.3"/>
  <pageSetup scale="40" fitToHeight="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98B67-F9B8-4BAE-AB67-08D0E36F6C66}">
  <sheetPr>
    <tabColor theme="7" tint="0.79998168889431442"/>
    <pageSetUpPr fitToPage="1"/>
  </sheetPr>
  <dimension ref="A1:Q75"/>
  <sheetViews>
    <sheetView showGridLines="0" workbookViewId="0">
      <pane xSplit="2" ySplit="12" topLeftCell="C13" activePane="bottomRight" state="frozen"/>
      <selection pane="topRight" activeCell="C1" sqref="C1"/>
      <selection pane="bottomLeft" activeCell="A12" sqref="A12"/>
      <selection pane="bottomRight" activeCell="H47" sqref="H47"/>
    </sheetView>
  </sheetViews>
  <sheetFormatPr baseColWidth="10" defaultColWidth="15.6640625" defaultRowHeight="14" x14ac:dyDescent="0.15"/>
  <cols>
    <col min="1" max="1" width="2.6640625" style="3" customWidth="1"/>
    <col min="2" max="2" width="40.6640625" style="6" customWidth="1"/>
    <col min="3" max="16384" width="15.6640625" style="13"/>
  </cols>
  <sheetData>
    <row r="1" spans="1:17" s="1" customFormat="1" x14ac:dyDescent="0.15"/>
    <row r="2" spans="1:17" s="1" customFormat="1" x14ac:dyDescent="0.15"/>
    <row r="3" spans="1:17" s="1" customFormat="1" x14ac:dyDescent="0.15"/>
    <row r="4" spans="1:17" s="1" customFormat="1" x14ac:dyDescent="0.15"/>
    <row r="5" spans="1:17" s="1" customFormat="1" x14ac:dyDescent="0.15"/>
    <row r="6" spans="1:17" s="1" customFormat="1" x14ac:dyDescent="0.15"/>
    <row r="7" spans="1:17" s="1" customFormat="1" x14ac:dyDescent="0.15"/>
    <row r="8" spans="1:17" s="1" customFormat="1" ht="21" x14ac:dyDescent="0.25">
      <c r="A8" s="10" t="s">
        <v>359</v>
      </c>
      <c r="B8" s="10"/>
      <c r="C8" s="10"/>
      <c r="D8" s="10"/>
      <c r="E8" s="10"/>
      <c r="F8" s="10"/>
      <c r="G8" s="10"/>
      <c r="H8" s="10"/>
      <c r="I8" s="10"/>
      <c r="J8" s="10"/>
      <c r="K8" s="10"/>
      <c r="L8" s="10"/>
      <c r="M8" s="10"/>
      <c r="N8" s="10"/>
      <c r="O8" s="10"/>
      <c r="P8" s="10"/>
      <c r="Q8" s="10"/>
    </row>
    <row r="9" spans="1:17" s="1" customFormat="1" ht="21" x14ac:dyDescent="0.25">
      <c r="A9" s="10" t="s">
        <v>149</v>
      </c>
      <c r="B9" s="10"/>
      <c r="C9" s="10"/>
      <c r="D9" s="10"/>
      <c r="E9" s="10"/>
      <c r="F9" s="10"/>
      <c r="G9" s="10"/>
      <c r="H9" s="10"/>
      <c r="I9" s="10"/>
      <c r="J9" s="10"/>
      <c r="K9" s="10"/>
      <c r="L9" s="10"/>
      <c r="M9" s="10"/>
      <c r="N9" s="10"/>
      <c r="O9" s="10"/>
      <c r="P9" s="10"/>
      <c r="Q9" s="10"/>
    </row>
    <row r="10" spans="1:17" s="1" customFormat="1" x14ac:dyDescent="0.15"/>
    <row r="11" spans="1:17" s="18" customFormat="1" ht="18" x14ac:dyDescent="0.2">
      <c r="A11" s="3"/>
      <c r="B11" s="157" t="s">
        <v>0</v>
      </c>
      <c r="C11" s="5">
        <v>2020</v>
      </c>
      <c r="D11" s="5">
        <v>2021</v>
      </c>
      <c r="E11" s="5">
        <v>2022</v>
      </c>
      <c r="F11" s="5">
        <v>2023</v>
      </c>
      <c r="G11" s="5">
        <v>2024</v>
      </c>
      <c r="H11" s="35">
        <v>2025</v>
      </c>
      <c r="I11" s="35">
        <v>2026</v>
      </c>
      <c r="J11" s="35">
        <v>2027</v>
      </c>
      <c r="K11" s="35">
        <v>2028</v>
      </c>
      <c r="L11" s="35">
        <v>2029</v>
      </c>
      <c r="M11" s="35">
        <v>2030</v>
      </c>
      <c r="N11" s="35">
        <v>2031</v>
      </c>
      <c r="O11" s="35">
        <v>2032</v>
      </c>
      <c r="P11" s="35">
        <v>2033</v>
      </c>
      <c r="Q11" s="35">
        <v>2034</v>
      </c>
    </row>
    <row r="12" spans="1:17" s="25" customFormat="1" ht="18" x14ac:dyDescent="0.2">
      <c r="A12" s="3"/>
      <c r="B12" s="157"/>
      <c r="C12" s="4" t="s">
        <v>1</v>
      </c>
      <c r="D12" s="4" t="s">
        <v>1</v>
      </c>
      <c r="E12" s="4" t="s">
        <v>1</v>
      </c>
      <c r="F12" s="4" t="s">
        <v>1</v>
      </c>
      <c r="G12" s="4" t="s">
        <v>1</v>
      </c>
      <c r="H12" s="36" t="s">
        <v>71</v>
      </c>
      <c r="I12" s="36" t="s">
        <v>71</v>
      </c>
      <c r="J12" s="36" t="s">
        <v>71</v>
      </c>
      <c r="K12" s="36" t="s">
        <v>71</v>
      </c>
      <c r="L12" s="36" t="s">
        <v>71</v>
      </c>
      <c r="M12" s="36" t="s">
        <v>71</v>
      </c>
      <c r="N12" s="36" t="s">
        <v>71</v>
      </c>
      <c r="O12" s="36" t="s">
        <v>71</v>
      </c>
      <c r="P12" s="36" t="s">
        <v>71</v>
      </c>
      <c r="Q12" s="36" t="s">
        <v>71</v>
      </c>
    </row>
    <row r="13" spans="1:17" s="3" customFormat="1" x14ac:dyDescent="0.15">
      <c r="B13" s="6"/>
      <c r="H13" s="37"/>
      <c r="I13" s="37"/>
      <c r="J13" s="37"/>
      <c r="K13" s="37"/>
      <c r="L13" s="37"/>
      <c r="M13" s="37"/>
      <c r="N13" s="37"/>
      <c r="O13" s="37"/>
      <c r="P13" s="37"/>
      <c r="Q13" s="37"/>
    </row>
    <row r="14" spans="1:17" s="3" customFormat="1" x14ac:dyDescent="0.15">
      <c r="B14" s="18" t="s">
        <v>25</v>
      </c>
      <c r="H14" s="39"/>
      <c r="I14" s="37"/>
      <c r="J14" s="37"/>
      <c r="K14" s="37"/>
      <c r="L14" s="37"/>
      <c r="M14" s="37"/>
      <c r="N14" s="37"/>
      <c r="O14" s="37"/>
      <c r="P14" s="37"/>
      <c r="Q14" s="37"/>
    </row>
    <row r="15" spans="1:17" s="3" customFormat="1" x14ac:dyDescent="0.15">
      <c r="B15" s="15" t="s">
        <v>26</v>
      </c>
      <c r="H15" s="37"/>
      <c r="I15" s="37"/>
      <c r="J15" s="37"/>
      <c r="K15" s="37"/>
      <c r="L15" s="37"/>
      <c r="M15" s="37"/>
      <c r="N15" s="37"/>
      <c r="O15" s="37"/>
      <c r="P15" s="37"/>
      <c r="Q15" s="37"/>
    </row>
    <row r="16" spans="1:17" x14ac:dyDescent="0.15">
      <c r="B16" s="6" t="s">
        <v>27</v>
      </c>
      <c r="C16" s="49">
        <f>BS_Input!C16</f>
        <v>15585.09</v>
      </c>
      <c r="D16" s="49">
        <f>Fixed_Asset_Schedule!D107</f>
        <v>19707.280000000006</v>
      </c>
      <c r="E16" s="49">
        <f>Fixed_Asset_Schedule!E107</f>
        <v>20528.190000000006</v>
      </c>
      <c r="F16" s="49">
        <f>Fixed_Asset_Schedule!F107</f>
        <v>22368.660000000011</v>
      </c>
      <c r="G16" s="49">
        <f>Fixed_Asset_Schedule!G107</f>
        <v>22590.994800000004</v>
      </c>
      <c r="H16" s="130">
        <f>Fixed_Asset_Schedule!H107</f>
        <v>23410.145200000006</v>
      </c>
      <c r="I16" s="130">
        <f>Fixed_Asset_Schedule!I107</f>
        <v>24229.295600000005</v>
      </c>
      <c r="J16" s="130">
        <f>Fixed_Asset_Schedule!J107</f>
        <v>25064.514192000002</v>
      </c>
      <c r="K16" s="130">
        <f>Fixed_Asset_Schedule!K107</f>
        <v>25916.430608000002</v>
      </c>
      <c r="L16" s="130">
        <f>Fixed_Asset_Schedule!L107</f>
        <v>26768.347023999999</v>
      </c>
      <c r="M16" s="130">
        <f>Fixed_Asset_Schedule!M107</f>
        <v>27636.974359680004</v>
      </c>
      <c r="N16" s="130">
        <f>Fixed_Asset_Schedule!N107</f>
        <v>28522.967432320005</v>
      </c>
      <c r="O16" s="130">
        <f>Fixed_Asset_Schedule!O107</f>
        <v>29408.960504960007</v>
      </c>
      <c r="P16" s="130">
        <f>Fixed_Asset_Schedule!P107</f>
        <v>30312.332934067206</v>
      </c>
      <c r="Q16" s="130">
        <f>Fixed_Asset_Schedule!Q107</f>
        <v>31233.765729612809</v>
      </c>
    </row>
    <row r="17" spans="2:17" x14ac:dyDescent="0.15">
      <c r="B17" s="6" t="s">
        <v>28</v>
      </c>
      <c r="C17" s="49">
        <f>Fixed_Asset_Schedule!C225</f>
        <v>1620.79</v>
      </c>
      <c r="D17" s="49">
        <f>Fixed_Asset_Schedule!D225</f>
        <v>2430.31</v>
      </c>
      <c r="E17" s="49">
        <f>Fixed_Asset_Schedule!E225</f>
        <v>2616.96</v>
      </c>
      <c r="F17" s="49">
        <f>Fixed_Asset_Schedule!F225</f>
        <v>3379.07</v>
      </c>
      <c r="G17" s="49">
        <f>Fixed_Asset_Schedule!G225</f>
        <v>44251.83</v>
      </c>
      <c r="H17" s="130">
        <f>Fixed_Asset_Schedule!H225</f>
        <v>3418.317066666667</v>
      </c>
      <c r="I17" s="130">
        <f>Fixed_Asset_Schedule!I225</f>
        <v>4027.8541333333337</v>
      </c>
      <c r="J17" s="130">
        <f>Fixed_Asset_Schedule!J225</f>
        <v>4637.3912</v>
      </c>
      <c r="K17" s="130">
        <f>Fixed_Asset_Schedule!K225</f>
        <v>5271.3097493333335</v>
      </c>
      <c r="L17" s="130">
        <f>Fixed_Asset_Schedule!L225</f>
        <v>5905.2282986666669</v>
      </c>
      <c r="M17" s="130">
        <f>Fixed_Asset_Schedule!M225</f>
        <v>6539.1468480000003</v>
      </c>
      <c r="N17" s="130">
        <f>Fixed_Asset_Schedule!N225</f>
        <v>7198.4221393066673</v>
      </c>
      <c r="O17" s="130">
        <f>Fixed_Asset_Schedule!O225</f>
        <v>7857.6974306133343</v>
      </c>
      <c r="P17" s="130">
        <f>Fixed_Asset_Schedule!P225</f>
        <v>8516.9727219200013</v>
      </c>
      <c r="Q17" s="130">
        <f>Fixed_Asset_Schedule!Q225</f>
        <v>9202.6190248789353</v>
      </c>
    </row>
    <row r="18" spans="2:17" x14ac:dyDescent="0.15">
      <c r="B18" s="6" t="s">
        <v>29</v>
      </c>
      <c r="C18" s="49">
        <f>Fixed_Asset_Schedule!C139</f>
        <v>2738.82</v>
      </c>
      <c r="D18" s="49">
        <f>Fixed_Asset_Schedule!D139</f>
        <v>2733.5600000000004</v>
      </c>
      <c r="E18" s="49">
        <f>Fixed_Asset_Schedule!E139</f>
        <v>2695.9500000000003</v>
      </c>
      <c r="F18" s="49">
        <f>Fixed_Asset_Schedule!F139</f>
        <v>2658.3900000000003</v>
      </c>
      <c r="G18" s="49">
        <f>Fixed_Asset_Schedule!G139</f>
        <v>2620.9725000000003</v>
      </c>
      <c r="H18" s="130">
        <f>Fixed_Asset_Schedule!H139</f>
        <v>2583.5550000000003</v>
      </c>
      <c r="I18" s="130">
        <f>Fixed_Asset_Schedule!I139</f>
        <v>2546.1375000000003</v>
      </c>
      <c r="J18" s="130">
        <f>Fixed_Asset_Schedule!J139</f>
        <v>2507.2233000000001</v>
      </c>
      <c r="K18" s="130">
        <f>Fixed_Asset_Schedule!K139</f>
        <v>2468.3091000000004</v>
      </c>
      <c r="L18" s="130">
        <f>Fixed_Asset_Schedule!L139</f>
        <v>2429.3949000000002</v>
      </c>
      <c r="M18" s="130">
        <f>Fixed_Asset_Schedule!M139</f>
        <v>2388.9241320000001</v>
      </c>
      <c r="N18" s="130">
        <f>Fixed_Asset_Schedule!N139</f>
        <v>2348.4533640000004</v>
      </c>
      <c r="O18" s="130">
        <f>Fixed_Asset_Schedule!O139</f>
        <v>2307.9825960000003</v>
      </c>
      <c r="P18" s="130">
        <f>Fixed_Asset_Schedule!P139</f>
        <v>2265.8929972800001</v>
      </c>
      <c r="Q18" s="130">
        <f>Fixed_Asset_Schedule!Q139</f>
        <v>2223.80339856</v>
      </c>
    </row>
    <row r="19" spans="2:17" x14ac:dyDescent="0.15">
      <c r="B19" s="6" t="s">
        <v>30</v>
      </c>
      <c r="C19" s="49">
        <f>Fixed_Asset_Schedule!C170</f>
        <v>434.06999999999994</v>
      </c>
      <c r="D19" s="49">
        <f>Fixed_Asset_Schedule!D170</f>
        <v>669.24999999999977</v>
      </c>
      <c r="E19" s="49">
        <f>Fixed_Asset_Schedule!E170</f>
        <v>536.45999999999981</v>
      </c>
      <c r="F19" s="49">
        <f>Fixed_Asset_Schedule!F170</f>
        <v>273.24999999999983</v>
      </c>
      <c r="G19" s="49">
        <f>Fixed_Asset_Schedule!G170</f>
        <v>321.73199999999974</v>
      </c>
      <c r="H19" s="130">
        <f>Fixed_Asset_Schedule!H170</f>
        <v>370.2139999999996</v>
      </c>
      <c r="I19" s="130">
        <f>Fixed_Asset_Schedule!I170</f>
        <v>418.69599999999951</v>
      </c>
      <c r="J19" s="130">
        <f>Fixed_Asset_Schedule!J170</f>
        <v>469.1172799999996</v>
      </c>
      <c r="K19" s="130">
        <f>Fixed_Asset_Schedule!K170</f>
        <v>519.53855999999962</v>
      </c>
      <c r="L19" s="130">
        <f>Fixed_Asset_Schedule!L170</f>
        <v>569.95983999999953</v>
      </c>
      <c r="M19" s="130">
        <f>Fixed_Asset_Schedule!M170</f>
        <v>622.39797119999946</v>
      </c>
      <c r="N19" s="130">
        <f>Fixed_Asset_Schedule!N170</f>
        <v>674.83610239999939</v>
      </c>
      <c r="O19" s="130">
        <f>Fixed_Asset_Schedule!O170</f>
        <v>727.27423359999943</v>
      </c>
      <c r="P19" s="130">
        <f>Fixed_Asset_Schedule!P170</f>
        <v>781.80989004799949</v>
      </c>
      <c r="Q19" s="130">
        <f>Fixed_Asset_Schedule!Q170</f>
        <v>836.34554649599954</v>
      </c>
    </row>
    <row r="20" spans="2:17" x14ac:dyDescent="0.15">
      <c r="B20" s="6" t="s">
        <v>31</v>
      </c>
      <c r="C20" s="49">
        <f>BS_Input!C20</f>
        <v>9710.75</v>
      </c>
      <c r="D20" s="49">
        <f>Fixed_Asset_Schedule!D214</f>
        <v>8024.56</v>
      </c>
      <c r="E20" s="49">
        <f>Fixed_Asset_Schedule!E214</f>
        <v>9781.17</v>
      </c>
      <c r="F20" s="49">
        <f>Fixed_Asset_Schedule!F214</f>
        <v>9792.85</v>
      </c>
      <c r="G20" s="49">
        <f>Fixed_Asset_Schedule!G214</f>
        <v>8743.0037333333366</v>
      </c>
      <c r="H20" s="130">
        <f>Fixed_Asset_Schedule!H214</f>
        <v>10112.812000000004</v>
      </c>
      <c r="I20" s="130">
        <f>Fixed_Asset_Schedule!I214</f>
        <v>11482.62026666667</v>
      </c>
      <c r="J20" s="130">
        <f>Fixed_Asset_Schedule!J214</f>
        <v>12907.220864000003</v>
      </c>
      <c r="K20" s="130">
        <f>Fixed_Asset_Schedule!K214</f>
        <v>14331.821461333337</v>
      </c>
      <c r="L20" s="130">
        <f>Fixed_Asset_Schedule!L214</f>
        <v>15756.422058666667</v>
      </c>
      <c r="M20" s="130">
        <f>Fixed_Asset_Schedule!M214</f>
        <v>17238.006679893333</v>
      </c>
      <c r="N20" s="130">
        <f>Fixed_Asset_Schedule!N214</f>
        <v>18719.591301120003</v>
      </c>
      <c r="O20" s="130">
        <f>Fixed_Asset_Schedule!O214</f>
        <v>20201.175922346672</v>
      </c>
      <c r="P20" s="130">
        <f>Fixed_Asset_Schedule!P214</f>
        <v>21742.023928422404</v>
      </c>
      <c r="Q20" s="130">
        <f>Fixed_Asset_Schedule!Q214</f>
        <v>23282.871934498133</v>
      </c>
    </row>
    <row r="21" spans="2:17" x14ac:dyDescent="0.15">
      <c r="B21" s="19" t="s">
        <v>32</v>
      </c>
      <c r="C21" s="49"/>
      <c r="D21" s="49"/>
      <c r="E21" s="49"/>
      <c r="F21" s="49"/>
      <c r="G21" s="49"/>
      <c r="H21" s="130"/>
      <c r="I21" s="130"/>
      <c r="J21" s="130"/>
      <c r="K21" s="130"/>
      <c r="L21" s="130"/>
      <c r="M21" s="130"/>
      <c r="N21" s="130"/>
      <c r="O21" s="130"/>
      <c r="P21" s="130"/>
      <c r="Q21" s="130"/>
    </row>
    <row r="22" spans="2:17" x14ac:dyDescent="0.15">
      <c r="B22" s="8" t="s">
        <v>33</v>
      </c>
      <c r="C22" s="49">
        <f>BS_Items!C17</f>
        <v>0.32</v>
      </c>
      <c r="D22" s="49">
        <f>BS_Items!D17</f>
        <v>0</v>
      </c>
      <c r="E22" s="49">
        <f>BS_Items!E17</f>
        <v>0</v>
      </c>
      <c r="F22" s="49">
        <f>BS_Items!F17</f>
        <v>0</v>
      </c>
      <c r="G22" s="49">
        <f>BS_Items!G17</f>
        <v>0</v>
      </c>
      <c r="H22" s="130">
        <f>BS_Items!H17</f>
        <v>0.17714762535349235</v>
      </c>
      <c r="I22" s="130">
        <f>BS_Items!I17</f>
        <v>0.20815535993577175</v>
      </c>
      <c r="J22" s="130">
        <f>BS_Items!J17</f>
        <v>0.24475923424987187</v>
      </c>
      <c r="K22" s="130">
        <f>BS_Items!K17</f>
        <v>0.28798749355739739</v>
      </c>
      <c r="L22" s="130">
        <f>BS_Items!L17</f>
        <v>0.33905955255708148</v>
      </c>
      <c r="M22" s="130">
        <f>BS_Items!M17</f>
        <v>0.3994218516775736</v>
      </c>
      <c r="N22" s="130">
        <f>BS_Items!N17</f>
        <v>0.47079048801211393</v>
      </c>
      <c r="O22" s="130">
        <f>BS_Items!O17</f>
        <v>0.5552019091768341</v>
      </c>
      <c r="P22" s="130">
        <f>BS_Items!P17</f>
        <v>0.65507320480137232</v>
      </c>
      <c r="Q22" s="130">
        <f>BS_Items!Q17</f>
        <v>0.77327382418081358</v>
      </c>
    </row>
    <row r="23" spans="2:17" x14ac:dyDescent="0.15">
      <c r="B23" s="8" t="s">
        <v>34</v>
      </c>
      <c r="C23" s="49">
        <f>BS_Items!C20</f>
        <v>18.14</v>
      </c>
      <c r="D23" s="49">
        <f>BS_Items!D20</f>
        <v>0</v>
      </c>
      <c r="E23" s="49">
        <f>BS_Items!E20</f>
        <v>0</v>
      </c>
      <c r="F23" s="49">
        <f>BS_Items!F20</f>
        <v>0</v>
      </c>
      <c r="G23" s="49">
        <f>BS_Items!G20</f>
        <v>0</v>
      </c>
      <c r="H23" s="130">
        <f>BS_Items!H20</f>
        <v>10.042056012226098</v>
      </c>
      <c r="I23" s="130">
        <f>BS_Items!I20</f>
        <v>11.799806966359062</v>
      </c>
      <c r="J23" s="130">
        <f>BS_Items!J20</f>
        <v>13.874789091539611</v>
      </c>
      <c r="K23" s="130">
        <f>BS_Items!K20</f>
        <v>16.325291041034962</v>
      </c>
      <c r="L23" s="130">
        <f>BS_Items!L20</f>
        <v>19.220438385579556</v>
      </c>
      <c r="M23" s="130">
        <f>BS_Items!M20</f>
        <v>22.642226216972453</v>
      </c>
      <c r="N23" s="130">
        <f>BS_Items!N20</f>
        <v>26.68793578918671</v>
      </c>
      <c r="O23" s="130">
        <f>BS_Items!O20</f>
        <v>31.473008226461783</v>
      </c>
      <c r="P23" s="130">
        <f>BS_Items!P20</f>
        <v>37.134462297177791</v>
      </c>
      <c r="Q23" s="130">
        <f>BS_Items!Q20</f>
        <v>43.834959908249871</v>
      </c>
    </row>
    <row r="24" spans="2:17" x14ac:dyDescent="0.15">
      <c r="B24" s="8" t="s">
        <v>35</v>
      </c>
      <c r="C24" s="49">
        <f>BS_Items!C23</f>
        <v>8.06</v>
      </c>
      <c r="D24" s="49">
        <f>BS_Items!D23</f>
        <v>27.28</v>
      </c>
      <c r="E24" s="49">
        <f>BS_Items!E23</f>
        <v>34.36</v>
      </c>
      <c r="F24" s="49">
        <f>BS_Items!F23</f>
        <v>94.4</v>
      </c>
      <c r="G24" s="49">
        <f>BS_Items!G23</f>
        <v>117.19</v>
      </c>
      <c r="H24" s="130">
        <f>BS_Items!H23</f>
        <v>95.202096109215503</v>
      </c>
      <c r="I24" s="130">
        <f>BS_Items!I23</f>
        <v>111.8661711818595</v>
      </c>
      <c r="J24" s="130">
        <f>BS_Items!J23</f>
        <v>131.5377053244531</v>
      </c>
      <c r="K24" s="130">
        <f>BS_Items!K23</f>
        <v>154.76929473479345</v>
      </c>
      <c r="L24" s="130">
        <f>BS_Items!L23</f>
        <v>182.21627326290613</v>
      </c>
      <c r="M24" s="130">
        <f>BS_Items!M23</f>
        <v>214.65598218237437</v>
      </c>
      <c r="N24" s="130">
        <f>BS_Items!N23</f>
        <v>253.01068076750337</v>
      </c>
      <c r="O24" s="130">
        <f>BS_Items!O23</f>
        <v>298.37479002046848</v>
      </c>
      <c r="P24" s="130">
        <f>BS_Items!P23</f>
        <v>352.04729432655972</v>
      </c>
      <c r="Q24" s="130">
        <f>BS_Items!Q23</f>
        <v>415.5702837195899</v>
      </c>
    </row>
    <row r="25" spans="2:17" x14ac:dyDescent="0.15">
      <c r="B25" s="6" t="s">
        <v>36</v>
      </c>
      <c r="C25" s="49">
        <f>BS_Items!C26</f>
        <v>6672.47</v>
      </c>
      <c r="D25" s="49">
        <f>BS_Items!D26</f>
        <v>7633.75</v>
      </c>
      <c r="E25" s="49">
        <f>BS_Items!E26</f>
        <v>9473.2199999999993</v>
      </c>
      <c r="F25" s="49">
        <f>BS_Items!F26</f>
        <v>13054.96</v>
      </c>
      <c r="G25" s="49">
        <f>BS_Items!G26</f>
        <v>14128.36</v>
      </c>
      <c r="H25" s="130">
        <f>BS_Items!H26</f>
        <v>18782.949580966884</v>
      </c>
      <c r="I25" s="130">
        <f>BS_Items!I26</f>
        <v>22070.697379543148</v>
      </c>
      <c r="J25" s="130">
        <f>BS_Items!J26</f>
        <v>25951.803458937946</v>
      </c>
      <c r="K25" s="130">
        <f>BS_Items!K26</f>
        <v>30535.292587996184</v>
      </c>
      <c r="L25" s="130">
        <f>BS_Items!L26</f>
        <v>35950.45921680655</v>
      </c>
      <c r="M25" s="130">
        <f>BS_Items!M26</f>
        <v>42350.669316767075</v>
      </c>
      <c r="N25" s="130">
        <f>BS_Items!N26</f>
        <v>49917.880535427677</v>
      </c>
      <c r="O25" s="130">
        <f>BS_Items!O26</f>
        <v>58868.017262526868</v>
      </c>
      <c r="P25" s="130">
        <f>BS_Items!P26</f>
        <v>69457.363332271168</v>
      </c>
      <c r="Q25" s="130">
        <f>BS_Items!Q26</f>
        <v>81990.166240652543</v>
      </c>
    </row>
    <row r="26" spans="2:17" x14ac:dyDescent="0.15">
      <c r="B26" s="6" t="s">
        <v>37</v>
      </c>
      <c r="C26" s="49">
        <f>BS_Items!C29</f>
        <v>2625.8</v>
      </c>
      <c r="D26" s="49">
        <f>BS_Items!D29</f>
        <v>3406.89</v>
      </c>
      <c r="E26" s="49">
        <f>BS_Items!E29</f>
        <v>4946.79</v>
      </c>
      <c r="F26" s="49">
        <f>BS_Items!F29</f>
        <v>22072.53</v>
      </c>
      <c r="G26" s="49">
        <f>BS_Items!G29</f>
        <v>1925.97</v>
      </c>
      <c r="H26" s="130">
        <f>BS_Items!H29</f>
        <v>13132.25290059587</v>
      </c>
      <c r="I26" s="130">
        <f>BS_Items!I29</f>
        <v>15430.908677643338</v>
      </c>
      <c r="J26" s="130">
        <f>BS_Items!J29</f>
        <v>18144.415752181783</v>
      </c>
      <c r="K26" s="130">
        <f>BS_Items!K29</f>
        <v>21348.999683499893</v>
      </c>
      <c r="L26" s="130">
        <f>BS_Items!L29</f>
        <v>25135.057744394941</v>
      </c>
      <c r="M26" s="130">
        <f>BS_Items!M29</f>
        <v>29609.817008765123</v>
      </c>
      <c r="N26" s="130">
        <f>BS_Items!N29</f>
        <v>34900.4946548562</v>
      </c>
      <c r="O26" s="130">
        <f>BS_Items!O29</f>
        <v>41158.055986665284</v>
      </c>
      <c r="P26" s="130">
        <f>BS_Items!P29</f>
        <v>48561.683944051016</v>
      </c>
      <c r="Q26" s="130">
        <f>BS_Items!Q29</f>
        <v>57324.095653496457</v>
      </c>
    </row>
    <row r="27" spans="2:17" x14ac:dyDescent="0.15">
      <c r="B27" s="15" t="s">
        <v>38</v>
      </c>
      <c r="C27" s="131">
        <f t="shared" ref="C27:Q27" si="0">SUM(C16:C26)</f>
        <v>39414.310000000005</v>
      </c>
      <c r="D27" s="131">
        <f t="shared" si="0"/>
        <v>44632.880000000005</v>
      </c>
      <c r="E27" s="131">
        <f t="shared" si="0"/>
        <v>50613.100000000006</v>
      </c>
      <c r="F27" s="131">
        <f t="shared" si="0"/>
        <v>73694.110000000015</v>
      </c>
      <c r="G27" s="131">
        <f t="shared" si="0"/>
        <v>94700.053033333345</v>
      </c>
      <c r="H27" s="132">
        <f t="shared" si="0"/>
        <v>71915.667047976225</v>
      </c>
      <c r="I27" s="132">
        <f t="shared" si="0"/>
        <v>80330.08369069465</v>
      </c>
      <c r="J27" s="132">
        <f t="shared" si="0"/>
        <v>89827.343300769979</v>
      </c>
      <c r="K27" s="132">
        <f t="shared" si="0"/>
        <v>100563.08432343214</v>
      </c>
      <c r="L27" s="132">
        <f t="shared" si="0"/>
        <v>112716.64485373587</v>
      </c>
      <c r="M27" s="132">
        <f t="shared" si="0"/>
        <v>126623.63394655655</v>
      </c>
      <c r="N27" s="132">
        <f t="shared" si="0"/>
        <v>142562.81493647525</v>
      </c>
      <c r="O27" s="132">
        <f t="shared" si="0"/>
        <v>160859.56693686827</v>
      </c>
      <c r="P27" s="132">
        <f t="shared" si="0"/>
        <v>182027.91657788833</v>
      </c>
      <c r="Q27" s="132">
        <f t="shared" si="0"/>
        <v>206553.84604564687</v>
      </c>
    </row>
    <row r="28" spans="2:17" x14ac:dyDescent="0.15">
      <c r="C28" s="49"/>
      <c r="D28" s="49"/>
      <c r="E28" s="49"/>
      <c r="F28" s="49"/>
      <c r="G28" s="49"/>
      <c r="H28" s="130"/>
      <c r="I28" s="130"/>
      <c r="J28" s="130"/>
      <c r="K28" s="130"/>
      <c r="L28" s="130"/>
      <c r="M28" s="130"/>
      <c r="N28" s="130"/>
      <c r="O28" s="130"/>
      <c r="P28" s="130"/>
      <c r="Q28" s="130"/>
    </row>
    <row r="29" spans="2:17" x14ac:dyDescent="0.15">
      <c r="B29" s="15" t="s">
        <v>39</v>
      </c>
      <c r="C29" s="49"/>
      <c r="D29" s="49"/>
      <c r="E29" s="49"/>
      <c r="F29" s="49"/>
      <c r="G29" s="49"/>
      <c r="H29" s="130"/>
      <c r="I29" s="130"/>
      <c r="J29" s="130"/>
      <c r="K29" s="130"/>
      <c r="L29" s="130"/>
      <c r="M29" s="130"/>
      <c r="N29" s="130"/>
      <c r="O29" s="130"/>
      <c r="P29" s="130"/>
      <c r="Q29" s="130"/>
    </row>
    <row r="30" spans="2:17" x14ac:dyDescent="0.15">
      <c r="B30" s="6" t="s">
        <v>40</v>
      </c>
      <c r="C30" s="49">
        <f>Working_Capital!C16</f>
        <v>976.3</v>
      </c>
      <c r="D30" s="49">
        <f>Working_Capital!D16</f>
        <v>654.04</v>
      </c>
      <c r="E30" s="49">
        <f>Working_Capital!E16</f>
        <v>792.79</v>
      </c>
      <c r="F30" s="49">
        <f>Working_Capital!F16</f>
        <v>960.95</v>
      </c>
      <c r="G30" s="49">
        <f>Working_Capital!G16</f>
        <v>1096.51</v>
      </c>
      <c r="H30" s="130">
        <f>Working_Capital!H16</f>
        <v>1151.3355000000001</v>
      </c>
      <c r="I30" s="130">
        <f>Working_Capital!I16</f>
        <v>1208.9022750000001</v>
      </c>
      <c r="J30" s="130">
        <f>Working_Capital!J16</f>
        <v>1269.3473887500002</v>
      </c>
      <c r="K30" s="130">
        <f>Working_Capital!K16</f>
        <v>1332.8147581875003</v>
      </c>
      <c r="L30" s="130">
        <f>Working_Capital!L16</f>
        <v>1399.4554960968753</v>
      </c>
      <c r="M30" s="130">
        <f>Working_Capital!M16</f>
        <v>1469.4282709017191</v>
      </c>
      <c r="N30" s="130">
        <f>Working_Capital!N16</f>
        <v>1542.8996844468052</v>
      </c>
      <c r="O30" s="130">
        <f>Working_Capital!O16</f>
        <v>1620.0446686691455</v>
      </c>
      <c r="P30" s="130">
        <f>Working_Capital!P16</f>
        <v>1701.0469021026029</v>
      </c>
      <c r="Q30" s="130">
        <f>Working_Capital!Q16</f>
        <v>1786.099247207733</v>
      </c>
    </row>
    <row r="31" spans="2:17" x14ac:dyDescent="0.15">
      <c r="B31" s="19" t="s">
        <v>32</v>
      </c>
      <c r="C31" s="49"/>
      <c r="D31" s="49"/>
      <c r="E31" s="49"/>
      <c r="F31" s="49"/>
      <c r="G31" s="49"/>
      <c r="H31" s="130"/>
      <c r="I31" s="130"/>
      <c r="J31" s="130"/>
      <c r="K31" s="130"/>
      <c r="L31" s="130"/>
      <c r="M31" s="130"/>
      <c r="N31" s="130"/>
      <c r="O31" s="130"/>
      <c r="P31" s="130"/>
      <c r="Q31" s="130"/>
    </row>
    <row r="32" spans="2:17" x14ac:dyDescent="0.15">
      <c r="B32" s="8" t="s">
        <v>41</v>
      </c>
      <c r="C32" s="49">
        <f>Working_Capital!C15</f>
        <v>77792.639999999999</v>
      </c>
      <c r="D32" s="49">
        <f>Working_Capital!D15</f>
        <v>52134.22</v>
      </c>
      <c r="E32" s="49">
        <f>Working_Capital!E15</f>
        <v>57151.97</v>
      </c>
      <c r="F32" s="49">
        <f>Working_Capital!F15</f>
        <v>114291.4</v>
      </c>
      <c r="G32" s="49">
        <f>Working_Capital!G15</f>
        <v>137434.19</v>
      </c>
      <c r="H32" s="130">
        <f>Working_Capital!H15</f>
        <v>144305.8995</v>
      </c>
      <c r="I32" s="130">
        <f>Working_Capital!I15</f>
        <v>151521.194475</v>
      </c>
      <c r="J32" s="130">
        <f>Working_Capital!J15</f>
        <v>159097.25419875002</v>
      </c>
      <c r="K32" s="130">
        <f>Working_Capital!K15</f>
        <v>167052.11690868752</v>
      </c>
      <c r="L32" s="130">
        <f>Working_Capital!L15</f>
        <v>175404.7227541219</v>
      </c>
      <c r="M32" s="130">
        <f>Working_Capital!M15</f>
        <v>184174.95889182802</v>
      </c>
      <c r="N32" s="130">
        <f>Working_Capital!N15</f>
        <v>193383.70683641944</v>
      </c>
      <c r="O32" s="130">
        <f>Working_Capital!O15</f>
        <v>203052.89217824044</v>
      </c>
      <c r="P32" s="130">
        <f>Working_Capital!P15</f>
        <v>213205.53678715246</v>
      </c>
      <c r="Q32" s="130">
        <f>Working_Capital!Q15</f>
        <v>223865.81362651009</v>
      </c>
    </row>
    <row r="33" spans="2:17" x14ac:dyDescent="0.15">
      <c r="B33" s="8" t="s">
        <v>42</v>
      </c>
      <c r="C33" s="49">
        <f t="shared" ref="C33:Q33" si="1">C71-SUM(C27,C30:C32,C34:C38)</f>
        <v>59739.409999999916</v>
      </c>
      <c r="D33" s="49">
        <f t="shared" si="1"/>
        <v>34502.419999999984</v>
      </c>
      <c r="E33" s="49">
        <f t="shared" si="1"/>
        <v>36820.390000000014</v>
      </c>
      <c r="F33" s="49">
        <f t="shared" si="1"/>
        <v>42884.51999999996</v>
      </c>
      <c r="G33" s="49">
        <f t="shared" si="1"/>
        <v>70633.356966666761</v>
      </c>
      <c r="H33" s="130">
        <f t="shared" si="1"/>
        <v>242504.7935411915</v>
      </c>
      <c r="I33" s="130">
        <f t="shared" si="1"/>
        <v>355756.17491456191</v>
      </c>
      <c r="J33" s="130">
        <f t="shared" si="1"/>
        <v>490901.34889569809</v>
      </c>
      <c r="K33" s="130">
        <f t="shared" si="1"/>
        <v>653217.75689706136</v>
      </c>
      <c r="L33" s="130">
        <f t="shared" si="1"/>
        <v>846801.687863247</v>
      </c>
      <c r="M33" s="130">
        <f t="shared" si="1"/>
        <v>1078776.4930260982</v>
      </c>
      <c r="N33" s="130">
        <f t="shared" si="1"/>
        <v>1355024.5084920367</v>
      </c>
      <c r="O33" s="130">
        <f t="shared" si="1"/>
        <v>1685968.960467828</v>
      </c>
      <c r="P33" s="130">
        <f t="shared" si="1"/>
        <v>2079556.4604550684</v>
      </c>
      <c r="Q33" s="130">
        <f t="shared" si="1"/>
        <v>2550683.7681556395</v>
      </c>
    </row>
    <row r="34" spans="2:17" x14ac:dyDescent="0.15">
      <c r="B34" s="8" t="s">
        <v>43</v>
      </c>
      <c r="C34" s="49">
        <f>BS_Items!C34</f>
        <v>69903.38</v>
      </c>
      <c r="D34" s="49">
        <f>BS_Items!D34</f>
        <v>111547.15</v>
      </c>
      <c r="E34" s="49">
        <f>BS_Items!E34</f>
        <v>136336.5</v>
      </c>
      <c r="F34" s="49">
        <f>BS_Items!F34</f>
        <v>150197.23000000001</v>
      </c>
      <c r="G34" s="49">
        <f>BS_Items!G34</f>
        <v>157130.73000000001</v>
      </c>
      <c r="H34" s="130">
        <f>BS_Items!H34</f>
        <v>157130.73000000001</v>
      </c>
      <c r="I34" s="130">
        <f>BS_Items!I34</f>
        <v>157130.73000000001</v>
      </c>
      <c r="J34" s="130">
        <f>BS_Items!J34</f>
        <v>157130.73000000001</v>
      </c>
      <c r="K34" s="130">
        <f>BS_Items!K34</f>
        <v>157130.73000000001</v>
      </c>
      <c r="L34" s="130">
        <f>BS_Items!L34</f>
        <v>157130.73000000001</v>
      </c>
      <c r="M34" s="130">
        <f>BS_Items!M34</f>
        <v>157130.73000000001</v>
      </c>
      <c r="N34" s="130">
        <f>BS_Items!N34</f>
        <v>157130.73000000001</v>
      </c>
      <c r="O34" s="130">
        <f>BS_Items!O34</f>
        <v>157130.73000000001</v>
      </c>
      <c r="P34" s="130">
        <f>BS_Items!P34</f>
        <v>157130.73000000001</v>
      </c>
      <c r="Q34" s="130">
        <f>BS_Items!Q34</f>
        <v>157130.73000000001</v>
      </c>
    </row>
    <row r="35" spans="2:17" x14ac:dyDescent="0.15">
      <c r="B35" s="8" t="s">
        <v>34</v>
      </c>
      <c r="C35" s="49">
        <f>BS_Items!C37</f>
        <v>1188.9100000000001</v>
      </c>
      <c r="D35" s="49">
        <f>BS_Items!D37</f>
        <v>0</v>
      </c>
      <c r="E35" s="49">
        <f>BS_Items!E37</f>
        <v>0</v>
      </c>
      <c r="F35" s="49">
        <f>BS_Items!F37</f>
        <v>0</v>
      </c>
      <c r="G35" s="49">
        <f>BS_Items!G37</f>
        <v>0</v>
      </c>
      <c r="H35" s="130">
        <f>BS_Items!H37</f>
        <v>658.16432268443941</v>
      </c>
      <c r="I35" s="130">
        <f>BS_Items!I37</f>
        <v>773.36871556637004</v>
      </c>
      <c r="J35" s="130">
        <f>BS_Items!J37</f>
        <v>909.36469122504741</v>
      </c>
      <c r="K35" s="130">
        <f>BS_Items!K37</f>
        <v>1069.9725342666416</v>
      </c>
      <c r="L35" s="130">
        <f>BS_Items!L37</f>
        <v>1259.7227894707494</v>
      </c>
      <c r="M35" s="130">
        <f>BS_Items!M37</f>
        <v>1483.9894802437002</v>
      </c>
      <c r="N35" s="130">
        <f>BS_Items!N37</f>
        <v>1749.1484971952575</v>
      </c>
      <c r="O35" s="130">
        <f>BS_Items!O37</f>
        <v>2062.7659432482183</v>
      </c>
      <c r="P35" s="130">
        <f>BS_Items!P37</f>
        <v>2433.8221372512485</v>
      </c>
      <c r="Q35" s="130">
        <f>BS_Items!Q37</f>
        <v>2872.9780697087849</v>
      </c>
    </row>
    <row r="36" spans="2:17" x14ac:dyDescent="0.15">
      <c r="B36" s="8" t="s">
        <v>44</v>
      </c>
      <c r="C36" s="49">
        <f>BS_Items!C40</f>
        <v>14798.83</v>
      </c>
      <c r="D36" s="49">
        <f>BS_Items!D40</f>
        <v>11425.83</v>
      </c>
      <c r="E36" s="49">
        <f>BS_Items!E40</f>
        <v>15220.93</v>
      </c>
      <c r="F36" s="49">
        <f>BS_Items!F40</f>
        <v>21089.8</v>
      </c>
      <c r="G36" s="49">
        <f>BS_Items!G40</f>
        <v>25749.72</v>
      </c>
      <c r="H36" s="130">
        <f>BS_Items!H40</f>
        <v>33372.102813222635</v>
      </c>
      <c r="I36" s="130">
        <f>BS_Items!I40</f>
        <v>39213.520695173072</v>
      </c>
      <c r="J36" s="130">
        <f>BS_Items!J40</f>
        <v>46109.172017254685</v>
      </c>
      <c r="K36" s="130">
        <f>BS_Items!K40</f>
        <v>54252.763618715282</v>
      </c>
      <c r="L36" s="130">
        <f>BS_Items!L40</f>
        <v>63874.015952295216</v>
      </c>
      <c r="M36" s="130">
        <f>BS_Items!M40</f>
        <v>75245.417901781446</v>
      </c>
      <c r="N36" s="130">
        <f>BS_Items!N40</f>
        <v>88690.257846111097</v>
      </c>
      <c r="O36" s="130">
        <f>BS_Items!O40</f>
        <v>104592.17366405147</v>
      </c>
      <c r="P36" s="130">
        <f>BS_Items!P40</f>
        <v>123406.51079683052</v>
      </c>
      <c r="Q36" s="130">
        <f>BS_Items!Q40</f>
        <v>145673.83283767631</v>
      </c>
    </row>
    <row r="37" spans="2:17" x14ac:dyDescent="0.15">
      <c r="B37" s="6" t="s">
        <v>45</v>
      </c>
      <c r="C37" s="49">
        <f>BS_Items!C43</f>
        <v>4286.7299999999996</v>
      </c>
      <c r="D37" s="49">
        <f>BS_Items!D43</f>
        <v>3617.7</v>
      </c>
      <c r="E37" s="49">
        <f>BS_Items!E43</f>
        <v>6459.94</v>
      </c>
      <c r="F37" s="49">
        <f>BS_Items!F43</f>
        <v>10890.06</v>
      </c>
      <c r="G37" s="49">
        <f>BS_Items!G43</f>
        <v>16088.6</v>
      </c>
      <c r="H37" s="130">
        <f>BS_Items!H43</f>
        <v>15260.763254771595</v>
      </c>
      <c r="I37" s="130">
        <f>BS_Items!I43</f>
        <v>17931.991252226831</v>
      </c>
      <c r="J37" s="130">
        <f>BS_Items!J43</f>
        <v>21085.310744939321</v>
      </c>
      <c r="K37" s="130">
        <f>BS_Items!K43</f>
        <v>24809.302132865752</v>
      </c>
      <c r="L37" s="130">
        <f>BS_Items!L43</f>
        <v>29209.014518355772</v>
      </c>
      <c r="M37" s="130">
        <f>BS_Items!M43</f>
        <v>34409.054623625962</v>
      </c>
      <c r="N37" s="130">
        <f>BS_Items!N43</f>
        <v>40557.259324332314</v>
      </c>
      <c r="O37" s="130">
        <f>BS_Items!O43</f>
        <v>47829.062781042972</v>
      </c>
      <c r="P37" s="130">
        <f>BS_Items!P43</f>
        <v>56432.690379392472</v>
      </c>
      <c r="Q37" s="130">
        <f>BS_Items!Q43</f>
        <v>66615.337001482563</v>
      </c>
    </row>
    <row r="38" spans="2:17" x14ac:dyDescent="0.15">
      <c r="B38" s="6" t="s">
        <v>46</v>
      </c>
      <c r="C38" s="49">
        <f>BS_Items!C46</f>
        <v>56048.94</v>
      </c>
      <c r="D38" s="49">
        <f>BS_Items!D46</f>
        <v>56803.65</v>
      </c>
      <c r="E38" s="49">
        <f>BS_Items!E46</f>
        <v>85013.61</v>
      </c>
      <c r="F38" s="49">
        <f>BS_Items!F46</f>
        <v>94867.81</v>
      </c>
      <c r="G38" s="49">
        <f>BS_Items!G46</f>
        <v>106283.37</v>
      </c>
      <c r="H38" s="130">
        <f>BS_Items!H46</f>
        <v>152531.10919476001</v>
      </c>
      <c r="I38" s="130">
        <f>BS_Items!I46</f>
        <v>179229.9946018545</v>
      </c>
      <c r="J38" s="130">
        <f>BS_Items!J46</f>
        <v>210747.3775688241</v>
      </c>
      <c r="K38" s="130">
        <f>BS_Items!K46</f>
        <v>247968.61791894538</v>
      </c>
      <c r="L38" s="130">
        <f>BS_Items!L46</f>
        <v>291943.67991899868</v>
      </c>
      <c r="M38" s="130">
        <f>BS_Items!M46</f>
        <v>343918.00596498448</v>
      </c>
      <c r="N38" s="130">
        <f>BS_Items!N46</f>
        <v>405369.22350234829</v>
      </c>
      <c r="O38" s="130">
        <f>BS_Items!O46</f>
        <v>478050.79444222641</v>
      </c>
      <c r="P38" s="130">
        <f>BS_Items!P46</f>
        <v>564043.92851856921</v>
      </c>
      <c r="Q38" s="130">
        <f>BS_Items!Q46</f>
        <v>665819.3350219134</v>
      </c>
    </row>
    <row r="39" spans="2:17" x14ac:dyDescent="0.15">
      <c r="B39" s="15" t="s">
        <v>47</v>
      </c>
      <c r="C39" s="131">
        <f t="shared" ref="C39:Q39" si="2">SUM(C30:C38)</f>
        <v>284735.1399999999</v>
      </c>
      <c r="D39" s="131">
        <f t="shared" si="2"/>
        <v>270685.01</v>
      </c>
      <c r="E39" s="131">
        <f t="shared" si="2"/>
        <v>337796.13</v>
      </c>
      <c r="F39" s="131">
        <f t="shared" si="2"/>
        <v>435181.76999999996</v>
      </c>
      <c r="G39" s="131">
        <f t="shared" si="2"/>
        <v>514416.47696666676</v>
      </c>
      <c r="H39" s="132">
        <f t="shared" si="2"/>
        <v>746914.89812663011</v>
      </c>
      <c r="I39" s="132">
        <f t="shared" si="2"/>
        <v>902765.87692938268</v>
      </c>
      <c r="J39" s="132">
        <f t="shared" si="2"/>
        <v>1087249.9055054411</v>
      </c>
      <c r="K39" s="132">
        <f t="shared" si="2"/>
        <v>1306834.0747687293</v>
      </c>
      <c r="L39" s="132">
        <f t="shared" si="2"/>
        <v>1567023.029292586</v>
      </c>
      <c r="M39" s="132">
        <f t="shared" si="2"/>
        <v>1876608.0781594634</v>
      </c>
      <c r="N39" s="132">
        <f t="shared" si="2"/>
        <v>2243447.73418289</v>
      </c>
      <c r="O39" s="132">
        <f t="shared" si="2"/>
        <v>2680307.4241453065</v>
      </c>
      <c r="P39" s="132">
        <f t="shared" si="2"/>
        <v>3197910.7259763665</v>
      </c>
      <c r="Q39" s="132">
        <f t="shared" si="2"/>
        <v>3814447.8939601383</v>
      </c>
    </row>
    <row r="40" spans="2:17" x14ac:dyDescent="0.15">
      <c r="C40" s="49"/>
      <c r="D40" s="49"/>
      <c r="E40" s="49"/>
      <c r="F40" s="49"/>
      <c r="G40" s="49"/>
      <c r="H40" s="130"/>
      <c r="I40" s="130"/>
      <c r="J40" s="130"/>
      <c r="K40" s="130"/>
      <c r="L40" s="130"/>
      <c r="M40" s="130"/>
      <c r="N40" s="130"/>
      <c r="O40" s="130"/>
      <c r="P40" s="130"/>
      <c r="Q40" s="130"/>
    </row>
    <row r="41" spans="2:17" x14ac:dyDescent="0.15">
      <c r="B41" s="15" t="s">
        <v>48</v>
      </c>
      <c r="C41" s="133">
        <f t="shared" ref="C41:Q41" si="3">SUM(C39,C27)</f>
        <v>324149.4499999999</v>
      </c>
      <c r="D41" s="133">
        <f t="shared" si="3"/>
        <v>315317.89</v>
      </c>
      <c r="E41" s="133">
        <f t="shared" si="3"/>
        <v>388409.23</v>
      </c>
      <c r="F41" s="133">
        <f t="shared" si="3"/>
        <v>508875.88</v>
      </c>
      <c r="G41" s="133">
        <f t="shared" si="3"/>
        <v>609116.53000000014</v>
      </c>
      <c r="H41" s="134">
        <f t="shared" si="3"/>
        <v>818830.5651746064</v>
      </c>
      <c r="I41" s="134">
        <f t="shared" si="3"/>
        <v>983095.96062007733</v>
      </c>
      <c r="J41" s="134">
        <f t="shared" si="3"/>
        <v>1177077.2488062112</v>
      </c>
      <c r="K41" s="134">
        <f t="shared" si="3"/>
        <v>1407397.1590921613</v>
      </c>
      <c r="L41" s="134">
        <f t="shared" si="3"/>
        <v>1679739.6741463218</v>
      </c>
      <c r="M41" s="134">
        <f t="shared" si="3"/>
        <v>2003231.71210602</v>
      </c>
      <c r="N41" s="134">
        <f t="shared" si="3"/>
        <v>2386010.5491193654</v>
      </c>
      <c r="O41" s="134">
        <f t="shared" si="3"/>
        <v>2841166.9910821747</v>
      </c>
      <c r="P41" s="134">
        <f t="shared" si="3"/>
        <v>3379938.6425542547</v>
      </c>
      <c r="Q41" s="134">
        <f t="shared" si="3"/>
        <v>4021001.7400057851</v>
      </c>
    </row>
    <row r="42" spans="2:17" x14ac:dyDescent="0.15">
      <c r="C42" s="49"/>
      <c r="D42" s="49"/>
      <c r="E42" s="49"/>
      <c r="F42" s="49"/>
      <c r="G42" s="49"/>
      <c r="H42" s="130"/>
      <c r="I42" s="130"/>
      <c r="J42" s="130"/>
      <c r="K42" s="130"/>
      <c r="L42" s="130"/>
      <c r="M42" s="130"/>
      <c r="N42" s="130"/>
      <c r="O42" s="130"/>
      <c r="P42" s="130"/>
      <c r="Q42" s="130"/>
    </row>
    <row r="43" spans="2:17" x14ac:dyDescent="0.15">
      <c r="C43" s="49"/>
      <c r="D43" s="49"/>
      <c r="E43" s="49"/>
      <c r="F43" s="49"/>
      <c r="G43" s="49"/>
      <c r="H43" s="130"/>
      <c r="I43" s="130"/>
      <c r="J43" s="130"/>
      <c r="K43" s="130"/>
      <c r="L43" s="130"/>
      <c r="M43" s="130"/>
      <c r="N43" s="130"/>
      <c r="O43" s="130"/>
      <c r="P43" s="130"/>
      <c r="Q43" s="130"/>
    </row>
    <row r="44" spans="2:17" x14ac:dyDescent="0.15">
      <c r="B44" s="18" t="s">
        <v>49</v>
      </c>
      <c r="C44" s="49"/>
      <c r="D44" s="49"/>
      <c r="E44" s="49"/>
      <c r="F44" s="49"/>
      <c r="G44" s="49"/>
      <c r="H44" s="130"/>
      <c r="I44" s="130"/>
      <c r="J44" s="130"/>
      <c r="K44" s="130"/>
      <c r="L44" s="130"/>
      <c r="M44" s="130"/>
      <c r="N44" s="130"/>
      <c r="O44" s="130"/>
      <c r="P44" s="130"/>
      <c r="Q44" s="130"/>
    </row>
    <row r="45" spans="2:17" x14ac:dyDescent="0.15">
      <c r="B45" s="15" t="s">
        <v>50</v>
      </c>
      <c r="C45" s="49"/>
      <c r="D45" s="49"/>
      <c r="E45" s="49"/>
      <c r="F45" s="49"/>
      <c r="G45" s="49"/>
      <c r="H45" s="130"/>
      <c r="I45" s="130"/>
      <c r="J45" s="130"/>
      <c r="K45" s="130"/>
      <c r="L45" s="130"/>
      <c r="M45" s="130"/>
      <c r="N45" s="130"/>
      <c r="O45" s="130"/>
      <c r="P45" s="130"/>
      <c r="Q45" s="130"/>
    </row>
    <row r="46" spans="2:17" x14ac:dyDescent="0.15">
      <c r="B46" s="6" t="s">
        <v>51</v>
      </c>
      <c r="C46" s="49">
        <f>BS_Input!C46</f>
        <v>16000</v>
      </c>
      <c r="D46" s="49">
        <f>BS_Input!D46</f>
        <v>16000</v>
      </c>
      <c r="E46" s="49">
        <f>BS_Input!E46</f>
        <v>16000</v>
      </c>
      <c r="F46" s="49">
        <f>BS_Input!F46</f>
        <v>16000</v>
      </c>
      <c r="G46" s="49">
        <f>BS_Input!G46</f>
        <v>16000</v>
      </c>
      <c r="H46" s="130">
        <f t="shared" ref="H46:Q46" si="4">G46</f>
        <v>16000</v>
      </c>
      <c r="I46" s="130">
        <f t="shared" si="4"/>
        <v>16000</v>
      </c>
      <c r="J46" s="130">
        <f t="shared" si="4"/>
        <v>16000</v>
      </c>
      <c r="K46" s="130">
        <f t="shared" si="4"/>
        <v>16000</v>
      </c>
      <c r="L46" s="130">
        <f t="shared" si="4"/>
        <v>16000</v>
      </c>
      <c r="M46" s="130">
        <f t="shared" si="4"/>
        <v>16000</v>
      </c>
      <c r="N46" s="130">
        <f t="shared" si="4"/>
        <v>16000</v>
      </c>
      <c r="O46" s="130">
        <f t="shared" si="4"/>
        <v>16000</v>
      </c>
      <c r="P46" s="130">
        <f t="shared" si="4"/>
        <v>16000</v>
      </c>
      <c r="Q46" s="130">
        <f t="shared" si="4"/>
        <v>16000</v>
      </c>
    </row>
    <row r="47" spans="2:17" x14ac:dyDescent="0.15">
      <c r="B47" s="6" t="s">
        <v>52</v>
      </c>
      <c r="C47" s="49">
        <f>BS_Input!C47</f>
        <v>115382.17</v>
      </c>
      <c r="D47" s="49">
        <f>BS_Input!D47</f>
        <v>129581.14</v>
      </c>
      <c r="E47" s="49">
        <f>BS_Input!E47</f>
        <v>171031.36</v>
      </c>
      <c r="F47" s="49">
        <f>BS_Input!F47</f>
        <v>231840.41</v>
      </c>
      <c r="G47" s="49">
        <f>BS_Input!G47</f>
        <v>306978.84000000003</v>
      </c>
      <c r="H47" s="130">
        <f>G47+Income_Statement!H44+Income_Statement!H47-Income_Statement!H50</f>
        <v>395590.05258946185</v>
      </c>
      <c r="I47" s="130">
        <f>H47+Income_Statement!I44+Income_Statement!I47-Income_Statement!I50</f>
        <v>501670.74541369523</v>
      </c>
      <c r="J47" s="130">
        <f>I47+Income_Statement!J44+Income_Statement!J47-Income_Statement!J50</f>
        <v>627649.79931440752</v>
      </c>
      <c r="K47" s="130">
        <f>J47+Income_Statement!K44+Income_Statement!K47-Income_Statement!K50</f>
        <v>778381.07665708731</v>
      </c>
      <c r="L47" s="130">
        <f>K47+Income_Statement!L44+Income_Statement!L47-Income_Statement!L50</f>
        <v>957452.60840624443</v>
      </c>
      <c r="M47" s="130">
        <f>L47+Income_Statement!M44+Income_Statement!M47-Income_Statement!M50</f>
        <v>1171507.0173940079</v>
      </c>
      <c r="N47" s="130">
        <f>M47+Income_Statement!N44+Income_Statement!N47-Income_Statement!N50</f>
        <v>1425736.1123429239</v>
      </c>
      <c r="O47" s="130">
        <f>N47+Income_Statement!O44+Income_Statement!O47-Income_Statement!O50</f>
        <v>1729737.4615777959</v>
      </c>
      <c r="P47" s="130">
        <f>O47+Income_Statement!P44+Income_Statement!P47-Income_Statement!P50</f>
        <v>2090604.6737440901</v>
      </c>
      <c r="Q47" s="130">
        <f>P47+Income_Statement!Q44+Income_Statement!Q47-Income_Statement!Q50</f>
        <v>2522096.730301823</v>
      </c>
    </row>
    <row r="48" spans="2:17" x14ac:dyDescent="0.15">
      <c r="B48" s="15" t="s">
        <v>67</v>
      </c>
      <c r="C48" s="131">
        <f t="shared" ref="C48:Q48" si="5">SUM(C46:C47)</f>
        <v>131382.16999999998</v>
      </c>
      <c r="D48" s="131">
        <f t="shared" si="5"/>
        <v>145581.14000000001</v>
      </c>
      <c r="E48" s="131">
        <f t="shared" si="5"/>
        <v>187031.36</v>
      </c>
      <c r="F48" s="131">
        <f t="shared" si="5"/>
        <v>247840.41</v>
      </c>
      <c r="G48" s="131">
        <f t="shared" si="5"/>
        <v>322978.84000000003</v>
      </c>
      <c r="H48" s="132">
        <f t="shared" si="5"/>
        <v>411590.05258946185</v>
      </c>
      <c r="I48" s="132">
        <f t="shared" si="5"/>
        <v>517670.74541369523</v>
      </c>
      <c r="J48" s="132">
        <f t="shared" si="5"/>
        <v>643649.79931440752</v>
      </c>
      <c r="K48" s="132">
        <f t="shared" si="5"/>
        <v>794381.07665708731</v>
      </c>
      <c r="L48" s="132">
        <f t="shared" si="5"/>
        <v>973452.60840624443</v>
      </c>
      <c r="M48" s="132">
        <f t="shared" si="5"/>
        <v>1187507.0173940079</v>
      </c>
      <c r="N48" s="132">
        <f t="shared" si="5"/>
        <v>1441736.1123429239</v>
      </c>
      <c r="O48" s="132">
        <f t="shared" si="5"/>
        <v>1745737.4615777959</v>
      </c>
      <c r="P48" s="132">
        <f t="shared" si="5"/>
        <v>2106604.6737440899</v>
      </c>
      <c r="Q48" s="132">
        <f t="shared" si="5"/>
        <v>2538096.730301823</v>
      </c>
    </row>
    <row r="49" spans="2:17" x14ac:dyDescent="0.15">
      <c r="C49" s="49"/>
      <c r="D49" s="49"/>
      <c r="E49" s="49"/>
      <c r="F49" s="49"/>
      <c r="G49" s="49"/>
      <c r="H49" s="130"/>
      <c r="I49" s="130"/>
      <c r="J49" s="130"/>
      <c r="K49" s="130"/>
      <c r="L49" s="130"/>
      <c r="M49" s="130"/>
      <c r="N49" s="130"/>
      <c r="O49" s="130"/>
      <c r="P49" s="130"/>
      <c r="Q49" s="130"/>
    </row>
    <row r="50" spans="2:17" x14ac:dyDescent="0.15">
      <c r="B50" s="18" t="s">
        <v>53</v>
      </c>
      <c r="C50" s="49"/>
      <c r="D50" s="49"/>
      <c r="E50" s="49"/>
      <c r="F50" s="49"/>
      <c r="G50" s="49"/>
      <c r="H50" s="130"/>
      <c r="I50" s="130"/>
      <c r="J50" s="130"/>
      <c r="K50" s="130"/>
      <c r="L50" s="130"/>
      <c r="M50" s="130"/>
      <c r="N50" s="130"/>
      <c r="O50" s="130"/>
      <c r="P50" s="130"/>
      <c r="Q50" s="130"/>
    </row>
    <row r="51" spans="2:17" x14ac:dyDescent="0.15">
      <c r="B51" s="15" t="s">
        <v>54</v>
      </c>
      <c r="C51" s="49"/>
      <c r="D51" s="49"/>
      <c r="E51" s="49"/>
      <c r="F51" s="49"/>
      <c r="G51" s="49"/>
      <c r="H51" s="130"/>
      <c r="I51" s="130"/>
      <c r="J51" s="130"/>
      <c r="K51" s="130"/>
      <c r="L51" s="130"/>
      <c r="M51" s="130"/>
      <c r="N51" s="130"/>
      <c r="O51" s="130"/>
      <c r="P51" s="130"/>
      <c r="Q51" s="130"/>
    </row>
    <row r="52" spans="2:17" x14ac:dyDescent="0.15">
      <c r="B52" s="19" t="s">
        <v>55</v>
      </c>
      <c r="C52" s="49"/>
      <c r="D52" s="49"/>
      <c r="E52" s="49"/>
      <c r="F52" s="49"/>
      <c r="G52" s="49"/>
      <c r="H52" s="130"/>
      <c r="I52" s="130"/>
      <c r="J52" s="130"/>
      <c r="K52" s="130"/>
      <c r="L52" s="130"/>
      <c r="M52" s="130"/>
      <c r="N52" s="130"/>
      <c r="O52" s="130"/>
      <c r="P52" s="130"/>
      <c r="Q52" s="130"/>
    </row>
    <row r="53" spans="2:17" x14ac:dyDescent="0.15">
      <c r="B53" s="8" t="s">
        <v>56</v>
      </c>
      <c r="C53" s="49">
        <f>BS_Items!C53</f>
        <v>0</v>
      </c>
      <c r="D53" s="49">
        <f>BS_Items!D53</f>
        <v>0</v>
      </c>
      <c r="E53" s="49">
        <f>BS_Items!E53</f>
        <v>0</v>
      </c>
      <c r="F53" s="49">
        <f>BS_Items!F53</f>
        <v>0</v>
      </c>
      <c r="G53" s="49">
        <f>BS_Items!G53</f>
        <v>0</v>
      </c>
      <c r="H53" s="130">
        <f>BS_Items!H53</f>
        <v>0</v>
      </c>
      <c r="I53" s="130">
        <f>BS_Items!I53</f>
        <v>0</v>
      </c>
      <c r="J53" s="130">
        <f>BS_Items!J53</f>
        <v>0</v>
      </c>
      <c r="K53" s="130">
        <f>BS_Items!K53</f>
        <v>0</v>
      </c>
      <c r="L53" s="130">
        <f>BS_Items!L53</f>
        <v>0</v>
      </c>
      <c r="M53" s="130">
        <f>BS_Items!M53</f>
        <v>0</v>
      </c>
      <c r="N53" s="130">
        <f>BS_Items!N53</f>
        <v>0</v>
      </c>
      <c r="O53" s="130">
        <f>BS_Items!O53</f>
        <v>0</v>
      </c>
      <c r="P53" s="130">
        <f>BS_Items!P53</f>
        <v>0</v>
      </c>
      <c r="Q53" s="130">
        <f>BS_Items!Q53</f>
        <v>0</v>
      </c>
    </row>
    <row r="54" spans="2:17" x14ac:dyDescent="0.15">
      <c r="B54" s="8" t="s">
        <v>57</v>
      </c>
      <c r="C54" s="49">
        <f>BS_Items!C56</f>
        <v>5683.16</v>
      </c>
      <c r="D54" s="49">
        <f>BS_Items!D56</f>
        <v>6070.25</v>
      </c>
      <c r="E54" s="49">
        <f>BS_Items!E56</f>
        <v>8342.74</v>
      </c>
      <c r="F54" s="49">
        <f>BS_Items!F56</f>
        <v>5945.11</v>
      </c>
      <c r="G54" s="49">
        <f>BS_Items!G56</f>
        <v>4179.74</v>
      </c>
      <c r="H54" s="130">
        <f>BS_Items!H56</f>
        <v>12044.074775008814</v>
      </c>
      <c r="I54" s="130">
        <f>BS_Items!I56</f>
        <v>14152.25699403305</v>
      </c>
      <c r="J54" s="130">
        <f>BS_Items!J56</f>
        <v>16640.914679476617</v>
      </c>
      <c r="K54" s="130">
        <f>BS_Items!K56</f>
        <v>19579.957110637512</v>
      </c>
      <c r="L54" s="130">
        <f>BS_Items!L56</f>
        <v>23052.290969352322</v>
      </c>
      <c r="M54" s="130">
        <f>BS_Items!M56</f>
        <v>27156.25817042507</v>
      </c>
      <c r="N54" s="130">
        <f>BS_Items!N56</f>
        <v>32008.534292604931</v>
      </c>
      <c r="O54" s="130">
        <f>BS_Items!O56</f>
        <v>37747.575198989893</v>
      </c>
      <c r="P54" s="130">
        <f>BS_Items!P56</f>
        <v>44537.716190034429</v>
      </c>
      <c r="Q54" s="130">
        <f>BS_Items!Q56</f>
        <v>52574.048008863865</v>
      </c>
    </row>
    <row r="55" spans="2:17" x14ac:dyDescent="0.15">
      <c r="B55" s="8" t="s">
        <v>58</v>
      </c>
      <c r="C55" s="49">
        <f>BS_Items!C59</f>
        <v>2388.3199999999997</v>
      </c>
      <c r="D55" s="49">
        <f>BS_Items!D59</f>
        <v>1941.36</v>
      </c>
      <c r="E55" s="49">
        <f>BS_Items!E59</f>
        <v>2218.9</v>
      </c>
      <c r="F55" s="49">
        <f>BS_Items!F59</f>
        <v>3743.64</v>
      </c>
      <c r="G55" s="49">
        <f>BS_Items!G59</f>
        <v>5428.56</v>
      </c>
      <c r="H55" s="130">
        <f>BS_Items!H59</f>
        <v>5721.2999928017452</v>
      </c>
      <c r="I55" s="130">
        <f>BS_Items!I59</f>
        <v>6722.7503441027502</v>
      </c>
      <c r="J55" s="130">
        <f>BS_Items!J59</f>
        <v>7904.9380558029925</v>
      </c>
      <c r="K55" s="130">
        <f>BS_Items!K59</f>
        <v>9301.072151145534</v>
      </c>
      <c r="L55" s="130">
        <f>BS_Items!L59</f>
        <v>10950.535812903294</v>
      </c>
      <c r="M55" s="130">
        <f>BS_Items!M59</f>
        <v>12900.044426605746</v>
      </c>
      <c r="N55" s="130">
        <f>BS_Items!N59</f>
        <v>15205.022422964907</v>
      </c>
      <c r="O55" s="130">
        <f>BS_Items!O59</f>
        <v>17931.240526867801</v>
      </c>
      <c r="P55" s="130">
        <f>BS_Items!P59</f>
        <v>21156.762979102619</v>
      </c>
      <c r="Q55" s="130">
        <f>BS_Items!Q59</f>
        <v>24974.263786439449</v>
      </c>
    </row>
    <row r="56" spans="2:17" x14ac:dyDescent="0.15">
      <c r="B56" s="6" t="s">
        <v>59</v>
      </c>
      <c r="C56" s="49">
        <f>BS_Items!C62</f>
        <v>7229</v>
      </c>
      <c r="D56" s="49">
        <f>BS_Items!D62</f>
        <v>7036.08</v>
      </c>
      <c r="E56" s="49">
        <f>BS_Items!E62</f>
        <v>10330.66</v>
      </c>
      <c r="F56" s="49">
        <f>BS_Items!F62</f>
        <v>10544.37</v>
      </c>
      <c r="G56" s="49">
        <f>BS_Items!G62</f>
        <v>11609.51</v>
      </c>
      <c r="H56" s="130">
        <f>BS_Items!H62</f>
        <v>18035.157049665162</v>
      </c>
      <c r="I56" s="130">
        <f>BS_Items!I62</f>
        <v>21192.012027708581</v>
      </c>
      <c r="J56" s="130">
        <f>BS_Items!J62</f>
        <v>24918.602325284846</v>
      </c>
      <c r="K56" s="130">
        <f>BS_Items!K62</f>
        <v>29319.612183809051</v>
      </c>
      <c r="L56" s="130">
        <f>BS_Items!L62</f>
        <v>34519.188543193253</v>
      </c>
      <c r="M56" s="130">
        <f>BS_Items!M62</f>
        <v>40664.591521893009</v>
      </c>
      <c r="N56" s="130">
        <f>BS_Items!N62</f>
        <v>47930.534613963362</v>
      </c>
      <c r="O56" s="130">
        <f>BS_Items!O62</f>
        <v>56524.345761323151</v>
      </c>
      <c r="P56" s="130">
        <f>BS_Items!P62</f>
        <v>66692.105547816813</v>
      </c>
      <c r="Q56" s="130">
        <f>BS_Items!Q62</f>
        <v>78725.948675107094</v>
      </c>
    </row>
    <row r="57" spans="2:17" x14ac:dyDescent="0.15">
      <c r="B57" s="6" t="s">
        <v>60</v>
      </c>
      <c r="C57" s="49">
        <f>BS_Items!C65</f>
        <v>776.81</v>
      </c>
      <c r="D57" s="49">
        <f>BS_Items!D65</f>
        <v>863.16</v>
      </c>
      <c r="E57" s="49">
        <f>BS_Items!E65</f>
        <v>695.39</v>
      </c>
      <c r="F57" s="49">
        <f>BS_Items!F65</f>
        <v>1665.81</v>
      </c>
      <c r="G57" s="49">
        <f>BS_Items!G65</f>
        <v>1752.46</v>
      </c>
      <c r="H57" s="130">
        <f>BS_Items!H65</f>
        <v>1998.0711981069403</v>
      </c>
      <c r="I57" s="130">
        <f>BS_Items!I65</f>
        <v>2347.8114854168407</v>
      </c>
      <c r="J57" s="130">
        <f>BS_Items!J65</f>
        <v>2760.6713634998073</v>
      </c>
      <c r="K57" s="130">
        <f>BS_Items!K65</f>
        <v>3248.2485449286305</v>
      </c>
      <c r="L57" s="130">
        <f>BS_Items!L65</f>
        <v>3824.2969673201728</v>
      </c>
      <c r="M57" s="130">
        <f>BS_Items!M65</f>
        <v>4505.1312211437926</v>
      </c>
      <c r="N57" s="130">
        <f>BS_Items!N65</f>
        <v>5310.1073896002463</v>
      </c>
      <c r="O57" s="130">
        <f>BS_Items!O65</f>
        <v>6262.1948312690029</v>
      </c>
      <c r="P57" s="130">
        <f>BS_Items!P65</f>
        <v>7388.6562157036969</v>
      </c>
      <c r="Q57" s="130">
        <f>BS_Items!Q65</f>
        <v>8721.8564361931694</v>
      </c>
    </row>
    <row r="58" spans="2:17" x14ac:dyDescent="0.15">
      <c r="B58" s="15" t="s">
        <v>62</v>
      </c>
      <c r="C58" s="131">
        <f t="shared" ref="C58:Q58" si="6">SUM(C53:C57)</f>
        <v>16077.289999999999</v>
      </c>
      <c r="D58" s="131">
        <f t="shared" si="6"/>
        <v>15910.849999999999</v>
      </c>
      <c r="E58" s="131">
        <f t="shared" si="6"/>
        <v>21587.69</v>
      </c>
      <c r="F58" s="131">
        <f t="shared" si="6"/>
        <v>21898.930000000004</v>
      </c>
      <c r="G58" s="131">
        <f t="shared" si="6"/>
        <v>22970.269999999997</v>
      </c>
      <c r="H58" s="132">
        <f t="shared" si="6"/>
        <v>37798.603015582659</v>
      </c>
      <c r="I58" s="132">
        <f t="shared" si="6"/>
        <v>44414.83085126122</v>
      </c>
      <c r="J58" s="132">
        <f t="shared" si="6"/>
        <v>52225.126424064263</v>
      </c>
      <c r="K58" s="132">
        <f t="shared" si="6"/>
        <v>61448.889990520729</v>
      </c>
      <c r="L58" s="132">
        <f t="shared" si="6"/>
        <v>72346.312292769042</v>
      </c>
      <c r="M58" s="132">
        <f t="shared" si="6"/>
        <v>85226.025340067616</v>
      </c>
      <c r="N58" s="132">
        <f t="shared" si="6"/>
        <v>100454.19871913345</v>
      </c>
      <c r="O58" s="132">
        <f t="shared" si="6"/>
        <v>118465.35631844986</v>
      </c>
      <c r="P58" s="132">
        <f t="shared" si="6"/>
        <v>139775.24093265756</v>
      </c>
      <c r="Q58" s="132">
        <f t="shared" si="6"/>
        <v>164996.11690660357</v>
      </c>
    </row>
    <row r="59" spans="2:17" x14ac:dyDescent="0.15">
      <c r="C59" s="49"/>
      <c r="D59" s="49"/>
      <c r="E59" s="49"/>
      <c r="F59" s="49"/>
      <c r="G59" s="49"/>
      <c r="H59" s="130"/>
      <c r="I59" s="130"/>
      <c r="J59" s="130"/>
      <c r="K59" s="130"/>
      <c r="L59" s="130"/>
      <c r="M59" s="130"/>
      <c r="N59" s="130"/>
      <c r="O59" s="130"/>
      <c r="P59" s="130"/>
      <c r="Q59" s="130"/>
    </row>
    <row r="60" spans="2:17" x14ac:dyDescent="0.15">
      <c r="B60" s="15" t="s">
        <v>61</v>
      </c>
      <c r="C60" s="49"/>
      <c r="D60" s="49"/>
      <c r="E60" s="49"/>
      <c r="F60" s="49"/>
      <c r="G60" s="49"/>
      <c r="H60" s="130"/>
      <c r="I60" s="130"/>
      <c r="J60" s="130"/>
      <c r="K60" s="130"/>
      <c r="L60" s="130"/>
      <c r="M60" s="130"/>
      <c r="N60" s="130"/>
      <c r="O60" s="130"/>
      <c r="P60" s="130"/>
      <c r="Q60" s="130"/>
    </row>
    <row r="61" spans="2:17" x14ac:dyDescent="0.15">
      <c r="B61" s="19" t="s">
        <v>55</v>
      </c>
      <c r="C61" s="49"/>
      <c r="D61" s="49"/>
      <c r="E61" s="49"/>
      <c r="F61" s="49"/>
      <c r="G61" s="49"/>
      <c r="H61" s="130"/>
      <c r="I61" s="130"/>
      <c r="J61" s="130"/>
      <c r="K61" s="130"/>
      <c r="L61" s="130"/>
      <c r="M61" s="130"/>
      <c r="N61" s="130"/>
      <c r="O61" s="130"/>
      <c r="P61" s="130"/>
      <c r="Q61" s="130"/>
    </row>
    <row r="62" spans="2:17" x14ac:dyDescent="0.15">
      <c r="B62" s="8" t="s">
        <v>56</v>
      </c>
      <c r="C62" s="49">
        <f>BS_Items!C70</f>
        <v>0</v>
      </c>
      <c r="D62" s="49">
        <f>BS_Items!D70</f>
        <v>0</v>
      </c>
      <c r="E62" s="49">
        <f>BS_Items!E70</f>
        <v>0</v>
      </c>
      <c r="F62" s="49">
        <f>BS_Items!F70</f>
        <v>0</v>
      </c>
      <c r="G62" s="49">
        <f>BS_Items!G70</f>
        <v>0</v>
      </c>
      <c r="H62" s="130">
        <f>BS_Items!H70</f>
        <v>0</v>
      </c>
      <c r="I62" s="130">
        <f>BS_Items!I70</f>
        <v>0</v>
      </c>
      <c r="J62" s="130">
        <f>BS_Items!J70</f>
        <v>0</v>
      </c>
      <c r="K62" s="130">
        <f>BS_Items!K70</f>
        <v>0</v>
      </c>
      <c r="L62" s="130">
        <f>BS_Items!L70</f>
        <v>0</v>
      </c>
      <c r="M62" s="130">
        <f>BS_Items!M70</f>
        <v>0</v>
      </c>
      <c r="N62" s="130">
        <f>BS_Items!N70</f>
        <v>0</v>
      </c>
      <c r="O62" s="130">
        <f>BS_Items!O70</f>
        <v>0</v>
      </c>
      <c r="P62" s="130">
        <f>BS_Items!P70</f>
        <v>0</v>
      </c>
      <c r="Q62" s="130">
        <f>BS_Items!Q70</f>
        <v>0</v>
      </c>
    </row>
    <row r="63" spans="2:17" x14ac:dyDescent="0.15">
      <c r="B63" s="8" t="s">
        <v>57</v>
      </c>
      <c r="C63" s="49">
        <f>BS_Items!C73</f>
        <v>2240.2800000000002</v>
      </c>
      <c r="D63" s="49">
        <f>BS_Items!D73</f>
        <v>1875.45</v>
      </c>
      <c r="E63" s="49">
        <f>BS_Items!E73</f>
        <v>2149.39</v>
      </c>
      <c r="F63" s="49">
        <f>BS_Items!F73</f>
        <v>2471.11</v>
      </c>
      <c r="G63" s="49">
        <f>BS_Items!G73</f>
        <v>1855.31</v>
      </c>
      <c r="H63" s="130">
        <f>BS_Items!H73</f>
        <v>4093.6453558164967</v>
      </c>
      <c r="I63" s="130">
        <f>BS_Items!I73</f>
        <v>4810.1927462421072</v>
      </c>
      <c r="J63" s="130">
        <f>BS_Items!J73</f>
        <v>5656.0594621622286</v>
      </c>
      <c r="K63" s="130">
        <f>BS_Items!K73</f>
        <v>6655.0068801767957</v>
      </c>
      <c r="L63" s="130">
        <f>BS_Items!L73</f>
        <v>7835.2140476104478</v>
      </c>
      <c r="M63" s="130">
        <f>BS_Items!M73</f>
        <v>9230.1062736164422</v>
      </c>
      <c r="N63" s="130">
        <f>BS_Items!N73</f>
        <v>10879.340273219066</v>
      </c>
      <c r="O63" s="130">
        <f>BS_Items!O73</f>
        <v>12829.975634767336</v>
      </c>
      <c r="P63" s="130">
        <f>BS_Items!P73</f>
        <v>15137.868075870878</v>
      </c>
      <c r="Q63" s="130">
        <f>BS_Items!Q73</f>
        <v>17869.326742684691</v>
      </c>
    </row>
    <row r="64" spans="2:17" x14ac:dyDescent="0.15">
      <c r="B64" s="20" t="s">
        <v>63</v>
      </c>
      <c r="C64" s="49">
        <f>Working_Capital!C17</f>
        <v>17046.68</v>
      </c>
      <c r="D64" s="49">
        <f>Working_Capital!D17</f>
        <v>58229.72</v>
      </c>
      <c r="E64" s="49">
        <f>Working_Capital!E17</f>
        <v>69088.930000000008</v>
      </c>
      <c r="F64" s="49">
        <f>Working_Capital!F17</f>
        <v>85215.47</v>
      </c>
      <c r="G64" s="49">
        <f>Working_Capital!G17</f>
        <v>99765.1</v>
      </c>
      <c r="H64" s="130">
        <f>Working_Capital!H17</f>
        <v>104753.35500000001</v>
      </c>
      <c r="I64" s="130">
        <f>Working_Capital!I17</f>
        <v>109991.02275000002</v>
      </c>
      <c r="J64" s="130">
        <f>Working_Capital!J17</f>
        <v>115490.57388750002</v>
      </c>
      <c r="K64" s="130">
        <f>Working_Capital!K17</f>
        <v>121265.10258187503</v>
      </c>
      <c r="L64" s="130">
        <f>Working_Capital!L17</f>
        <v>127328.35771096879</v>
      </c>
      <c r="M64" s="130">
        <f>Working_Capital!M17</f>
        <v>133694.77559651723</v>
      </c>
      <c r="N64" s="130">
        <f>Working_Capital!N17</f>
        <v>140379.51437634308</v>
      </c>
      <c r="O64" s="130">
        <f>Working_Capital!O17</f>
        <v>147398.49009516023</v>
      </c>
      <c r="P64" s="130">
        <f>Working_Capital!P17</f>
        <v>154768.41459991824</v>
      </c>
      <c r="Q64" s="130">
        <f>Working_Capital!Q17</f>
        <v>162506.83532991415</v>
      </c>
    </row>
    <row r="65" spans="1:17" x14ac:dyDescent="0.15">
      <c r="B65" s="8" t="s">
        <v>58</v>
      </c>
      <c r="C65" s="49">
        <f>BS_Items!C76</f>
        <v>75677.759999999995</v>
      </c>
      <c r="D65" s="49">
        <f>BS_Items!D76</f>
        <v>27595.71</v>
      </c>
      <c r="E65" s="49">
        <f>BS_Items!E76</f>
        <v>32022.71</v>
      </c>
      <c r="F65" s="49">
        <f>BS_Items!F76</f>
        <v>35502.43</v>
      </c>
      <c r="G65" s="49">
        <f>BS_Items!G76</f>
        <v>55734.76</v>
      </c>
      <c r="H65" s="130">
        <f>BS_Items!H76</f>
        <v>92188.250679586956</v>
      </c>
      <c r="I65" s="130">
        <f>BS_Items!I76</f>
        <v>108324.78540859125</v>
      </c>
      <c r="J65" s="130">
        <f>BS_Items!J76</f>
        <v>127373.57104361603</v>
      </c>
      <c r="K65" s="130">
        <f>BS_Items!K76</f>
        <v>149869.71005497526</v>
      </c>
      <c r="L65" s="130">
        <f>BS_Items!L76</f>
        <v>176447.79016409547</v>
      </c>
      <c r="M65" s="130">
        <f>BS_Items!M76</f>
        <v>207860.54408508071</v>
      </c>
      <c r="N65" s="130">
        <f>BS_Items!N76</f>
        <v>245001.0348138726</v>
      </c>
      <c r="O65" s="130">
        <f>BS_Items!O76</f>
        <v>288929.03689137829</v>
      </c>
      <c r="P65" s="130">
        <f>BS_Items!P76</f>
        <v>340902.41230839491</v>
      </c>
      <c r="Q65" s="130">
        <f>BS_Items!Q76</f>
        <v>402414.43262529356</v>
      </c>
    </row>
    <row r="66" spans="1:17" x14ac:dyDescent="0.15">
      <c r="B66" s="6" t="s">
        <v>64</v>
      </c>
      <c r="C66" s="49">
        <f>BS_Items!C79</f>
        <v>80486.91</v>
      </c>
      <c r="D66" s="49">
        <f>BS_Items!D79</f>
        <v>64618.87</v>
      </c>
      <c r="E66" s="49">
        <f>BS_Items!E79</f>
        <v>73689.570000000007</v>
      </c>
      <c r="F66" s="49">
        <f>BS_Items!F79</f>
        <v>113189.73</v>
      </c>
      <c r="G66" s="49">
        <f>BS_Items!G79</f>
        <v>102771.53</v>
      </c>
      <c r="H66" s="130">
        <f>BS_Items!H79</f>
        <v>163957.68265405615</v>
      </c>
      <c r="I66" s="130">
        <f>BS_Items!I79</f>
        <v>192656.66349739346</v>
      </c>
      <c r="J66" s="130">
        <f>BS_Items!J79</f>
        <v>226535.11033925434</v>
      </c>
      <c r="K66" s="130">
        <f>BS_Items!K79</f>
        <v>266544.70802416507</v>
      </c>
      <c r="L66" s="130">
        <f>BS_Items!L79</f>
        <v>313814.07686413726</v>
      </c>
      <c r="M66" s="130">
        <f>BS_Items!M79</f>
        <v>369681.95916692278</v>
      </c>
      <c r="N66" s="130">
        <f>BS_Items!N79</f>
        <v>435736.67598427483</v>
      </c>
      <c r="O66" s="130">
        <f>BS_Items!O79</f>
        <v>513863.04643991025</v>
      </c>
      <c r="P66" s="130">
        <f>BS_Items!P79</f>
        <v>606298.19007552124</v>
      </c>
      <c r="Q66" s="130">
        <f>BS_Items!Q79</f>
        <v>715697.9045964207</v>
      </c>
    </row>
    <row r="67" spans="1:17" x14ac:dyDescent="0.15">
      <c r="B67" s="6" t="s">
        <v>59</v>
      </c>
      <c r="C67" s="49">
        <f>BS_Items!C82</f>
        <v>1133.78</v>
      </c>
      <c r="D67" s="49">
        <f>BS_Items!D82</f>
        <v>1044.54</v>
      </c>
      <c r="E67" s="49">
        <f>BS_Items!E82</f>
        <v>2839.58</v>
      </c>
      <c r="F67" s="49">
        <f>BS_Items!F82</f>
        <v>2757.8</v>
      </c>
      <c r="G67" s="49">
        <f>BS_Items!G82</f>
        <v>3040.72</v>
      </c>
      <c r="H67" s="130">
        <f>BS_Items!H82</f>
        <v>4391.0818217914639</v>
      </c>
      <c r="I67" s="130">
        <f>BS_Items!I82</f>
        <v>5159.6921793250949</v>
      </c>
      <c r="J67" s="130">
        <f>BS_Items!J82</f>
        <v>6067.0179579634014</v>
      </c>
      <c r="K67" s="130">
        <f>BS_Items!K82</f>
        <v>7138.5469906229455</v>
      </c>
      <c r="L67" s="130">
        <f>BS_Items!L82</f>
        <v>8404.5057604764352</v>
      </c>
      <c r="M67" s="130">
        <f>BS_Items!M82</f>
        <v>9900.748195906328</v>
      </c>
      <c r="N67" s="130">
        <f>BS_Items!N82</f>
        <v>11669.812393234941</v>
      </c>
      <c r="O67" s="130">
        <f>BS_Items!O82</f>
        <v>13762.177200769622</v>
      </c>
      <c r="P67" s="130">
        <f>BS_Items!P82</f>
        <v>16237.756706058348</v>
      </c>
      <c r="Q67" s="130">
        <f>BS_Items!Q82</f>
        <v>19167.677951380443</v>
      </c>
    </row>
    <row r="68" spans="1:17" x14ac:dyDescent="0.15">
      <c r="B68" s="6" t="s">
        <v>65</v>
      </c>
      <c r="C68" s="49">
        <f>BS_Items!C85</f>
        <v>104.58</v>
      </c>
      <c r="D68" s="49">
        <f>BS_Items!D85</f>
        <v>461.61</v>
      </c>
      <c r="E68" s="49">
        <f>BS_Items!E85</f>
        <v>0</v>
      </c>
      <c r="F68" s="49">
        <f>BS_Items!F85</f>
        <v>0</v>
      </c>
      <c r="G68" s="49">
        <f>BS_Items!G85</f>
        <v>0</v>
      </c>
      <c r="H68" s="130">
        <f>BS_Items!H85</f>
        <v>57.894058310838219</v>
      </c>
      <c r="I68" s="130">
        <f>BS_Items!I85</f>
        <v>68.027773569009412</v>
      </c>
      <c r="J68" s="130">
        <f>BS_Items!J85</f>
        <v>79.990377243286247</v>
      </c>
      <c r="K68" s="130">
        <f>BS_Items!K85</f>
        <v>94.11791273822692</v>
      </c>
      <c r="L68" s="130">
        <f>BS_Items!L85</f>
        <v>110.80890002006119</v>
      </c>
      <c r="M68" s="130">
        <f>BS_Items!M85</f>
        <v>130.53605390137702</v>
      </c>
      <c r="N68" s="130">
        <f>BS_Items!N85</f>
        <v>153.86021636345899</v>
      </c>
      <c r="O68" s="130">
        <f>BS_Items!O85</f>
        <v>181.44692394285408</v>
      </c>
      <c r="P68" s="130">
        <f>BS_Items!P85</f>
        <v>214.08611174414847</v>
      </c>
      <c r="Q68" s="130">
        <f>BS_Items!Q85</f>
        <v>252.71555166509214</v>
      </c>
    </row>
    <row r="69" spans="1:17" x14ac:dyDescent="0.15">
      <c r="B69" s="15" t="s">
        <v>66</v>
      </c>
      <c r="C69" s="30">
        <f t="shared" ref="C69:Q69" si="7">SUM(C62:C68)</f>
        <v>176689.99</v>
      </c>
      <c r="D69" s="30">
        <f t="shared" si="7"/>
        <v>153825.9</v>
      </c>
      <c r="E69" s="30">
        <f t="shared" si="7"/>
        <v>179790.18</v>
      </c>
      <c r="F69" s="30">
        <f t="shared" si="7"/>
        <v>239136.53999999998</v>
      </c>
      <c r="G69" s="30">
        <f t="shared" si="7"/>
        <v>263167.42</v>
      </c>
      <c r="H69" s="75">
        <f t="shared" si="7"/>
        <v>369441.90956956189</v>
      </c>
      <c r="I69" s="75">
        <f t="shared" si="7"/>
        <v>421010.38435512088</v>
      </c>
      <c r="J69" s="75">
        <f t="shared" si="7"/>
        <v>481202.32306773926</v>
      </c>
      <c r="K69" s="75">
        <f t="shared" si="7"/>
        <v>551567.19244455348</v>
      </c>
      <c r="L69" s="75">
        <f t="shared" si="7"/>
        <v>633940.75344730844</v>
      </c>
      <c r="M69" s="75">
        <f t="shared" si="7"/>
        <v>730498.66937194485</v>
      </c>
      <c r="N69" s="75">
        <f t="shared" si="7"/>
        <v>843820.2380573079</v>
      </c>
      <c r="O69" s="75">
        <f t="shared" si="7"/>
        <v>976964.17318592872</v>
      </c>
      <c r="P69" s="75">
        <f t="shared" si="7"/>
        <v>1133558.7278775077</v>
      </c>
      <c r="Q69" s="75">
        <f t="shared" si="7"/>
        <v>1317908.8927973586</v>
      </c>
    </row>
    <row r="70" spans="1:17" x14ac:dyDescent="0.15">
      <c r="H70" s="39"/>
      <c r="I70" s="39"/>
      <c r="J70" s="39"/>
      <c r="K70" s="39"/>
      <c r="L70" s="39"/>
      <c r="M70" s="39"/>
      <c r="N70" s="39"/>
      <c r="O70" s="39"/>
      <c r="P70" s="39"/>
      <c r="Q70" s="39"/>
    </row>
    <row r="71" spans="1:17" x14ac:dyDescent="0.15">
      <c r="B71" s="15" t="s">
        <v>68</v>
      </c>
      <c r="C71" s="17">
        <f t="shared" ref="C71:Q71" si="8">SUM(C69,C58,C48)</f>
        <v>324149.44999999995</v>
      </c>
      <c r="D71" s="17">
        <f t="shared" si="8"/>
        <v>315317.89</v>
      </c>
      <c r="E71" s="17">
        <f t="shared" si="8"/>
        <v>388409.23</v>
      </c>
      <c r="F71" s="17">
        <f t="shared" si="8"/>
        <v>508875.88</v>
      </c>
      <c r="G71" s="17">
        <f t="shared" si="8"/>
        <v>609116.53</v>
      </c>
      <c r="H71" s="76">
        <f t="shared" si="8"/>
        <v>818830.5651746064</v>
      </c>
      <c r="I71" s="76">
        <f t="shared" si="8"/>
        <v>983095.96062007733</v>
      </c>
      <c r="J71" s="76">
        <f t="shared" si="8"/>
        <v>1177077.2488062112</v>
      </c>
      <c r="K71" s="76">
        <f t="shared" si="8"/>
        <v>1407397.1590921616</v>
      </c>
      <c r="L71" s="76">
        <f t="shared" si="8"/>
        <v>1679739.6741463221</v>
      </c>
      <c r="M71" s="76">
        <f t="shared" si="8"/>
        <v>2003231.7121060202</v>
      </c>
      <c r="N71" s="76">
        <f t="shared" si="8"/>
        <v>2386010.5491193654</v>
      </c>
      <c r="O71" s="76">
        <f t="shared" si="8"/>
        <v>2841166.9910821747</v>
      </c>
      <c r="P71" s="76">
        <f t="shared" si="8"/>
        <v>3379938.6425542552</v>
      </c>
      <c r="Q71" s="76">
        <f t="shared" si="8"/>
        <v>4021001.7400057851</v>
      </c>
    </row>
    <row r="73" spans="1:17" x14ac:dyDescent="0.15">
      <c r="B73" s="6" t="s">
        <v>69</v>
      </c>
      <c r="C73" s="13" t="str">
        <f t="shared" ref="C73:Q73" si="9">IF(ROUND(C71,0)-ROUND(C41,0)&lt;&gt;0,"Error","OK")</f>
        <v>OK</v>
      </c>
      <c r="D73" s="13" t="str">
        <f t="shared" si="9"/>
        <v>OK</v>
      </c>
      <c r="E73" s="13" t="str">
        <f t="shared" si="9"/>
        <v>OK</v>
      </c>
      <c r="F73" s="13" t="str">
        <f t="shared" si="9"/>
        <v>OK</v>
      </c>
      <c r="G73" s="13" t="str">
        <f t="shared" si="9"/>
        <v>OK</v>
      </c>
      <c r="H73" s="13" t="str">
        <f t="shared" si="9"/>
        <v>OK</v>
      </c>
      <c r="I73" s="13" t="str">
        <f t="shared" si="9"/>
        <v>OK</v>
      </c>
      <c r="J73" s="13" t="str">
        <f t="shared" si="9"/>
        <v>OK</v>
      </c>
      <c r="K73" s="13" t="str">
        <f t="shared" si="9"/>
        <v>OK</v>
      </c>
      <c r="L73" s="13" t="str">
        <f t="shared" si="9"/>
        <v>OK</v>
      </c>
      <c r="M73" s="13" t="str">
        <f t="shared" si="9"/>
        <v>OK</v>
      </c>
      <c r="N73" s="13" t="str">
        <f t="shared" si="9"/>
        <v>OK</v>
      </c>
      <c r="O73" s="13" t="str">
        <f t="shared" si="9"/>
        <v>OK</v>
      </c>
      <c r="P73" s="13" t="str">
        <f t="shared" si="9"/>
        <v>OK</v>
      </c>
      <c r="Q73" s="13" t="str">
        <f t="shared" si="9"/>
        <v>OK</v>
      </c>
    </row>
    <row r="75" spans="1:17" s="1" customFormat="1" ht="21" x14ac:dyDescent="0.25">
      <c r="A75" s="10"/>
      <c r="B75" s="10"/>
      <c r="C75" s="10"/>
      <c r="D75" s="10"/>
      <c r="E75" s="10"/>
      <c r="F75" s="10"/>
      <c r="G75" s="10"/>
      <c r="H75" s="10"/>
      <c r="I75" s="10"/>
      <c r="J75" s="10"/>
      <c r="K75" s="10"/>
      <c r="L75" s="10"/>
      <c r="M75" s="10"/>
      <c r="N75" s="10"/>
      <c r="O75" s="10"/>
      <c r="P75" s="10"/>
      <c r="Q75" s="10"/>
    </row>
  </sheetData>
  <mergeCells count="1">
    <mergeCell ref="B11:B12"/>
  </mergeCells>
  <pageMargins left="0.7" right="0.7" top="0.75" bottom="0.75" header="0.3" footer="0.3"/>
  <pageSetup scale="40"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98745-C88F-49A5-A627-7AF31AC744BC}">
  <sheetPr>
    <tabColor theme="7" tint="0.79998168889431442"/>
  </sheetPr>
  <dimension ref="A1:Q83"/>
  <sheetViews>
    <sheetView showGridLines="0" workbookViewId="0">
      <pane xSplit="2" ySplit="12" topLeftCell="C13" activePane="bottomRight" state="frozen"/>
      <selection pane="topRight" activeCell="C1" sqref="C1"/>
      <selection pane="bottomLeft" activeCell="A12" sqref="A12"/>
      <selection pane="bottomRight"/>
    </sheetView>
  </sheetViews>
  <sheetFormatPr baseColWidth="10" defaultColWidth="15.6640625" defaultRowHeight="14" x14ac:dyDescent="0.15"/>
  <cols>
    <col min="1" max="1" width="2.6640625" style="3" customWidth="1"/>
    <col min="2" max="2" width="40.6640625" style="6" customWidth="1"/>
    <col min="3" max="16384" width="15.6640625" style="13"/>
  </cols>
  <sheetData>
    <row r="1" spans="1:17" s="1" customFormat="1" x14ac:dyDescent="0.15"/>
    <row r="2" spans="1:17" s="1" customFormat="1" x14ac:dyDescent="0.15"/>
    <row r="3" spans="1:17" s="1" customFormat="1" x14ac:dyDescent="0.15"/>
    <row r="4" spans="1:17" s="1" customFormat="1" x14ac:dyDescent="0.15"/>
    <row r="5" spans="1:17" s="1" customFormat="1" x14ac:dyDescent="0.15"/>
    <row r="6" spans="1:17" s="1" customFormat="1" x14ac:dyDescent="0.15"/>
    <row r="7" spans="1:17" s="1" customFormat="1" x14ac:dyDescent="0.15"/>
    <row r="8" spans="1:17" s="1" customFormat="1" ht="21" x14ac:dyDescent="0.25">
      <c r="A8" s="10" t="s">
        <v>359</v>
      </c>
      <c r="B8" s="10"/>
      <c r="C8" s="10"/>
      <c r="D8" s="10"/>
      <c r="E8" s="10"/>
      <c r="F8" s="10"/>
      <c r="G8" s="10"/>
      <c r="H8" s="10"/>
      <c r="I8" s="10"/>
      <c r="J8" s="10"/>
      <c r="K8" s="10"/>
      <c r="L8" s="10"/>
      <c r="M8" s="10"/>
      <c r="N8" s="10"/>
      <c r="O8" s="10"/>
      <c r="P8" s="10"/>
      <c r="Q8" s="10"/>
    </row>
    <row r="9" spans="1:17" s="1" customFormat="1" ht="21" x14ac:dyDescent="0.25">
      <c r="A9" s="10" t="s">
        <v>151</v>
      </c>
      <c r="B9" s="10"/>
      <c r="C9" s="10"/>
      <c r="D9" s="10"/>
      <c r="E9" s="10"/>
      <c r="F9" s="10"/>
      <c r="G9" s="10"/>
      <c r="H9" s="10"/>
      <c r="I9" s="10"/>
      <c r="J9" s="10"/>
      <c r="K9" s="10"/>
      <c r="L9" s="10"/>
      <c r="M9" s="10"/>
      <c r="N9" s="10"/>
      <c r="O9" s="10"/>
      <c r="P9" s="10"/>
      <c r="Q9" s="10"/>
    </row>
    <row r="10" spans="1:17" s="1" customFormat="1" x14ac:dyDescent="0.15"/>
    <row r="11" spans="1:17" s="18" customFormat="1" ht="18" x14ac:dyDescent="0.2">
      <c r="A11" s="3"/>
      <c r="B11" s="157" t="s">
        <v>0</v>
      </c>
      <c r="C11" s="5">
        <v>2020</v>
      </c>
      <c r="D11" s="5">
        <v>2021</v>
      </c>
      <c r="E11" s="5">
        <v>2022</v>
      </c>
      <c r="F11" s="5">
        <v>2023</v>
      </c>
      <c r="G11" s="5">
        <v>2024</v>
      </c>
      <c r="H11" s="35">
        <v>2025</v>
      </c>
      <c r="I11" s="35">
        <v>2026</v>
      </c>
      <c r="J11" s="35">
        <v>2027</v>
      </c>
      <c r="K11" s="35">
        <v>2028</v>
      </c>
      <c r="L11" s="35">
        <v>2029</v>
      </c>
      <c r="M11" s="35">
        <v>2030</v>
      </c>
      <c r="N11" s="35">
        <v>2031</v>
      </c>
      <c r="O11" s="35">
        <v>2032</v>
      </c>
      <c r="P11" s="35">
        <v>2033</v>
      </c>
      <c r="Q11" s="35">
        <v>2034</v>
      </c>
    </row>
    <row r="12" spans="1:17" s="25" customFormat="1" ht="18" x14ac:dyDescent="0.2">
      <c r="A12" s="3"/>
      <c r="B12" s="157"/>
      <c r="C12" s="4" t="s">
        <v>1</v>
      </c>
      <c r="D12" s="4" t="s">
        <v>1</v>
      </c>
      <c r="E12" s="4" t="s">
        <v>1</v>
      </c>
      <c r="F12" s="4" t="s">
        <v>1</v>
      </c>
      <c r="G12" s="4" t="s">
        <v>1</v>
      </c>
      <c r="H12" s="36" t="s">
        <v>71</v>
      </c>
      <c r="I12" s="36" t="s">
        <v>71</v>
      </c>
      <c r="J12" s="36" t="s">
        <v>71</v>
      </c>
      <c r="K12" s="36" t="s">
        <v>71</v>
      </c>
      <c r="L12" s="36" t="s">
        <v>71</v>
      </c>
      <c r="M12" s="36" t="s">
        <v>71</v>
      </c>
      <c r="N12" s="36" t="s">
        <v>71</v>
      </c>
      <c r="O12" s="36" t="s">
        <v>71</v>
      </c>
      <c r="P12" s="36" t="s">
        <v>71</v>
      </c>
      <c r="Q12" s="36" t="s">
        <v>71</v>
      </c>
    </row>
    <row r="13" spans="1:17" s="3" customFormat="1" x14ac:dyDescent="0.15">
      <c r="B13" s="6"/>
      <c r="H13" s="37"/>
      <c r="I13" s="37"/>
      <c r="J13" s="37"/>
      <c r="K13" s="37"/>
      <c r="L13" s="37"/>
      <c r="M13" s="37"/>
      <c r="N13" s="37"/>
      <c r="O13" s="37"/>
      <c r="P13" s="37"/>
      <c r="Q13" s="37"/>
    </row>
    <row r="14" spans="1:17" s="3" customFormat="1" x14ac:dyDescent="0.15">
      <c r="B14" s="6"/>
      <c r="H14" s="37"/>
      <c r="I14" s="37"/>
      <c r="J14" s="37"/>
      <c r="K14" s="37"/>
      <c r="L14" s="37"/>
      <c r="M14" s="37"/>
      <c r="N14" s="37"/>
      <c r="O14" s="37"/>
      <c r="P14" s="37"/>
      <c r="Q14" s="37"/>
    </row>
    <row r="15" spans="1:17" s="3" customFormat="1" ht="18" x14ac:dyDescent="0.2">
      <c r="B15" s="84" t="s">
        <v>170</v>
      </c>
      <c r="C15" s="84"/>
      <c r="D15" s="84"/>
      <c r="E15" s="84"/>
      <c r="F15" s="84"/>
      <c r="G15" s="84"/>
      <c r="H15" s="84"/>
      <c r="I15" s="84"/>
      <c r="J15" s="84"/>
      <c r="K15" s="84"/>
      <c r="L15" s="84"/>
      <c r="M15" s="84"/>
      <c r="N15" s="84"/>
      <c r="O15" s="84"/>
      <c r="P15" s="84"/>
      <c r="Q15" s="84"/>
    </row>
    <row r="16" spans="1:17" s="3" customFormat="1" x14ac:dyDescent="0.15">
      <c r="B16" s="6"/>
      <c r="H16" s="37"/>
      <c r="I16" s="37"/>
      <c r="J16" s="37"/>
      <c r="K16" s="37"/>
      <c r="L16" s="37"/>
      <c r="M16" s="37"/>
      <c r="N16" s="37"/>
      <c r="O16" s="37"/>
      <c r="P16" s="37"/>
      <c r="Q16" s="37"/>
    </row>
    <row r="17" spans="2:17" x14ac:dyDescent="0.15">
      <c r="B17" s="6" t="s">
        <v>152</v>
      </c>
      <c r="D17" s="13">
        <f>Income_Statement!D40</f>
        <v>25751.35999999999</v>
      </c>
      <c r="E17" s="13">
        <f>Income_Statement!E40</f>
        <v>88537.670000000013</v>
      </c>
      <c r="F17" s="13">
        <f>Income_Statement!F40</f>
        <v>135400.96000000002</v>
      </c>
      <c r="G17" s="13">
        <f>Income_Statement!G40</f>
        <v>149739.63573209735</v>
      </c>
      <c r="H17" s="39">
        <f>Income_Statement!H40</f>
        <v>187783.90730351978</v>
      </c>
      <c r="I17" s="39">
        <f>Income_Statement!I40</f>
        <v>224805.03771334272</v>
      </c>
      <c r="J17" s="39">
        <f>Income_Statement!J40</f>
        <v>268795.32796180696</v>
      </c>
      <c r="K17" s="39">
        <f>Income_Statement!K40</f>
        <v>321607.93300892238</v>
      </c>
      <c r="L17" s="39">
        <f>Income_Statement!L40</f>
        <v>384701.45541547984</v>
      </c>
      <c r="M17" s="39">
        <f>Income_Statement!M40</f>
        <v>459855.57766404015</v>
      </c>
      <c r="N17" s="39">
        <f>Income_Statement!N40</f>
        <v>549942.07069291489</v>
      </c>
      <c r="O17" s="39">
        <f>Income_Statement!O40</f>
        <v>657608.17629964335</v>
      </c>
      <c r="P17" s="39">
        <f>Income_Statement!P40</f>
        <v>786057.50700817292</v>
      </c>
      <c r="Q17" s="39">
        <f>Income_Statement!Q40</f>
        <v>939895.78115315584</v>
      </c>
    </row>
    <row r="18" spans="2:17" x14ac:dyDescent="0.15">
      <c r="B18" s="81" t="s">
        <v>153</v>
      </c>
      <c r="H18" s="39"/>
      <c r="I18" s="39"/>
      <c r="J18" s="39"/>
      <c r="K18" s="39"/>
      <c r="L18" s="39"/>
      <c r="M18" s="39"/>
      <c r="N18" s="39"/>
      <c r="O18" s="39"/>
      <c r="P18" s="39"/>
      <c r="Q18" s="39"/>
    </row>
    <row r="19" spans="2:17" x14ac:dyDescent="0.15">
      <c r="B19" s="6" t="s">
        <v>154</v>
      </c>
      <c r="D19" s="13">
        <f>Income_Statement!D30</f>
        <v>4634.74</v>
      </c>
      <c r="E19" s="13">
        <f>Income_Statement!E30</f>
        <v>4898.8400000000011</v>
      </c>
      <c r="F19" s="13">
        <f>Income_Statement!F30</f>
        <v>5372.96</v>
      </c>
      <c r="G19" s="13">
        <f>Income_Statement!G30</f>
        <v>5586.2335000000003</v>
      </c>
      <c r="H19" s="39">
        <f>Income_Statement!H30</f>
        <v>5586.2335000000003</v>
      </c>
      <c r="I19" s="39">
        <f>Income_Statement!I30</f>
        <v>5586.2335000000003</v>
      </c>
      <c r="J19" s="39">
        <f>Income_Statement!J30</f>
        <v>5809.6828400000013</v>
      </c>
      <c r="K19" s="39">
        <f>Income_Statement!K30</f>
        <v>5809.6828400000013</v>
      </c>
      <c r="L19" s="39">
        <f>Income_Statement!L30</f>
        <v>5809.6828400000013</v>
      </c>
      <c r="M19" s="39">
        <f>Income_Statement!M30</f>
        <v>6042.0701536000015</v>
      </c>
      <c r="N19" s="39">
        <f>Income_Statement!N30</f>
        <v>6042.0701536000015</v>
      </c>
      <c r="O19" s="39">
        <f>Income_Statement!O30</f>
        <v>6042.0701536000015</v>
      </c>
      <c r="P19" s="39">
        <f>Income_Statement!P30</f>
        <v>6283.7529597439998</v>
      </c>
      <c r="Q19" s="39">
        <f>Income_Statement!Q30</f>
        <v>6283.7529597439998</v>
      </c>
    </row>
    <row r="20" spans="2:17" x14ac:dyDescent="0.15">
      <c r="B20" s="6" t="s">
        <v>10</v>
      </c>
      <c r="D20" s="13">
        <f>Income_Statement!D34</f>
        <v>827.72</v>
      </c>
      <c r="E20" s="13">
        <f>Income_Statement!E34</f>
        <v>1105</v>
      </c>
      <c r="F20" s="13">
        <f>Income_Statement!F34</f>
        <v>1611.25</v>
      </c>
      <c r="G20" s="13">
        <f>Income_Statement!G34</f>
        <v>1864.49</v>
      </c>
      <c r="H20" s="39">
        <f>Income_Statement!H34</f>
        <v>1889.2404319909356</v>
      </c>
      <c r="I20" s="39">
        <f>Income_Statement!I34</f>
        <v>2117.2262030530696</v>
      </c>
      <c r="J20" s="39">
        <f>Income_Statement!J34</f>
        <v>2386.357844618743</v>
      </c>
      <c r="K20" s="39">
        <f>Income_Statement!K34</f>
        <v>2704.1955764836298</v>
      </c>
      <c r="L20" s="39">
        <f>Income_Statement!L34</f>
        <v>3079.7052003768899</v>
      </c>
      <c r="M20" s="39">
        <f>Income_Statement!M34</f>
        <v>3523.5217349757531</v>
      </c>
      <c r="N20" s="39">
        <f>Income_Statement!N34</f>
        <v>4048.2628617809978</v>
      </c>
      <c r="O20" s="39">
        <f>Income_Statement!O34</f>
        <v>4668.9016540030962</v>
      </c>
      <c r="P20" s="39">
        <f>Income_Statement!P34</f>
        <v>5403.209872474079</v>
      </c>
      <c r="Q20" s="39">
        <f>Income_Statement!Q34</f>
        <v>6272.2852729273663</v>
      </c>
    </row>
    <row r="21" spans="2:17" x14ac:dyDescent="0.15">
      <c r="B21" s="47" t="s">
        <v>155</v>
      </c>
      <c r="H21" s="39"/>
      <c r="I21" s="39"/>
      <c r="J21" s="39"/>
      <c r="K21" s="39"/>
      <c r="L21" s="39"/>
      <c r="M21" s="39"/>
      <c r="N21" s="39"/>
      <c r="O21" s="39"/>
      <c r="P21" s="39"/>
      <c r="Q21" s="39"/>
    </row>
    <row r="22" spans="2:17" x14ac:dyDescent="0.15">
      <c r="B22" s="6" t="s">
        <v>56</v>
      </c>
      <c r="D22" s="13">
        <f>Balance_Sheet!D62-Balance_Sheet!C62</f>
        <v>0</v>
      </c>
      <c r="E22" s="13">
        <f>Balance_Sheet!E62-Balance_Sheet!D62</f>
        <v>0</v>
      </c>
      <c r="F22" s="13">
        <f>Balance_Sheet!F62-Balance_Sheet!E62</f>
        <v>0</v>
      </c>
      <c r="G22" s="13">
        <f>Balance_Sheet!G62-Balance_Sheet!F62</f>
        <v>0</v>
      </c>
      <c r="H22" s="39">
        <f>Balance_Sheet!H62-Balance_Sheet!G62</f>
        <v>0</v>
      </c>
      <c r="I22" s="39">
        <f>Balance_Sheet!I62-Balance_Sheet!H62</f>
        <v>0</v>
      </c>
      <c r="J22" s="39">
        <f>Balance_Sheet!J62-Balance_Sheet!I62</f>
        <v>0</v>
      </c>
      <c r="K22" s="39">
        <f>Balance_Sheet!K62-Balance_Sheet!J62</f>
        <v>0</v>
      </c>
      <c r="L22" s="39">
        <f>Balance_Sheet!L62-Balance_Sheet!K62</f>
        <v>0</v>
      </c>
      <c r="M22" s="39">
        <f>Balance_Sheet!M62-Balance_Sheet!L62</f>
        <v>0</v>
      </c>
      <c r="N22" s="39">
        <f>Balance_Sheet!N62-Balance_Sheet!M62</f>
        <v>0</v>
      </c>
      <c r="O22" s="39">
        <f>Balance_Sheet!O62-Balance_Sheet!N62</f>
        <v>0</v>
      </c>
      <c r="P22" s="39">
        <f>Balance_Sheet!P62-Balance_Sheet!O62</f>
        <v>0</v>
      </c>
      <c r="Q22" s="39">
        <f>Balance_Sheet!Q62-Balance_Sheet!P62</f>
        <v>0</v>
      </c>
    </row>
    <row r="23" spans="2:17" x14ac:dyDescent="0.15">
      <c r="B23" s="6" t="s">
        <v>57</v>
      </c>
      <c r="D23" s="13">
        <f>Balance_Sheet!D63-Balance_Sheet!C63</f>
        <v>-364.83000000000015</v>
      </c>
      <c r="E23" s="13">
        <f>Balance_Sheet!E63-Balance_Sheet!D63</f>
        <v>273.93999999999983</v>
      </c>
      <c r="F23" s="13">
        <f>Balance_Sheet!F63-Balance_Sheet!E63</f>
        <v>321.72000000000025</v>
      </c>
      <c r="G23" s="13">
        <f>Balance_Sheet!G63-Balance_Sheet!F63</f>
        <v>-615.80000000000018</v>
      </c>
      <c r="H23" s="39">
        <f>Balance_Sheet!H63-Balance_Sheet!G63</f>
        <v>2238.3353558164968</v>
      </c>
      <c r="I23" s="39">
        <f>Balance_Sheet!I63-Balance_Sheet!H63</f>
        <v>716.5473904256105</v>
      </c>
      <c r="J23" s="39">
        <f>Balance_Sheet!J63-Balance_Sheet!I63</f>
        <v>845.86671592012135</v>
      </c>
      <c r="K23" s="39">
        <f>Balance_Sheet!K63-Balance_Sheet!J63</f>
        <v>998.94741801456712</v>
      </c>
      <c r="L23" s="39">
        <f>Balance_Sheet!L63-Balance_Sheet!K63</f>
        <v>1180.2071674336521</v>
      </c>
      <c r="M23" s="39">
        <f>Balance_Sheet!M63-Balance_Sheet!L63</f>
        <v>1394.8922260059944</v>
      </c>
      <c r="N23" s="39">
        <f>Balance_Sheet!N63-Balance_Sheet!M63</f>
        <v>1649.233999602624</v>
      </c>
      <c r="O23" s="39">
        <f>Balance_Sheet!O63-Balance_Sheet!N63</f>
        <v>1950.6353615482694</v>
      </c>
      <c r="P23" s="39">
        <f>Balance_Sheet!P63-Balance_Sheet!O63</f>
        <v>2307.8924411035423</v>
      </c>
      <c r="Q23" s="39">
        <f>Balance_Sheet!Q63-Balance_Sheet!P63</f>
        <v>2731.4586668138127</v>
      </c>
    </row>
    <row r="24" spans="2:17" x14ac:dyDescent="0.15">
      <c r="B24" s="6" t="s">
        <v>159</v>
      </c>
      <c r="D24" s="13">
        <f>Balance_Sheet!D64-Balance_Sheet!C64</f>
        <v>41183.040000000001</v>
      </c>
      <c r="E24" s="13">
        <f>Balance_Sheet!E64-Balance_Sheet!D64</f>
        <v>10859.210000000006</v>
      </c>
      <c r="F24" s="13">
        <f>Balance_Sheet!F64-Balance_Sheet!E64</f>
        <v>16126.539999999994</v>
      </c>
      <c r="G24" s="13">
        <f>Balance_Sheet!G64-Balance_Sheet!F64</f>
        <v>14549.630000000005</v>
      </c>
      <c r="H24" s="39">
        <f>Balance_Sheet!H64-Balance_Sheet!G64</f>
        <v>4988.2550000000047</v>
      </c>
      <c r="I24" s="39">
        <f>Balance_Sheet!I64-Balance_Sheet!H64</f>
        <v>5237.6677500000078</v>
      </c>
      <c r="J24" s="39">
        <f>Balance_Sheet!J64-Balance_Sheet!I64</f>
        <v>5499.551137500006</v>
      </c>
      <c r="K24" s="39">
        <f>Balance_Sheet!K64-Balance_Sheet!J64</f>
        <v>5774.5286943750107</v>
      </c>
      <c r="L24" s="39">
        <f>Balance_Sheet!L64-Balance_Sheet!K64</f>
        <v>6063.2551290937554</v>
      </c>
      <c r="M24" s="39">
        <f>Balance_Sheet!M64-Balance_Sheet!L64</f>
        <v>6366.4178855484352</v>
      </c>
      <c r="N24" s="39">
        <f>Balance_Sheet!N64-Balance_Sheet!M64</f>
        <v>6684.7387798258569</v>
      </c>
      <c r="O24" s="39">
        <f>Balance_Sheet!O64-Balance_Sheet!N64</f>
        <v>7018.9757188171498</v>
      </c>
      <c r="P24" s="39">
        <f>Balance_Sheet!P64-Balance_Sheet!O64</f>
        <v>7369.9245047580043</v>
      </c>
      <c r="Q24" s="39">
        <f>Balance_Sheet!Q64-Balance_Sheet!P64</f>
        <v>7738.4207299959089</v>
      </c>
    </row>
    <row r="25" spans="2:17" x14ac:dyDescent="0.15">
      <c r="B25" s="6" t="s">
        <v>58</v>
      </c>
      <c r="D25" s="13">
        <f>Balance_Sheet!D65-Balance_Sheet!C65</f>
        <v>-48082.049999999996</v>
      </c>
      <c r="E25" s="13">
        <f>Balance_Sheet!E65-Balance_Sheet!D65</f>
        <v>4427</v>
      </c>
      <c r="F25" s="13">
        <f>Balance_Sheet!F65-Balance_Sheet!E65</f>
        <v>3479.7200000000012</v>
      </c>
      <c r="G25" s="13">
        <f>Balance_Sheet!G65-Balance_Sheet!F65</f>
        <v>20232.330000000002</v>
      </c>
      <c r="H25" s="39">
        <f>Balance_Sheet!H65-Balance_Sheet!G65</f>
        <v>36453.490679586954</v>
      </c>
      <c r="I25" s="39">
        <f>Balance_Sheet!I65-Balance_Sheet!H65</f>
        <v>16136.534729004299</v>
      </c>
      <c r="J25" s="39">
        <f>Balance_Sheet!J65-Balance_Sheet!I65</f>
        <v>19048.785635024775</v>
      </c>
      <c r="K25" s="39">
        <f>Balance_Sheet!K65-Balance_Sheet!J65</f>
        <v>22496.139011359235</v>
      </c>
      <c r="L25" s="39">
        <f>Balance_Sheet!L65-Balance_Sheet!K65</f>
        <v>26578.080109120201</v>
      </c>
      <c r="M25" s="39">
        <f>Balance_Sheet!M65-Balance_Sheet!L65</f>
        <v>31412.75392098524</v>
      </c>
      <c r="N25" s="39">
        <f>Balance_Sheet!N65-Balance_Sheet!M65</f>
        <v>37140.49072879189</v>
      </c>
      <c r="O25" s="39">
        <f>Balance_Sheet!O65-Balance_Sheet!N65</f>
        <v>43928.002077505691</v>
      </c>
      <c r="P25" s="39">
        <f>Balance_Sheet!P65-Balance_Sheet!O65</f>
        <v>51973.375417016621</v>
      </c>
      <c r="Q25" s="39">
        <f>Balance_Sheet!Q65-Balance_Sheet!P65</f>
        <v>61512.020316898648</v>
      </c>
    </row>
    <row r="26" spans="2:17" x14ac:dyDescent="0.15">
      <c r="B26" s="6" t="s">
        <v>59</v>
      </c>
      <c r="D26" s="13">
        <f>Balance_Sheet!D66-Balance_Sheet!C66</f>
        <v>-15868.04</v>
      </c>
      <c r="E26" s="13">
        <f>Balance_Sheet!E66-Balance_Sheet!D66</f>
        <v>9070.7000000000044</v>
      </c>
      <c r="F26" s="13">
        <f>Balance_Sheet!F66-Balance_Sheet!E66</f>
        <v>39500.159999999989</v>
      </c>
      <c r="G26" s="13">
        <f>Balance_Sheet!G66-Balance_Sheet!F66</f>
        <v>-10418.199999999997</v>
      </c>
      <c r="H26" s="39">
        <f>Balance_Sheet!H66-Balance_Sheet!G66</f>
        <v>61186.152654056146</v>
      </c>
      <c r="I26" s="39">
        <f>Balance_Sheet!I66-Balance_Sheet!H66</f>
        <v>28698.980843337311</v>
      </c>
      <c r="J26" s="39">
        <f>Balance_Sheet!J66-Balance_Sheet!I66</f>
        <v>33878.446841860889</v>
      </c>
      <c r="K26" s="39">
        <f>Balance_Sheet!K66-Balance_Sheet!J66</f>
        <v>40009.597684910725</v>
      </c>
      <c r="L26" s="39">
        <f>Balance_Sheet!L66-Balance_Sheet!K66</f>
        <v>47269.368839972187</v>
      </c>
      <c r="M26" s="39">
        <f>Balance_Sheet!M66-Balance_Sheet!L66</f>
        <v>55867.882302785525</v>
      </c>
      <c r="N26" s="39">
        <f>Balance_Sheet!N66-Balance_Sheet!M66</f>
        <v>66054.716817352048</v>
      </c>
      <c r="O26" s="39">
        <f>Balance_Sheet!O66-Balance_Sheet!N66</f>
        <v>78126.370455635421</v>
      </c>
      <c r="P26" s="39">
        <f>Balance_Sheet!P66-Balance_Sheet!O66</f>
        <v>92435.143635610992</v>
      </c>
      <c r="Q26" s="39">
        <f>Balance_Sheet!Q66-Balance_Sheet!P66</f>
        <v>109399.71452089946</v>
      </c>
    </row>
    <row r="27" spans="2:17" x14ac:dyDescent="0.15">
      <c r="B27" s="6" t="s">
        <v>60</v>
      </c>
      <c r="D27" s="13">
        <f>Balance_Sheet!D67-Balance_Sheet!C67</f>
        <v>-89.240000000000009</v>
      </c>
      <c r="E27" s="13">
        <f>Balance_Sheet!E67-Balance_Sheet!D67</f>
        <v>1795.04</v>
      </c>
      <c r="F27" s="13">
        <f>Balance_Sheet!F67-Balance_Sheet!E67</f>
        <v>-81.779999999999745</v>
      </c>
      <c r="G27" s="13">
        <f>Balance_Sheet!G67-Balance_Sheet!F67</f>
        <v>282.91999999999962</v>
      </c>
      <c r="H27" s="39">
        <f>Balance_Sheet!H67-Balance_Sheet!G67</f>
        <v>1350.3618217914641</v>
      </c>
      <c r="I27" s="39">
        <f>Balance_Sheet!I67-Balance_Sheet!H67</f>
        <v>768.61035753363103</v>
      </c>
      <c r="J27" s="39">
        <f>Balance_Sheet!J67-Balance_Sheet!I67</f>
        <v>907.32577863830647</v>
      </c>
      <c r="K27" s="39">
        <f>Balance_Sheet!K67-Balance_Sheet!J67</f>
        <v>1071.5290326595441</v>
      </c>
      <c r="L27" s="39">
        <f>Balance_Sheet!L67-Balance_Sheet!K67</f>
        <v>1265.9587698534897</v>
      </c>
      <c r="M27" s="39">
        <f>Balance_Sheet!M67-Balance_Sheet!L67</f>
        <v>1496.2424354298928</v>
      </c>
      <c r="N27" s="39">
        <f>Balance_Sheet!N67-Balance_Sheet!M67</f>
        <v>1769.0641973286129</v>
      </c>
      <c r="O27" s="39">
        <f>Balance_Sheet!O67-Balance_Sheet!N67</f>
        <v>2092.3648075346809</v>
      </c>
      <c r="P27" s="39">
        <f>Balance_Sheet!P67-Balance_Sheet!O67</f>
        <v>2475.5795052887261</v>
      </c>
      <c r="Q27" s="39">
        <f>Balance_Sheet!Q67-Balance_Sheet!P67</f>
        <v>2929.9212453220953</v>
      </c>
    </row>
    <row r="28" spans="2:17" x14ac:dyDescent="0.15">
      <c r="B28" s="6" t="s">
        <v>65</v>
      </c>
      <c r="D28" s="13">
        <f>Balance_Sheet!D68-Balance_Sheet!C68</f>
        <v>357.03000000000003</v>
      </c>
      <c r="E28" s="13">
        <f>Balance_Sheet!E68-Balance_Sheet!D68</f>
        <v>-461.61</v>
      </c>
      <c r="F28" s="13">
        <f>Balance_Sheet!F68-Balance_Sheet!E68</f>
        <v>0</v>
      </c>
      <c r="G28" s="13">
        <f>Balance_Sheet!G68-Balance_Sheet!F68</f>
        <v>0</v>
      </c>
      <c r="H28" s="39">
        <f>Balance_Sheet!H68-Balance_Sheet!G68</f>
        <v>57.894058310838219</v>
      </c>
      <c r="I28" s="39">
        <f>Balance_Sheet!I68-Balance_Sheet!H68</f>
        <v>10.133715258171193</v>
      </c>
      <c r="J28" s="39">
        <f>Balance_Sheet!J68-Balance_Sheet!I68</f>
        <v>11.962603674276835</v>
      </c>
      <c r="K28" s="39">
        <f>Balance_Sheet!K68-Balance_Sheet!J68</f>
        <v>14.127535494940673</v>
      </c>
      <c r="L28" s="39">
        <f>Balance_Sheet!L68-Balance_Sheet!K68</f>
        <v>16.690987281834268</v>
      </c>
      <c r="M28" s="39">
        <f>Balance_Sheet!M68-Balance_Sheet!L68</f>
        <v>19.727153881315829</v>
      </c>
      <c r="N28" s="39">
        <f>Balance_Sheet!N68-Balance_Sheet!M68</f>
        <v>23.324162462081972</v>
      </c>
      <c r="O28" s="39">
        <f>Balance_Sheet!O68-Balance_Sheet!N68</f>
        <v>27.586707579395096</v>
      </c>
      <c r="P28" s="39">
        <f>Balance_Sheet!P68-Balance_Sheet!O68</f>
        <v>32.639187801294383</v>
      </c>
      <c r="Q28" s="39">
        <f>Balance_Sheet!Q68-Balance_Sheet!P68</f>
        <v>38.629439920943668</v>
      </c>
    </row>
    <row r="29" spans="2:17" x14ac:dyDescent="0.15">
      <c r="B29" s="82" t="s">
        <v>156</v>
      </c>
      <c r="H29" s="39"/>
      <c r="I29" s="39"/>
      <c r="J29" s="39"/>
      <c r="K29" s="39"/>
      <c r="L29" s="39"/>
      <c r="M29" s="39"/>
      <c r="N29" s="39"/>
      <c r="O29" s="39"/>
      <c r="P29" s="39"/>
      <c r="Q29" s="39"/>
    </row>
    <row r="30" spans="2:17" x14ac:dyDescent="0.15">
      <c r="B30" s="6" t="s">
        <v>17</v>
      </c>
      <c r="D30" s="13">
        <f>Income_Statement!D36</f>
        <v>8498.3799999999992</v>
      </c>
      <c r="E30" s="13">
        <f>Income_Statement!E36</f>
        <v>7590.38</v>
      </c>
      <c r="F30" s="13">
        <f>Income_Statement!F36</f>
        <v>12043.05</v>
      </c>
      <c r="G30" s="13">
        <f>Income_Statement!G36</f>
        <v>16447.77</v>
      </c>
      <c r="H30" s="39">
        <f>Income_Statement!H36</f>
        <v>19312.697939921243</v>
      </c>
      <c r="I30" s="39">
        <f>Income_Statement!I36</f>
        <v>22693.172335746989</v>
      </c>
      <c r="J30" s="39">
        <f>Income_Statement!J36</f>
        <v>26683.739901348967</v>
      </c>
      <c r="K30" s="39">
        <f>Income_Statement!K36</f>
        <v>31396.500305610127</v>
      </c>
      <c r="L30" s="39">
        <f>Income_Statement!L36</f>
        <v>36964.394578324922</v>
      </c>
      <c r="M30" s="39">
        <f>Income_Statement!M36</f>
        <v>43545.114176157542</v>
      </c>
      <c r="N30" s="39">
        <f>Income_Statement!N36</f>
        <v>51325.748622499515</v>
      </c>
      <c r="O30" s="39">
        <f>Income_Statement!O36</f>
        <v>60528.312170165926</v>
      </c>
      <c r="P30" s="39">
        <f>Income_Statement!P36</f>
        <v>71416.316801424517</v>
      </c>
      <c r="Q30" s="39">
        <f>Income_Statement!Q36</f>
        <v>84302.590912249041</v>
      </c>
    </row>
    <row r="31" spans="2:17" x14ac:dyDescent="0.15">
      <c r="B31" s="6" t="s">
        <v>157</v>
      </c>
      <c r="D31" s="13">
        <f>Income_Statement!D42</f>
        <v>7048.7272627747525</v>
      </c>
      <c r="E31" s="13">
        <f>Income_Statement!E42</f>
        <v>22582.379999999997</v>
      </c>
      <c r="F31" s="13">
        <f>Income_Statement!F42</f>
        <v>34812.850000000013</v>
      </c>
      <c r="G31" s="13">
        <f>Income_Statement!G42</f>
        <v>38531.350343794038</v>
      </c>
      <c r="H31" s="39">
        <f>Income_Statement!H42</f>
        <v>49259.910073610845</v>
      </c>
      <c r="I31" s="39">
        <f>Income_Statement!I42</f>
        <v>58971.378862380239</v>
      </c>
      <c r="J31" s="39">
        <f>Income_Statement!J42</f>
        <v>71854.990462755304</v>
      </c>
      <c r="K31" s="39">
        <f>Income_Statement!K42</f>
        <v>85972.978527313302</v>
      </c>
      <c r="L31" s="39">
        <f>Income_Statement!L42</f>
        <v>104762.79254105021</v>
      </c>
      <c r="M31" s="39">
        <f>Income_Statement!M42</f>
        <v>125228.93740974423</v>
      </c>
      <c r="N31" s="39">
        <f>Income_Statement!N42</f>
        <v>152511.21047405686</v>
      </c>
      <c r="O31" s="39">
        <f>Income_Statement!O42</f>
        <v>182369.42458090014</v>
      </c>
      <c r="P31" s="39">
        <f>Income_Statement!P42</f>
        <v>221921.57840861683</v>
      </c>
      <c r="Q31" s="39">
        <f>Income_Statement!Q42</f>
        <v>265353.55674803001</v>
      </c>
    </row>
    <row r="32" spans="2:17" x14ac:dyDescent="0.15">
      <c r="B32" s="47" t="s">
        <v>158</v>
      </c>
      <c r="H32" s="39"/>
      <c r="I32" s="39"/>
      <c r="J32" s="39"/>
      <c r="K32" s="39"/>
      <c r="L32" s="39"/>
      <c r="M32" s="39"/>
      <c r="N32" s="39"/>
      <c r="O32" s="39"/>
      <c r="P32" s="39"/>
      <c r="Q32" s="39"/>
    </row>
    <row r="33" spans="2:17" x14ac:dyDescent="0.15">
      <c r="B33" s="6" t="s">
        <v>40</v>
      </c>
      <c r="D33" s="13">
        <f>Balance_Sheet!D30-Balance_Sheet!C30</f>
        <v>-322.26</v>
      </c>
      <c r="E33" s="13">
        <f>Balance_Sheet!E30-Balance_Sheet!D30</f>
        <v>138.75</v>
      </c>
      <c r="F33" s="13">
        <f>Balance_Sheet!F30-Balance_Sheet!E30</f>
        <v>168.16000000000008</v>
      </c>
      <c r="G33" s="13">
        <f>Balance_Sheet!G30-Balance_Sheet!F30</f>
        <v>135.55999999999995</v>
      </c>
      <c r="H33" s="39">
        <f>Balance_Sheet!H30-Balance_Sheet!G30</f>
        <v>54.825500000000147</v>
      </c>
      <c r="I33" s="39">
        <f>Balance_Sheet!I30-Balance_Sheet!H30</f>
        <v>57.566775000000007</v>
      </c>
      <c r="J33" s="39">
        <f>Balance_Sheet!J30-Balance_Sheet!I30</f>
        <v>60.445113750000019</v>
      </c>
      <c r="K33" s="39">
        <f>Balance_Sheet!K30-Balance_Sheet!J30</f>
        <v>63.467369437500111</v>
      </c>
      <c r="L33" s="39">
        <f>Balance_Sheet!L30-Balance_Sheet!K30</f>
        <v>66.640737909375048</v>
      </c>
      <c r="M33" s="39">
        <f>Balance_Sheet!M30-Balance_Sheet!L30</f>
        <v>69.972774804843766</v>
      </c>
      <c r="N33" s="39">
        <f>Balance_Sheet!N30-Balance_Sheet!M30</f>
        <v>73.471413545086079</v>
      </c>
      <c r="O33" s="39">
        <f>Balance_Sheet!O30-Balance_Sheet!N30</f>
        <v>77.144984222340327</v>
      </c>
      <c r="P33" s="39">
        <f>Balance_Sheet!P30-Balance_Sheet!O30</f>
        <v>81.002233433457377</v>
      </c>
      <c r="Q33" s="39">
        <f>Balance_Sheet!Q30-Balance_Sheet!P30</f>
        <v>85.052345105130144</v>
      </c>
    </row>
    <row r="34" spans="2:17" x14ac:dyDescent="0.15">
      <c r="B34" s="6" t="s">
        <v>41</v>
      </c>
      <c r="D34" s="13">
        <f>Balance_Sheet!D32-Balance_Sheet!C32</f>
        <v>-25658.42</v>
      </c>
      <c r="E34" s="13">
        <f>Balance_Sheet!E32-Balance_Sheet!D32</f>
        <v>5017.75</v>
      </c>
      <c r="F34" s="13">
        <f>Balance_Sheet!F32-Balance_Sheet!E32</f>
        <v>57139.429999999993</v>
      </c>
      <c r="G34" s="13">
        <f>Balance_Sheet!G32-Balance_Sheet!F32</f>
        <v>23142.790000000008</v>
      </c>
      <c r="H34" s="39">
        <f>Balance_Sheet!H32-Balance_Sheet!G32</f>
        <v>6871.7094999999972</v>
      </c>
      <c r="I34" s="39">
        <f>Balance_Sheet!I32-Balance_Sheet!H32</f>
        <v>7215.2949749999971</v>
      </c>
      <c r="J34" s="39">
        <f>Balance_Sheet!J32-Balance_Sheet!I32</f>
        <v>7576.0597237500187</v>
      </c>
      <c r="K34" s="39">
        <f>Balance_Sheet!K32-Balance_Sheet!J32</f>
        <v>7954.8627099375008</v>
      </c>
      <c r="L34" s="39">
        <f>Balance_Sheet!L32-Balance_Sheet!K32</f>
        <v>8352.6058454343874</v>
      </c>
      <c r="M34" s="39">
        <f>Balance_Sheet!M32-Balance_Sheet!L32</f>
        <v>8770.236137706117</v>
      </c>
      <c r="N34" s="39">
        <f>Balance_Sheet!N32-Balance_Sheet!M32</f>
        <v>9208.7479445914214</v>
      </c>
      <c r="O34" s="39">
        <f>Balance_Sheet!O32-Balance_Sheet!N32</f>
        <v>9669.1853418209939</v>
      </c>
      <c r="P34" s="39">
        <f>Balance_Sheet!P32-Balance_Sheet!O32</f>
        <v>10152.644608912029</v>
      </c>
      <c r="Q34" s="39">
        <f>Balance_Sheet!Q32-Balance_Sheet!P32</f>
        <v>10660.276839357626</v>
      </c>
    </row>
    <row r="35" spans="2:17" x14ac:dyDescent="0.15">
      <c r="B35" s="6" t="s">
        <v>43</v>
      </c>
      <c r="D35" s="13">
        <f>Balance_Sheet!D34-Balance_Sheet!C34</f>
        <v>41643.76999999999</v>
      </c>
      <c r="E35" s="13">
        <f>Balance_Sheet!E34-Balance_Sheet!D34</f>
        <v>24789.350000000006</v>
      </c>
      <c r="F35" s="13">
        <f>Balance_Sheet!F34-Balance_Sheet!E34</f>
        <v>13860.73000000001</v>
      </c>
      <c r="G35" s="13">
        <f>Balance_Sheet!G34-Balance_Sheet!F34</f>
        <v>6933.5</v>
      </c>
      <c r="H35" s="39">
        <f>Balance_Sheet!H34-Balance_Sheet!G34</f>
        <v>0</v>
      </c>
      <c r="I35" s="39">
        <f>Balance_Sheet!I34-Balance_Sheet!H34</f>
        <v>0</v>
      </c>
      <c r="J35" s="39">
        <f>Balance_Sheet!J34-Balance_Sheet!I34</f>
        <v>0</v>
      </c>
      <c r="K35" s="39">
        <f>Balance_Sheet!K34-Balance_Sheet!J34</f>
        <v>0</v>
      </c>
      <c r="L35" s="39">
        <f>Balance_Sheet!L34-Balance_Sheet!K34</f>
        <v>0</v>
      </c>
      <c r="M35" s="39">
        <f>Balance_Sheet!M34-Balance_Sheet!L34</f>
        <v>0</v>
      </c>
      <c r="N35" s="39">
        <f>Balance_Sheet!N34-Balance_Sheet!M34</f>
        <v>0</v>
      </c>
      <c r="O35" s="39">
        <f>Balance_Sheet!O34-Balance_Sheet!N34</f>
        <v>0</v>
      </c>
      <c r="P35" s="39">
        <f>Balance_Sheet!P34-Balance_Sheet!O34</f>
        <v>0</v>
      </c>
      <c r="Q35" s="39">
        <f>Balance_Sheet!Q34-Balance_Sheet!P34</f>
        <v>0</v>
      </c>
    </row>
    <row r="36" spans="2:17" x14ac:dyDescent="0.15">
      <c r="B36" s="6" t="s">
        <v>34</v>
      </c>
      <c r="D36" s="13">
        <f>Balance_Sheet!D35-Balance_Sheet!C35</f>
        <v>-1188.9100000000001</v>
      </c>
      <c r="E36" s="13">
        <f>Balance_Sheet!E35-Balance_Sheet!D35</f>
        <v>0</v>
      </c>
      <c r="F36" s="13">
        <f>Balance_Sheet!F35-Balance_Sheet!E35</f>
        <v>0</v>
      </c>
      <c r="G36" s="13">
        <f>Balance_Sheet!G35-Balance_Sheet!F35</f>
        <v>0</v>
      </c>
      <c r="H36" s="39">
        <f>Balance_Sheet!H35-Balance_Sheet!G35</f>
        <v>658.16432268443941</v>
      </c>
      <c r="I36" s="39">
        <f>Balance_Sheet!I35-Balance_Sheet!H35</f>
        <v>115.20439288193063</v>
      </c>
      <c r="J36" s="39">
        <f>Balance_Sheet!J35-Balance_Sheet!I35</f>
        <v>135.99597565867737</v>
      </c>
      <c r="K36" s="39">
        <f>Balance_Sheet!K35-Balance_Sheet!J35</f>
        <v>160.60784304159415</v>
      </c>
      <c r="L36" s="39">
        <f>Balance_Sheet!L35-Balance_Sheet!K35</f>
        <v>189.75025520410782</v>
      </c>
      <c r="M36" s="39">
        <f>Balance_Sheet!M35-Balance_Sheet!L35</f>
        <v>224.26669077295082</v>
      </c>
      <c r="N36" s="39">
        <f>Balance_Sheet!N35-Balance_Sheet!M35</f>
        <v>265.15901695155731</v>
      </c>
      <c r="O36" s="39">
        <f>Balance_Sheet!O35-Balance_Sheet!N35</f>
        <v>313.61744605296076</v>
      </c>
      <c r="P36" s="39">
        <f>Balance_Sheet!P35-Balance_Sheet!O35</f>
        <v>371.05619400303021</v>
      </c>
      <c r="Q36" s="39">
        <f>Balance_Sheet!Q35-Balance_Sheet!P35</f>
        <v>439.15593245753644</v>
      </c>
    </row>
    <row r="37" spans="2:17" x14ac:dyDescent="0.15">
      <c r="B37" s="6" t="s">
        <v>44</v>
      </c>
      <c r="D37" s="13">
        <f>Balance_Sheet!D36-Balance_Sheet!C36</f>
        <v>-3373</v>
      </c>
      <c r="E37" s="13">
        <f>Balance_Sheet!E36-Balance_Sheet!D36</f>
        <v>3795.1000000000004</v>
      </c>
      <c r="F37" s="13">
        <f>Balance_Sheet!F36-Balance_Sheet!E36</f>
        <v>5868.869999999999</v>
      </c>
      <c r="G37" s="13">
        <f>Balance_Sheet!G36-Balance_Sheet!F36</f>
        <v>4659.9200000000019</v>
      </c>
      <c r="H37" s="39">
        <f>Balance_Sheet!H36-Balance_Sheet!G36</f>
        <v>7622.3828132226336</v>
      </c>
      <c r="I37" s="39">
        <f>Balance_Sheet!I36-Balance_Sheet!H36</f>
        <v>5841.4178819504377</v>
      </c>
      <c r="J37" s="39">
        <f>Balance_Sheet!J36-Balance_Sheet!I36</f>
        <v>6895.6513220816123</v>
      </c>
      <c r="K37" s="39">
        <f>Balance_Sheet!K36-Balance_Sheet!J36</f>
        <v>8143.5916014605973</v>
      </c>
      <c r="L37" s="39">
        <f>Balance_Sheet!L36-Balance_Sheet!K36</f>
        <v>9621.2523335799342</v>
      </c>
      <c r="M37" s="39">
        <f>Balance_Sheet!M36-Balance_Sheet!L36</f>
        <v>11371.40194948623</v>
      </c>
      <c r="N37" s="39">
        <f>Balance_Sheet!N36-Balance_Sheet!M36</f>
        <v>13444.839944329651</v>
      </c>
      <c r="O37" s="39">
        <f>Balance_Sheet!O36-Balance_Sheet!N36</f>
        <v>15901.915817940375</v>
      </c>
      <c r="P37" s="39">
        <f>Balance_Sheet!P36-Balance_Sheet!O36</f>
        <v>18814.337132779052</v>
      </c>
      <c r="Q37" s="39">
        <f>Balance_Sheet!Q36-Balance_Sheet!P36</f>
        <v>22267.322040845786</v>
      </c>
    </row>
    <row r="38" spans="2:17" x14ac:dyDescent="0.15">
      <c r="B38" s="6" t="s">
        <v>45</v>
      </c>
      <c r="D38" s="13">
        <f>Balance_Sheet!D37-Balance_Sheet!C37</f>
        <v>-669.02999999999975</v>
      </c>
      <c r="E38" s="13">
        <f>Balance_Sheet!E37-Balance_Sheet!D37</f>
        <v>2842.24</v>
      </c>
      <c r="F38" s="13">
        <f>Balance_Sheet!F37-Balance_Sheet!E37</f>
        <v>4430.12</v>
      </c>
      <c r="G38" s="13">
        <f>Balance_Sheet!G37-Balance_Sheet!F37</f>
        <v>5198.5400000000009</v>
      </c>
      <c r="H38" s="39">
        <f>Balance_Sheet!H37-Balance_Sheet!G37</f>
        <v>-827.83674522840556</v>
      </c>
      <c r="I38" s="39">
        <f>Balance_Sheet!I37-Balance_Sheet!H37</f>
        <v>2671.2279974552366</v>
      </c>
      <c r="J38" s="39">
        <f>Balance_Sheet!J37-Balance_Sheet!I37</f>
        <v>3153.3194927124896</v>
      </c>
      <c r="K38" s="39">
        <f>Balance_Sheet!K37-Balance_Sheet!J37</f>
        <v>3723.9913879264313</v>
      </c>
      <c r="L38" s="39">
        <f>Balance_Sheet!L37-Balance_Sheet!K37</f>
        <v>4399.7123854900201</v>
      </c>
      <c r="M38" s="39">
        <f>Balance_Sheet!M37-Balance_Sheet!L37</f>
        <v>5200.0401052701891</v>
      </c>
      <c r="N38" s="39">
        <f>Balance_Sheet!N37-Balance_Sheet!M37</f>
        <v>6148.204700706352</v>
      </c>
      <c r="O38" s="39">
        <f>Balance_Sheet!O37-Balance_Sheet!N37</f>
        <v>7271.8034567106588</v>
      </c>
      <c r="P38" s="39">
        <f>Balance_Sheet!P37-Balance_Sheet!O37</f>
        <v>8603.6275983494997</v>
      </c>
      <c r="Q38" s="39">
        <f>Balance_Sheet!Q37-Balance_Sheet!P37</f>
        <v>10182.646622090091</v>
      </c>
    </row>
    <row r="39" spans="2:17" x14ac:dyDescent="0.15">
      <c r="B39" s="6" t="s">
        <v>46</v>
      </c>
      <c r="D39" s="13">
        <f>Balance_Sheet!D38-Balance_Sheet!C38</f>
        <v>754.70999999999913</v>
      </c>
      <c r="E39" s="13">
        <f>Balance_Sheet!E38-Balance_Sheet!D38</f>
        <v>28209.96</v>
      </c>
      <c r="F39" s="13">
        <f>Balance_Sheet!F38-Balance_Sheet!E38</f>
        <v>9854.1999999999971</v>
      </c>
      <c r="G39" s="13">
        <f>Balance_Sheet!G38-Balance_Sheet!F38</f>
        <v>11415.559999999998</v>
      </c>
      <c r="H39" s="39">
        <f>Balance_Sheet!H38-Balance_Sheet!G38</f>
        <v>46247.739194760012</v>
      </c>
      <c r="I39" s="39">
        <f>Balance_Sheet!I38-Balance_Sheet!H38</f>
        <v>26698.885407094494</v>
      </c>
      <c r="J39" s="39">
        <f>Balance_Sheet!J38-Balance_Sheet!I38</f>
        <v>31517.382966969599</v>
      </c>
      <c r="K39" s="39">
        <f>Balance_Sheet!K38-Balance_Sheet!J38</f>
        <v>37221.240350121283</v>
      </c>
      <c r="L39" s="39">
        <f>Balance_Sheet!L38-Balance_Sheet!K38</f>
        <v>43975.062000053294</v>
      </c>
      <c r="M39" s="39">
        <f>Balance_Sheet!M38-Balance_Sheet!L38</f>
        <v>51974.326045985799</v>
      </c>
      <c r="N39" s="39">
        <f>Balance_Sheet!N38-Balance_Sheet!M38</f>
        <v>61451.217537363817</v>
      </c>
      <c r="O39" s="39">
        <f>Balance_Sheet!O38-Balance_Sheet!N38</f>
        <v>72681.570939878118</v>
      </c>
      <c r="P39" s="39">
        <f>Balance_Sheet!P38-Balance_Sheet!O38</f>
        <v>85993.134076342802</v>
      </c>
      <c r="Q39" s="39">
        <f>Balance_Sheet!Q38-Balance_Sheet!P38</f>
        <v>101775.40650334419</v>
      </c>
    </row>
    <row r="40" spans="2:17" x14ac:dyDescent="0.15">
      <c r="H40" s="39"/>
      <c r="I40" s="39"/>
      <c r="J40" s="39"/>
      <c r="K40" s="39"/>
      <c r="L40" s="39"/>
      <c r="M40" s="39"/>
      <c r="N40" s="39"/>
      <c r="O40" s="39"/>
      <c r="P40" s="39"/>
      <c r="Q40" s="39"/>
    </row>
    <row r="41" spans="2:17" x14ac:dyDescent="0.15">
      <c r="B41" s="15" t="s">
        <v>160</v>
      </c>
      <c r="C41" s="29"/>
      <c r="D41" s="29">
        <f>SUM(D17:D28)-SUM(D30:D39)</f>
        <v>-18384.237262774743</v>
      </c>
      <c r="E41" s="29">
        <f t="shared" ref="E41:Q41" si="0">SUM(E17:E28)-SUM(E30:E39)</f>
        <v>25539.880000000005</v>
      </c>
      <c r="F41" s="29">
        <f t="shared" si="0"/>
        <v>63554.119999999995</v>
      </c>
      <c r="G41" s="29">
        <f t="shared" si="0"/>
        <v>74756.248888303322</v>
      </c>
      <c r="H41" s="38">
        <f t="shared" si="0"/>
        <v>172334.27820610179</v>
      </c>
      <c r="I41" s="38">
        <f t="shared" si="0"/>
        <v>159812.8235744455</v>
      </c>
      <c r="J41" s="38">
        <f t="shared" si="0"/>
        <v>189305.72240001737</v>
      </c>
      <c r="K41" s="38">
        <f t="shared" si="0"/>
        <v>225849.44070737169</v>
      </c>
      <c r="L41" s="38">
        <f t="shared" si="0"/>
        <v>267632.19378156564</v>
      </c>
      <c r="M41" s="38">
        <f t="shared" si="0"/>
        <v>319594.79018732451</v>
      </c>
      <c r="N41" s="38">
        <f t="shared" si="0"/>
        <v>378925.37273961469</v>
      </c>
      <c r="O41" s="38">
        <f t="shared" si="0"/>
        <v>452650.10849817563</v>
      </c>
      <c r="P41" s="38">
        <f t="shared" si="0"/>
        <v>536985.32747810893</v>
      </c>
      <c r="Q41" s="38">
        <f t="shared" si="0"/>
        <v>641735.97636219882</v>
      </c>
    </row>
    <row r="42" spans="2:17" x14ac:dyDescent="0.15">
      <c r="H42" s="39"/>
      <c r="I42" s="39"/>
      <c r="J42" s="39"/>
      <c r="K42" s="39"/>
      <c r="L42" s="39"/>
      <c r="M42" s="39"/>
      <c r="N42" s="39"/>
      <c r="O42" s="39"/>
      <c r="P42" s="39"/>
      <c r="Q42" s="39"/>
    </row>
    <row r="43" spans="2:17" x14ac:dyDescent="0.15">
      <c r="H43" s="39"/>
      <c r="I43" s="39"/>
      <c r="J43" s="39"/>
      <c r="K43" s="39"/>
      <c r="L43" s="39"/>
      <c r="M43" s="39"/>
      <c r="N43" s="39"/>
      <c r="O43" s="39"/>
      <c r="P43" s="39"/>
      <c r="Q43" s="39"/>
    </row>
    <row r="44" spans="2:17" x14ac:dyDescent="0.15">
      <c r="H44" s="39"/>
      <c r="I44" s="39"/>
      <c r="J44" s="39"/>
      <c r="K44" s="39"/>
      <c r="L44" s="39"/>
      <c r="M44" s="39"/>
      <c r="N44" s="39"/>
      <c r="O44" s="39"/>
      <c r="P44" s="39"/>
      <c r="Q44" s="39"/>
    </row>
    <row r="45" spans="2:17" ht="18" x14ac:dyDescent="0.2">
      <c r="B45" s="84" t="s">
        <v>171</v>
      </c>
      <c r="C45" s="84"/>
      <c r="D45" s="84"/>
      <c r="E45" s="84"/>
      <c r="F45" s="84"/>
      <c r="G45" s="84"/>
      <c r="H45" s="84"/>
      <c r="I45" s="84"/>
      <c r="J45" s="84"/>
      <c r="K45" s="84"/>
      <c r="L45" s="84"/>
      <c r="M45" s="84"/>
      <c r="N45" s="84"/>
      <c r="O45" s="84"/>
      <c r="P45" s="84"/>
      <c r="Q45" s="84"/>
    </row>
    <row r="46" spans="2:17" x14ac:dyDescent="0.15">
      <c r="H46" s="39"/>
      <c r="I46" s="39"/>
      <c r="J46" s="39"/>
      <c r="K46" s="39"/>
      <c r="L46" s="39"/>
      <c r="M46" s="39"/>
      <c r="N46" s="39"/>
      <c r="O46" s="39"/>
      <c r="P46" s="39"/>
      <c r="Q46" s="39"/>
    </row>
    <row r="47" spans="2:17" x14ac:dyDescent="0.15">
      <c r="B47" s="6" t="s">
        <v>17</v>
      </c>
      <c r="D47" s="13">
        <f>Income_Statement!D36</f>
        <v>8498.3799999999992</v>
      </c>
      <c r="E47" s="13">
        <f>Income_Statement!E36</f>
        <v>7590.38</v>
      </c>
      <c r="F47" s="13">
        <f>Income_Statement!F36</f>
        <v>12043.05</v>
      </c>
      <c r="G47" s="13">
        <f>Income_Statement!G36</f>
        <v>16447.77</v>
      </c>
      <c r="H47" s="39">
        <f>Income_Statement!H36</f>
        <v>19312.697939921243</v>
      </c>
      <c r="I47" s="39">
        <f>Income_Statement!I36</f>
        <v>22693.172335746989</v>
      </c>
      <c r="J47" s="39">
        <f>Income_Statement!J36</f>
        <v>26683.739901348967</v>
      </c>
      <c r="K47" s="39">
        <f>Income_Statement!K36</f>
        <v>31396.500305610127</v>
      </c>
      <c r="L47" s="39">
        <f>Income_Statement!L36</f>
        <v>36964.394578324922</v>
      </c>
      <c r="M47" s="39">
        <f>Income_Statement!M36</f>
        <v>43545.114176157542</v>
      </c>
      <c r="N47" s="39">
        <f>Income_Statement!N36</f>
        <v>51325.748622499515</v>
      </c>
      <c r="O47" s="39">
        <f>Income_Statement!O36</f>
        <v>60528.312170165926</v>
      </c>
      <c r="P47" s="39">
        <f>Income_Statement!P36</f>
        <v>71416.316801424517</v>
      </c>
      <c r="Q47" s="39">
        <f>Income_Statement!Q36</f>
        <v>84302.590912249041</v>
      </c>
    </row>
    <row r="48" spans="2:17" x14ac:dyDescent="0.15">
      <c r="B48" s="82" t="s">
        <v>156</v>
      </c>
      <c r="H48" s="39"/>
      <c r="I48" s="39"/>
      <c r="J48" s="39"/>
      <c r="K48" s="39"/>
      <c r="L48" s="39"/>
      <c r="M48" s="39"/>
      <c r="N48" s="39"/>
      <c r="O48" s="39"/>
      <c r="P48" s="39"/>
      <c r="Q48" s="39"/>
    </row>
    <row r="49" spans="2:17" x14ac:dyDescent="0.15">
      <c r="B49" s="15" t="s">
        <v>161</v>
      </c>
      <c r="H49" s="39"/>
      <c r="I49" s="39"/>
      <c r="J49" s="39"/>
      <c r="K49" s="39"/>
      <c r="L49" s="39"/>
      <c r="M49" s="39"/>
      <c r="N49" s="39"/>
      <c r="O49" s="39"/>
      <c r="P49" s="39"/>
      <c r="Q49" s="39"/>
    </row>
    <row r="50" spans="2:17" ht="30" x14ac:dyDescent="0.15">
      <c r="B50" s="7" t="s">
        <v>162</v>
      </c>
      <c r="D50" s="83">
        <f>Fixed_Asset_Schedule!D223</f>
        <v>7300.6600000000071</v>
      </c>
      <c r="E50" s="83">
        <f>Fixed_Asset_Schedule!E223</f>
        <v>7305.9600000000028</v>
      </c>
      <c r="F50" s="83">
        <f>Fixed_Asset_Schedule!F223</f>
        <v>6924.3400000000038</v>
      </c>
      <c r="G50" s="83">
        <f>Fixed_Asset_Schedule!G223</f>
        <v>4769.786533333332</v>
      </c>
      <c r="H50" s="65">
        <f>Fixed_Asset_Schedule!H223</f>
        <v>7786.2566666666753</v>
      </c>
      <c r="I50" s="65">
        <f>Fixed_Asset_Schedule!I223</f>
        <v>7786.256666666668</v>
      </c>
      <c r="J50" s="65">
        <f>Fixed_Asset_Schedule!J223</f>
        <v>8081.0091093333322</v>
      </c>
      <c r="K50" s="65">
        <f>Fixed_Asset_Schedule!K223</f>
        <v>8097.7069333333275</v>
      </c>
      <c r="L50" s="65">
        <f>Fixed_Asset_Schedule!L223</f>
        <v>8097.7069333333275</v>
      </c>
      <c r="M50" s="65">
        <f>Fixed_Asset_Schedule!M223</f>
        <v>8404.2494737066736</v>
      </c>
      <c r="N50" s="65">
        <f>Fixed_Asset_Schedule!N223</f>
        <v>8421.6152106666705</v>
      </c>
      <c r="O50" s="65">
        <f>Fixed_Asset_Schedule!O223</f>
        <v>8421.6152106666705</v>
      </c>
      <c r="P50" s="65">
        <f>Fixed_Asset_Schedule!P223</f>
        <v>8740.4194526549254</v>
      </c>
      <c r="Q50" s="65">
        <f>Fixed_Asset_Schedule!Q223</f>
        <v>8758.4798190933361</v>
      </c>
    </row>
    <row r="51" spans="2:17" x14ac:dyDescent="0.15">
      <c r="B51" s="6" t="s">
        <v>163</v>
      </c>
      <c r="D51" s="13">
        <f>Fixed_Asset_Schedule!D226</f>
        <v>809.52</v>
      </c>
      <c r="E51" s="13">
        <f>Fixed_Asset_Schedule!E226</f>
        <v>186.65000000000009</v>
      </c>
      <c r="F51" s="13">
        <f>Fixed_Asset_Schedule!F226</f>
        <v>762.11000000000013</v>
      </c>
      <c r="G51" s="13">
        <f>Fixed_Asset_Schedule!G226</f>
        <v>40872.76</v>
      </c>
      <c r="H51" s="39">
        <f>Fixed_Asset_Schedule!H226</f>
        <v>-40833.512933333332</v>
      </c>
      <c r="I51" s="39">
        <f>Fixed_Asset_Schedule!I226</f>
        <v>609.53706666666676</v>
      </c>
      <c r="J51" s="39">
        <f>Fixed_Asset_Schedule!J226</f>
        <v>609.53706666666676</v>
      </c>
      <c r="K51" s="39">
        <f>Fixed_Asset_Schedule!K226</f>
        <v>633.91854933333343</v>
      </c>
      <c r="L51" s="39">
        <f>Fixed_Asset_Schedule!L226</f>
        <v>633.91854933333343</v>
      </c>
      <c r="M51" s="39">
        <f>Fixed_Asset_Schedule!M226</f>
        <v>633.91854933333343</v>
      </c>
      <c r="N51" s="39">
        <f>Fixed_Asset_Schedule!N226</f>
        <v>659.27529130666676</v>
      </c>
      <c r="O51" s="39">
        <f>Fixed_Asset_Schedule!O226</f>
        <v>659.27529130666676</v>
      </c>
      <c r="P51" s="39">
        <f>Fixed_Asset_Schedule!P226</f>
        <v>659.27529130666676</v>
      </c>
      <c r="Q51" s="39">
        <f>Fixed_Asset_Schedule!Q226</f>
        <v>685.64630295893346</v>
      </c>
    </row>
    <row r="52" spans="2:17" x14ac:dyDescent="0.15">
      <c r="B52" s="6" t="s">
        <v>33</v>
      </c>
      <c r="D52" s="13">
        <f>Balance_Sheet!D22-Balance_Sheet!C22</f>
        <v>-0.32</v>
      </c>
      <c r="E52" s="13">
        <f>Balance_Sheet!E22-Balance_Sheet!D22</f>
        <v>0</v>
      </c>
      <c r="F52" s="13">
        <f>Balance_Sheet!F22-Balance_Sheet!E22</f>
        <v>0</v>
      </c>
      <c r="G52" s="13">
        <f>Balance_Sheet!G22-Balance_Sheet!F22</f>
        <v>0</v>
      </c>
      <c r="H52" s="39">
        <f>Balance_Sheet!H22-Balance_Sheet!G22</f>
        <v>0.17714762535349235</v>
      </c>
      <c r="I52" s="39">
        <f>Balance_Sheet!I22-Balance_Sheet!H22</f>
        <v>3.10077345822794E-2</v>
      </c>
      <c r="J52" s="39">
        <f>Balance_Sheet!J22-Balance_Sheet!I22</f>
        <v>3.6603874314100115E-2</v>
      </c>
      <c r="K52" s="39">
        <f>Balance_Sheet!K22-Balance_Sheet!J22</f>
        <v>4.3228259307525524E-2</v>
      </c>
      <c r="L52" s="39">
        <f>Balance_Sheet!L22-Balance_Sheet!K22</f>
        <v>5.1072058999684089E-2</v>
      </c>
      <c r="M52" s="39">
        <f>Balance_Sheet!M22-Balance_Sheet!L22</f>
        <v>6.0362299120492124E-2</v>
      </c>
      <c r="N52" s="39">
        <f>Balance_Sheet!N22-Balance_Sheet!M22</f>
        <v>7.1368636334540325E-2</v>
      </c>
      <c r="O52" s="39">
        <f>Balance_Sheet!O22-Balance_Sheet!N22</f>
        <v>8.4411421164720168E-2</v>
      </c>
      <c r="P52" s="39">
        <f>Balance_Sheet!P22-Balance_Sheet!O22</f>
        <v>9.9871295624538226E-2</v>
      </c>
      <c r="Q52" s="39">
        <f>Balance_Sheet!Q22-Balance_Sheet!P22</f>
        <v>0.11820061937944126</v>
      </c>
    </row>
    <row r="53" spans="2:17" x14ac:dyDescent="0.15">
      <c r="B53" s="6" t="s">
        <v>34</v>
      </c>
      <c r="D53" s="13">
        <f>Balance_Sheet!D23-Balance_Sheet!C23</f>
        <v>-18.14</v>
      </c>
      <c r="E53" s="13">
        <f>Balance_Sheet!E23-Balance_Sheet!D23</f>
        <v>0</v>
      </c>
      <c r="F53" s="13">
        <f>Balance_Sheet!F23-Balance_Sheet!E23</f>
        <v>0</v>
      </c>
      <c r="G53" s="13">
        <f>Balance_Sheet!G23-Balance_Sheet!F23</f>
        <v>0</v>
      </c>
      <c r="H53" s="39">
        <f>Balance_Sheet!H23-Balance_Sheet!G23</f>
        <v>10.042056012226098</v>
      </c>
      <c r="I53" s="39">
        <f>Balance_Sheet!I23-Balance_Sheet!H23</f>
        <v>1.7577509541329643</v>
      </c>
      <c r="J53" s="39">
        <f>Balance_Sheet!J23-Balance_Sheet!I23</f>
        <v>2.0749821251805489</v>
      </c>
      <c r="K53" s="39">
        <f>Balance_Sheet!K23-Balance_Sheet!J23</f>
        <v>2.4505019494953508</v>
      </c>
      <c r="L53" s="39">
        <f>Balance_Sheet!L23-Balance_Sheet!K23</f>
        <v>2.8951473445445934</v>
      </c>
      <c r="M53" s="39">
        <f>Balance_Sheet!M23-Balance_Sheet!L23</f>
        <v>3.4217878313928978</v>
      </c>
      <c r="N53" s="39">
        <f>Balance_Sheet!N23-Balance_Sheet!M23</f>
        <v>4.0457095722142569</v>
      </c>
      <c r="O53" s="39">
        <f>Balance_Sheet!O23-Balance_Sheet!N23</f>
        <v>4.7850724372750726</v>
      </c>
      <c r="P53" s="39">
        <f>Balance_Sheet!P23-Balance_Sheet!O23</f>
        <v>5.6614540707160081</v>
      </c>
      <c r="Q53" s="39">
        <f>Balance_Sheet!Q23-Balance_Sheet!P23</f>
        <v>6.7004976110720804</v>
      </c>
    </row>
    <row r="54" spans="2:17" x14ac:dyDescent="0.15">
      <c r="B54" s="6" t="s">
        <v>35</v>
      </c>
      <c r="D54" s="13">
        <f>Balance_Sheet!D24-Balance_Sheet!C24</f>
        <v>19.22</v>
      </c>
      <c r="E54" s="13">
        <f>Balance_Sheet!E24-Balance_Sheet!D24</f>
        <v>7.0799999999999983</v>
      </c>
      <c r="F54" s="13">
        <f>Balance_Sheet!F24-Balance_Sheet!E24</f>
        <v>60.040000000000006</v>
      </c>
      <c r="G54" s="13">
        <f>Balance_Sheet!G24-Balance_Sheet!F24</f>
        <v>22.789999999999992</v>
      </c>
      <c r="H54" s="39">
        <f>Balance_Sheet!H24-Balance_Sheet!G24</f>
        <v>-21.987903890784494</v>
      </c>
      <c r="I54" s="39">
        <f>Balance_Sheet!I24-Balance_Sheet!H24</f>
        <v>16.664075072643996</v>
      </c>
      <c r="J54" s="39">
        <f>Balance_Sheet!J24-Balance_Sheet!I24</f>
        <v>19.6715341425936</v>
      </c>
      <c r="K54" s="39">
        <f>Balance_Sheet!K24-Balance_Sheet!J24</f>
        <v>23.231589410340348</v>
      </c>
      <c r="L54" s="39">
        <f>Balance_Sheet!L24-Balance_Sheet!K24</f>
        <v>27.44697852811268</v>
      </c>
      <c r="M54" s="39">
        <f>Balance_Sheet!M24-Balance_Sheet!L24</f>
        <v>32.439708919468245</v>
      </c>
      <c r="N54" s="39">
        <f>Balance_Sheet!N24-Balance_Sheet!M24</f>
        <v>38.354698585129</v>
      </c>
      <c r="O54" s="39">
        <f>Balance_Sheet!O24-Balance_Sheet!N24</f>
        <v>45.364109252965108</v>
      </c>
      <c r="P54" s="39">
        <f>Balance_Sheet!P24-Balance_Sheet!O24</f>
        <v>53.672504306091241</v>
      </c>
      <c r="Q54" s="39">
        <f>Balance_Sheet!Q24-Balance_Sheet!P24</f>
        <v>63.522989393030173</v>
      </c>
    </row>
    <row r="55" spans="2:17" x14ac:dyDescent="0.15">
      <c r="B55" s="6" t="s">
        <v>36</v>
      </c>
      <c r="D55" s="13">
        <f>Balance_Sheet!D25-Balance_Sheet!C25</f>
        <v>961.27999999999975</v>
      </c>
      <c r="E55" s="13">
        <f>Balance_Sheet!E25-Balance_Sheet!D25</f>
        <v>1839.4699999999993</v>
      </c>
      <c r="F55" s="13">
        <f>Balance_Sheet!F25-Balance_Sheet!E25</f>
        <v>3581.74</v>
      </c>
      <c r="G55" s="13">
        <f>Balance_Sheet!G25-Balance_Sheet!F25</f>
        <v>1073.4000000000015</v>
      </c>
      <c r="H55" s="39">
        <f>Balance_Sheet!H25-Balance_Sheet!G25</f>
        <v>4654.5895809668837</v>
      </c>
      <c r="I55" s="39">
        <f>Balance_Sheet!I25-Balance_Sheet!H25</f>
        <v>3287.7477985762634</v>
      </c>
      <c r="J55" s="39">
        <f>Balance_Sheet!J25-Balance_Sheet!I25</f>
        <v>3881.1060793947981</v>
      </c>
      <c r="K55" s="39">
        <f>Balance_Sheet!K25-Balance_Sheet!J25</f>
        <v>4583.4891290582382</v>
      </c>
      <c r="L55" s="39">
        <f>Balance_Sheet!L25-Balance_Sheet!K25</f>
        <v>5415.1666288103661</v>
      </c>
      <c r="M55" s="39">
        <f>Balance_Sheet!M25-Balance_Sheet!L25</f>
        <v>6400.2100999605245</v>
      </c>
      <c r="N55" s="39">
        <f>Balance_Sheet!N25-Balance_Sheet!M25</f>
        <v>7567.2112186606028</v>
      </c>
      <c r="O55" s="39">
        <f>Balance_Sheet!O25-Balance_Sheet!N25</f>
        <v>8950.1367270991905</v>
      </c>
      <c r="P55" s="39">
        <f>Balance_Sheet!P25-Balance_Sheet!O25</f>
        <v>10589.346069744301</v>
      </c>
      <c r="Q55" s="39">
        <f>Balance_Sheet!Q25-Balance_Sheet!P25</f>
        <v>12532.802908381374</v>
      </c>
    </row>
    <row r="56" spans="2:17" x14ac:dyDescent="0.15">
      <c r="B56" s="6" t="s">
        <v>37</v>
      </c>
      <c r="D56" s="13">
        <f>Balance_Sheet!D26-Balance_Sheet!C26</f>
        <v>781.08999999999969</v>
      </c>
      <c r="E56" s="13">
        <f>Balance_Sheet!E26-Balance_Sheet!D26</f>
        <v>1539.9</v>
      </c>
      <c r="F56" s="13">
        <f>Balance_Sheet!F26-Balance_Sheet!E26</f>
        <v>17125.739999999998</v>
      </c>
      <c r="G56" s="13">
        <f>Balance_Sheet!G26-Balance_Sheet!F26</f>
        <v>-20146.559999999998</v>
      </c>
      <c r="H56" s="39">
        <f>Balance_Sheet!H26-Balance_Sheet!G26</f>
        <v>11206.28290059587</v>
      </c>
      <c r="I56" s="39">
        <f>Balance_Sheet!I26-Balance_Sheet!H26</f>
        <v>2298.6557770474683</v>
      </c>
      <c r="J56" s="39">
        <f>Balance_Sheet!J26-Balance_Sheet!I26</f>
        <v>2713.5070745384455</v>
      </c>
      <c r="K56" s="39">
        <f>Balance_Sheet!K26-Balance_Sheet!J26</f>
        <v>3204.5839313181095</v>
      </c>
      <c r="L56" s="39">
        <f>Balance_Sheet!L26-Balance_Sheet!K26</f>
        <v>3786.0580608950477</v>
      </c>
      <c r="M56" s="39">
        <f>Balance_Sheet!M26-Balance_Sheet!L26</f>
        <v>4474.7592643701828</v>
      </c>
      <c r="N56" s="39">
        <f>Balance_Sheet!N26-Balance_Sheet!M26</f>
        <v>5290.6776460910769</v>
      </c>
      <c r="O56" s="39">
        <f>Balance_Sheet!O26-Balance_Sheet!N26</f>
        <v>6257.5613318090836</v>
      </c>
      <c r="P56" s="39">
        <f>Balance_Sheet!P26-Balance_Sheet!O26</f>
        <v>7403.6279573857319</v>
      </c>
      <c r="Q56" s="39">
        <f>Balance_Sheet!Q26-Balance_Sheet!P26</f>
        <v>8762.4117094454414</v>
      </c>
    </row>
    <row r="57" spans="2:17" x14ac:dyDescent="0.15">
      <c r="H57" s="39"/>
      <c r="I57" s="39"/>
      <c r="J57" s="39"/>
      <c r="K57" s="39"/>
      <c r="L57" s="39"/>
      <c r="M57" s="39"/>
      <c r="N57" s="39"/>
      <c r="O57" s="39"/>
      <c r="P57" s="39"/>
      <c r="Q57" s="39"/>
    </row>
    <row r="58" spans="2:17" x14ac:dyDescent="0.15">
      <c r="B58" s="15" t="s">
        <v>164</v>
      </c>
      <c r="D58" s="29">
        <f t="shared" ref="D58:Q58" si="1">D47-SUM(D50:D56)</f>
        <v>-1354.9300000000094</v>
      </c>
      <c r="E58" s="29">
        <f t="shared" si="1"/>
        <v>-3288.6800000000012</v>
      </c>
      <c r="F58" s="29">
        <f t="shared" si="1"/>
        <v>-16410.920000000002</v>
      </c>
      <c r="G58" s="29">
        <f t="shared" si="1"/>
        <v>-10144.406533333338</v>
      </c>
      <c r="H58" s="38">
        <f t="shared" si="1"/>
        <v>36510.850425278346</v>
      </c>
      <c r="I58" s="38">
        <f t="shared" si="1"/>
        <v>8692.5221930285625</v>
      </c>
      <c r="J58" s="38">
        <f t="shared" si="1"/>
        <v>11376.797451273635</v>
      </c>
      <c r="K58" s="38">
        <f t="shared" si="1"/>
        <v>14851.076442947975</v>
      </c>
      <c r="L58" s="38">
        <f t="shared" si="1"/>
        <v>19001.151208021191</v>
      </c>
      <c r="M58" s="38">
        <f t="shared" si="1"/>
        <v>23596.054929736849</v>
      </c>
      <c r="N58" s="38">
        <f t="shared" si="1"/>
        <v>29344.497478980818</v>
      </c>
      <c r="O58" s="38">
        <f t="shared" si="1"/>
        <v>36189.490016172909</v>
      </c>
      <c r="P58" s="38">
        <f t="shared" si="1"/>
        <v>43964.214200660463</v>
      </c>
      <c r="Q58" s="38">
        <f t="shared" si="1"/>
        <v>53492.908484746469</v>
      </c>
    </row>
    <row r="59" spans="2:17" x14ac:dyDescent="0.15">
      <c r="H59" s="39"/>
      <c r="I59" s="39"/>
      <c r="J59" s="39"/>
      <c r="K59" s="39"/>
      <c r="L59" s="39"/>
      <c r="M59" s="39"/>
      <c r="N59" s="39"/>
      <c r="O59" s="39"/>
      <c r="P59" s="39"/>
      <c r="Q59" s="39"/>
    </row>
    <row r="60" spans="2:17" x14ac:dyDescent="0.15">
      <c r="H60" s="39"/>
      <c r="I60" s="39"/>
      <c r="J60" s="39"/>
      <c r="K60" s="39"/>
      <c r="L60" s="39"/>
      <c r="M60" s="39"/>
      <c r="N60" s="39"/>
      <c r="O60" s="39"/>
      <c r="P60" s="39"/>
      <c r="Q60" s="39"/>
    </row>
    <row r="61" spans="2:17" ht="18" x14ac:dyDescent="0.2">
      <c r="B61" s="84" t="s">
        <v>172</v>
      </c>
      <c r="C61" s="84"/>
      <c r="D61" s="84"/>
      <c r="E61" s="84"/>
      <c r="F61" s="84"/>
      <c r="G61" s="84"/>
      <c r="H61" s="84"/>
      <c r="I61" s="84"/>
      <c r="J61" s="84"/>
      <c r="K61" s="84"/>
      <c r="L61" s="84"/>
      <c r="M61" s="84"/>
      <c r="N61" s="84"/>
      <c r="O61" s="84"/>
      <c r="P61" s="84"/>
      <c r="Q61" s="84"/>
    </row>
    <row r="62" spans="2:17" x14ac:dyDescent="0.15">
      <c r="H62" s="39"/>
      <c r="I62" s="39"/>
      <c r="J62" s="39"/>
      <c r="K62" s="39"/>
      <c r="L62" s="39"/>
      <c r="M62" s="39"/>
      <c r="N62" s="39"/>
      <c r="O62" s="39"/>
      <c r="P62" s="39"/>
      <c r="Q62" s="39"/>
    </row>
    <row r="63" spans="2:17" x14ac:dyDescent="0.15">
      <c r="B63" s="15" t="s">
        <v>165</v>
      </c>
      <c r="H63" s="39"/>
      <c r="I63" s="39"/>
      <c r="J63" s="39"/>
      <c r="K63" s="39"/>
      <c r="L63" s="39"/>
      <c r="M63" s="39"/>
      <c r="N63" s="39"/>
      <c r="O63" s="39"/>
      <c r="P63" s="39"/>
      <c r="Q63" s="39"/>
    </row>
    <row r="64" spans="2:17" x14ac:dyDescent="0.15">
      <c r="B64" s="6" t="s">
        <v>56</v>
      </c>
      <c r="D64" s="13">
        <f>Balance_Sheet!D53-Balance_Sheet!C53</f>
        <v>0</v>
      </c>
      <c r="E64" s="13">
        <f>Balance_Sheet!E53-Balance_Sheet!D53</f>
        <v>0</v>
      </c>
      <c r="F64" s="13">
        <f>Balance_Sheet!F53-Balance_Sheet!E53</f>
        <v>0</v>
      </c>
      <c r="G64" s="13">
        <f>Balance_Sheet!G53-Balance_Sheet!F53</f>
        <v>0</v>
      </c>
      <c r="H64" s="39">
        <f>Balance_Sheet!H53-Balance_Sheet!G53</f>
        <v>0</v>
      </c>
      <c r="I64" s="39">
        <f>Balance_Sheet!I53-Balance_Sheet!H53</f>
        <v>0</v>
      </c>
      <c r="J64" s="39">
        <f>Balance_Sheet!J53-Balance_Sheet!I53</f>
        <v>0</v>
      </c>
      <c r="K64" s="39">
        <f>Balance_Sheet!K53-Balance_Sheet!J53</f>
        <v>0</v>
      </c>
      <c r="L64" s="39">
        <f>Balance_Sheet!L53-Balance_Sheet!K53</f>
        <v>0</v>
      </c>
      <c r="M64" s="39">
        <f>Balance_Sheet!M53-Balance_Sheet!L53</f>
        <v>0</v>
      </c>
      <c r="N64" s="39">
        <f>Balance_Sheet!N53-Balance_Sheet!M53</f>
        <v>0</v>
      </c>
      <c r="O64" s="39">
        <f>Balance_Sheet!O53-Balance_Sheet!N53</f>
        <v>0</v>
      </c>
      <c r="P64" s="39">
        <f>Balance_Sheet!P53-Balance_Sheet!O53</f>
        <v>0</v>
      </c>
      <c r="Q64" s="39">
        <f>Balance_Sheet!Q53-Balance_Sheet!P53</f>
        <v>0</v>
      </c>
    </row>
    <row r="65" spans="2:17" x14ac:dyDescent="0.15">
      <c r="B65" s="6" t="s">
        <v>57</v>
      </c>
      <c r="D65" s="13">
        <f>Balance_Sheet!D54-Balance_Sheet!C54</f>
        <v>387.09000000000015</v>
      </c>
      <c r="E65" s="13">
        <f>Balance_Sheet!E54-Balance_Sheet!D54</f>
        <v>2272.4899999999998</v>
      </c>
      <c r="F65" s="13">
        <f>Balance_Sheet!F54-Balance_Sheet!E54</f>
        <v>-2397.63</v>
      </c>
      <c r="G65" s="13">
        <f>Balance_Sheet!G54-Balance_Sheet!F54</f>
        <v>-1765.37</v>
      </c>
      <c r="H65" s="39">
        <f>Balance_Sheet!H54-Balance_Sheet!G54</f>
        <v>7864.3347750088142</v>
      </c>
      <c r="I65" s="39">
        <f>Balance_Sheet!I54-Balance_Sheet!H54</f>
        <v>2108.1822190242365</v>
      </c>
      <c r="J65" s="39">
        <f>Balance_Sheet!J54-Balance_Sheet!I54</f>
        <v>2488.6576854435662</v>
      </c>
      <c r="K65" s="39">
        <f>Balance_Sheet!K54-Balance_Sheet!J54</f>
        <v>2939.0424311608949</v>
      </c>
      <c r="L65" s="39">
        <f>Balance_Sheet!L54-Balance_Sheet!K54</f>
        <v>3472.33385871481</v>
      </c>
      <c r="M65" s="39">
        <f>Balance_Sheet!M54-Balance_Sheet!L54</f>
        <v>4103.9672010727481</v>
      </c>
      <c r="N65" s="39">
        <f>Balance_Sheet!N54-Balance_Sheet!M54</f>
        <v>4852.276122179861</v>
      </c>
      <c r="O65" s="39">
        <f>Balance_Sheet!O54-Balance_Sheet!N54</f>
        <v>5739.040906384962</v>
      </c>
      <c r="P65" s="39">
        <f>Balance_Sheet!P54-Balance_Sheet!O54</f>
        <v>6790.1409910445363</v>
      </c>
      <c r="Q65" s="39">
        <f>Balance_Sheet!Q54-Balance_Sheet!P54</f>
        <v>8036.3318188294361</v>
      </c>
    </row>
    <row r="66" spans="2:17" x14ac:dyDescent="0.15">
      <c r="B66" s="6" t="s">
        <v>58</v>
      </c>
      <c r="D66" s="13">
        <f>Balance_Sheet!D55-Balance_Sheet!C55</f>
        <v>-446.95999999999981</v>
      </c>
      <c r="E66" s="13">
        <f>Balance_Sheet!E55-Balance_Sheet!D55</f>
        <v>277.54000000000019</v>
      </c>
      <c r="F66" s="13">
        <f>Balance_Sheet!F55-Balance_Sheet!E55</f>
        <v>1524.7399999999998</v>
      </c>
      <c r="G66" s="13">
        <f>Balance_Sheet!G55-Balance_Sheet!F55</f>
        <v>1684.9200000000005</v>
      </c>
      <c r="H66" s="39">
        <f>Balance_Sheet!H55-Balance_Sheet!G55</f>
        <v>292.73999280174485</v>
      </c>
      <c r="I66" s="39">
        <f>Balance_Sheet!I55-Balance_Sheet!H55</f>
        <v>1001.450351301005</v>
      </c>
      <c r="J66" s="39">
        <f>Balance_Sheet!J55-Balance_Sheet!I55</f>
        <v>1182.1877117002423</v>
      </c>
      <c r="K66" s="39">
        <f>Balance_Sheet!K55-Balance_Sheet!J55</f>
        <v>1396.1340953425415</v>
      </c>
      <c r="L66" s="39">
        <f>Balance_Sheet!L55-Balance_Sheet!K55</f>
        <v>1649.4636617577598</v>
      </c>
      <c r="M66" s="39">
        <f>Balance_Sheet!M55-Balance_Sheet!L55</f>
        <v>1949.5086137024518</v>
      </c>
      <c r="N66" s="39">
        <f>Balance_Sheet!N55-Balance_Sheet!M55</f>
        <v>2304.9779963591609</v>
      </c>
      <c r="O66" s="39">
        <f>Balance_Sheet!O55-Balance_Sheet!N55</f>
        <v>2726.2181039028947</v>
      </c>
      <c r="P66" s="39">
        <f>Balance_Sheet!P55-Balance_Sheet!O55</f>
        <v>3225.522452234818</v>
      </c>
      <c r="Q66" s="39">
        <f>Balance_Sheet!Q55-Balance_Sheet!P55</f>
        <v>3817.5008073368299</v>
      </c>
    </row>
    <row r="67" spans="2:17" x14ac:dyDescent="0.15">
      <c r="B67" s="6" t="s">
        <v>59</v>
      </c>
      <c r="D67" s="13">
        <f>Balance_Sheet!D56-Balance_Sheet!C56</f>
        <v>-192.92000000000007</v>
      </c>
      <c r="E67" s="13">
        <f>Balance_Sheet!E56-Balance_Sheet!D56</f>
        <v>3294.58</v>
      </c>
      <c r="F67" s="13">
        <f>Balance_Sheet!F56-Balance_Sheet!E56</f>
        <v>213.71000000000095</v>
      </c>
      <c r="G67" s="13">
        <f>Balance_Sheet!G56-Balance_Sheet!F56</f>
        <v>1065.1399999999994</v>
      </c>
      <c r="H67" s="39">
        <f>Balance_Sheet!H56-Balance_Sheet!G56</f>
        <v>6425.6470496651618</v>
      </c>
      <c r="I67" s="39">
        <f>Balance_Sheet!I56-Balance_Sheet!H56</f>
        <v>3156.8549780434187</v>
      </c>
      <c r="J67" s="39">
        <f>Balance_Sheet!J56-Balance_Sheet!I56</f>
        <v>3726.5902975762656</v>
      </c>
      <c r="K67" s="39">
        <f>Balance_Sheet!K56-Balance_Sheet!J56</f>
        <v>4401.0098585242049</v>
      </c>
      <c r="L67" s="39">
        <f>Balance_Sheet!L56-Balance_Sheet!K56</f>
        <v>5199.5763593842021</v>
      </c>
      <c r="M67" s="39">
        <f>Balance_Sheet!M56-Balance_Sheet!L56</f>
        <v>6145.4029786997562</v>
      </c>
      <c r="N67" s="39">
        <f>Balance_Sheet!N56-Balance_Sheet!M56</f>
        <v>7265.9430920703526</v>
      </c>
      <c r="O67" s="39">
        <f>Balance_Sheet!O56-Balance_Sheet!N56</f>
        <v>8593.8111473597892</v>
      </c>
      <c r="P67" s="39">
        <f>Balance_Sheet!P56-Balance_Sheet!O56</f>
        <v>10167.759786493662</v>
      </c>
      <c r="Q67" s="39">
        <f>Balance_Sheet!Q56-Balance_Sheet!P56</f>
        <v>12033.843127290282</v>
      </c>
    </row>
    <row r="68" spans="2:17" x14ac:dyDescent="0.15">
      <c r="B68" s="6" t="s">
        <v>60</v>
      </c>
      <c r="D68" s="13">
        <f>Balance_Sheet!D57-Balance_Sheet!C57</f>
        <v>86.350000000000023</v>
      </c>
      <c r="E68" s="13">
        <f>Balance_Sheet!E57-Balance_Sheet!D57</f>
        <v>-167.76999999999998</v>
      </c>
      <c r="F68" s="13">
        <f>Balance_Sheet!F57-Balance_Sheet!E57</f>
        <v>970.42</v>
      </c>
      <c r="G68" s="13">
        <f>Balance_Sheet!G57-Balance_Sheet!F57</f>
        <v>86.650000000000091</v>
      </c>
      <c r="H68" s="39">
        <f>Balance_Sheet!H57-Balance_Sheet!G57</f>
        <v>245.61119810694026</v>
      </c>
      <c r="I68" s="39">
        <f>Balance_Sheet!I57-Balance_Sheet!H57</f>
        <v>349.7402873099004</v>
      </c>
      <c r="J68" s="39">
        <f>Balance_Sheet!J57-Balance_Sheet!I57</f>
        <v>412.85987808296659</v>
      </c>
      <c r="K68" s="39">
        <f>Balance_Sheet!K57-Balance_Sheet!J57</f>
        <v>487.57718142882322</v>
      </c>
      <c r="L68" s="39">
        <f>Balance_Sheet!L57-Balance_Sheet!K57</f>
        <v>576.04842239154232</v>
      </c>
      <c r="M68" s="39">
        <f>Balance_Sheet!M57-Balance_Sheet!L57</f>
        <v>680.83425382361975</v>
      </c>
      <c r="N68" s="39">
        <f>Balance_Sheet!N57-Balance_Sheet!M57</f>
        <v>804.97616845645371</v>
      </c>
      <c r="O68" s="39">
        <f>Balance_Sheet!O57-Balance_Sheet!N57</f>
        <v>952.08744166875658</v>
      </c>
      <c r="P68" s="39">
        <f>Balance_Sheet!P57-Balance_Sheet!O57</f>
        <v>1126.4613844346941</v>
      </c>
      <c r="Q68" s="39">
        <f>Balance_Sheet!Q57-Balance_Sheet!P57</f>
        <v>1333.2002204894725</v>
      </c>
    </row>
    <row r="69" spans="2:17" x14ac:dyDescent="0.15">
      <c r="B69" s="6" t="s">
        <v>51</v>
      </c>
      <c r="D69" s="13">
        <f>Balance_Sheet!D46-Balance_Sheet!C46</f>
        <v>0</v>
      </c>
      <c r="E69" s="13">
        <f>Balance_Sheet!E46-Balance_Sheet!D46</f>
        <v>0</v>
      </c>
      <c r="F69" s="13">
        <f>Balance_Sheet!F46-Balance_Sheet!E46</f>
        <v>0</v>
      </c>
      <c r="G69" s="13">
        <f>Balance_Sheet!G46-Balance_Sheet!F46</f>
        <v>0</v>
      </c>
      <c r="H69" s="39">
        <f>Balance_Sheet!H46-Balance_Sheet!G46</f>
        <v>0</v>
      </c>
      <c r="I69" s="39">
        <f>Balance_Sheet!I46-Balance_Sheet!H46</f>
        <v>0</v>
      </c>
      <c r="J69" s="39">
        <f>Balance_Sheet!J46-Balance_Sheet!I46</f>
        <v>0</v>
      </c>
      <c r="K69" s="39">
        <f>Balance_Sheet!K46-Balance_Sheet!J46</f>
        <v>0</v>
      </c>
      <c r="L69" s="39">
        <f>Balance_Sheet!L46-Balance_Sheet!K46</f>
        <v>0</v>
      </c>
      <c r="M69" s="39">
        <f>Balance_Sheet!M46-Balance_Sheet!L46</f>
        <v>0</v>
      </c>
      <c r="N69" s="39">
        <f>Balance_Sheet!N46-Balance_Sheet!M46</f>
        <v>0</v>
      </c>
      <c r="O69" s="39">
        <f>Balance_Sheet!O46-Balance_Sheet!N46</f>
        <v>0</v>
      </c>
      <c r="P69" s="39">
        <f>Balance_Sheet!P46-Balance_Sheet!O46</f>
        <v>0</v>
      </c>
      <c r="Q69" s="39">
        <f>Balance_Sheet!Q46-Balance_Sheet!P46</f>
        <v>0</v>
      </c>
    </row>
    <row r="70" spans="2:17" x14ac:dyDescent="0.15">
      <c r="B70" s="6" t="s">
        <v>52</v>
      </c>
      <c r="D70" s="13">
        <f>Balance_Sheet!D47-Balance_Sheet!C47-Income_Statement!D44</f>
        <v>-4503.6627372252369</v>
      </c>
      <c r="E70" s="13">
        <f>Balance_Sheet!E47-Balance_Sheet!D47-Income_Statement!E44</f>
        <v>-24505.070000000022</v>
      </c>
      <c r="F70" s="13">
        <f>Balance_Sheet!F47-Balance_Sheet!E47-Income_Statement!F44</f>
        <v>-39779.06</v>
      </c>
      <c r="G70" s="13">
        <f>Balance_Sheet!G47-Balance_Sheet!F47-Income_Statement!G44</f>
        <v>-36069.855388303287</v>
      </c>
      <c r="H70" s="39">
        <f>Balance_Sheet!H47-Balance_Sheet!G47-Income_Statement!H44</f>
        <v>-49912.78464044712</v>
      </c>
      <c r="I70" s="39">
        <f>Balance_Sheet!I47-Balance_Sheet!H47-Income_Statement!I44</f>
        <v>-59752.966026729089</v>
      </c>
      <c r="J70" s="39">
        <f>Balance_Sheet!J47-Balance_Sheet!I47-Income_Statement!J44</f>
        <v>-70961.28359833936</v>
      </c>
      <c r="K70" s="39">
        <f>Balance_Sheet!K47-Balance_Sheet!J47-Income_Statement!K44</f>
        <v>-84903.677138929284</v>
      </c>
      <c r="L70" s="39">
        <f>Balance_Sheet!L47-Balance_Sheet!K47-Income_Statement!L44</f>
        <v>-100867.13112527248</v>
      </c>
      <c r="M70" s="39">
        <f>Balance_Sheet!M47-Balance_Sheet!L47-Income_Statement!M44</f>
        <v>-120572.23126653244</v>
      </c>
      <c r="N70" s="39">
        <f>Balance_Sheet!N47-Balance_Sheet!M47-Income_Statement!N44</f>
        <v>-143201.765269942</v>
      </c>
      <c r="O70" s="39">
        <f>Balance_Sheet!O47-Balance_Sheet!N47-Income_Statement!O44</f>
        <v>-171237.40248387121</v>
      </c>
      <c r="P70" s="39">
        <f>Balance_Sheet!P47-Balance_Sheet!O47-Income_Statement!P44</f>
        <v>-203268.71643326187</v>
      </c>
      <c r="Q70" s="39">
        <f>Balance_Sheet!Q47-Balance_Sheet!P47-Income_Statement!Q44</f>
        <v>-243050.16784739296</v>
      </c>
    </row>
    <row r="71" spans="2:17" x14ac:dyDescent="0.15">
      <c r="B71" s="82" t="s">
        <v>156</v>
      </c>
      <c r="H71" s="39"/>
      <c r="I71" s="39"/>
      <c r="J71" s="39"/>
      <c r="K71" s="39"/>
      <c r="L71" s="39"/>
      <c r="M71" s="39"/>
      <c r="N71" s="39"/>
      <c r="O71" s="39"/>
      <c r="P71" s="39"/>
      <c r="Q71" s="39"/>
    </row>
    <row r="72" spans="2:17" x14ac:dyDescent="0.15">
      <c r="B72" s="6" t="s">
        <v>10</v>
      </c>
      <c r="D72" s="13">
        <f>Income_Statement!D34</f>
        <v>827.72</v>
      </c>
      <c r="E72" s="13">
        <f>Income_Statement!E34</f>
        <v>1105</v>
      </c>
      <c r="F72" s="13">
        <f>Income_Statement!F34</f>
        <v>1611.25</v>
      </c>
      <c r="G72" s="13">
        <f>Income_Statement!G34</f>
        <v>1864.49</v>
      </c>
      <c r="H72" s="39">
        <f>Income_Statement!H34</f>
        <v>1889.2404319909356</v>
      </c>
      <c r="I72" s="39">
        <f>Income_Statement!I34</f>
        <v>2117.2262030530696</v>
      </c>
      <c r="J72" s="39">
        <f>Income_Statement!J34</f>
        <v>2386.357844618743</v>
      </c>
      <c r="K72" s="39">
        <f>Income_Statement!K34</f>
        <v>2704.1955764836298</v>
      </c>
      <c r="L72" s="39">
        <f>Income_Statement!L34</f>
        <v>3079.7052003768899</v>
      </c>
      <c r="M72" s="39">
        <f>Income_Statement!M34</f>
        <v>3523.5217349757531</v>
      </c>
      <c r="N72" s="39">
        <f>Income_Statement!N34</f>
        <v>4048.2628617809978</v>
      </c>
      <c r="O72" s="39">
        <f>Income_Statement!O34</f>
        <v>4668.9016540030962</v>
      </c>
      <c r="P72" s="39">
        <f>Income_Statement!P34</f>
        <v>5403.209872474079</v>
      </c>
      <c r="Q72" s="39">
        <f>Income_Statement!Q34</f>
        <v>6272.2852729273663</v>
      </c>
    </row>
    <row r="73" spans="2:17" x14ac:dyDescent="0.15">
      <c r="H73" s="39"/>
      <c r="I73" s="39"/>
      <c r="J73" s="39"/>
      <c r="K73" s="39"/>
      <c r="L73" s="39"/>
      <c r="M73" s="39"/>
      <c r="N73" s="39"/>
      <c r="O73" s="39"/>
      <c r="P73" s="39"/>
      <c r="Q73" s="39"/>
    </row>
    <row r="74" spans="2:17" x14ac:dyDescent="0.15">
      <c r="B74" s="15" t="s">
        <v>166</v>
      </c>
      <c r="D74" s="29">
        <f t="shared" ref="D74:Q74" si="2">SUM(D64:D70)-D72</f>
        <v>-5497.8227372252368</v>
      </c>
      <c r="E74" s="29">
        <f t="shared" si="2"/>
        <v>-19933.230000000021</v>
      </c>
      <c r="F74" s="29">
        <f t="shared" si="2"/>
        <v>-41079.07</v>
      </c>
      <c r="G74" s="29">
        <f t="shared" si="2"/>
        <v>-36863.005388303289</v>
      </c>
      <c r="H74" s="38">
        <f t="shared" si="2"/>
        <v>-36973.692056855391</v>
      </c>
      <c r="I74" s="38">
        <f t="shared" si="2"/>
        <v>-55253.964394103597</v>
      </c>
      <c r="J74" s="38">
        <f t="shared" si="2"/>
        <v>-65537.345870155055</v>
      </c>
      <c r="K74" s="38">
        <f t="shared" si="2"/>
        <v>-78384.109148956442</v>
      </c>
      <c r="L74" s="38">
        <f t="shared" si="2"/>
        <v>-93049.414023401056</v>
      </c>
      <c r="M74" s="38">
        <f t="shared" si="2"/>
        <v>-111216.03995420963</v>
      </c>
      <c r="N74" s="38">
        <f t="shared" si="2"/>
        <v>-132021.85475265718</v>
      </c>
      <c r="O74" s="38">
        <f t="shared" si="2"/>
        <v>-157895.14653855792</v>
      </c>
      <c r="P74" s="38">
        <f t="shared" si="2"/>
        <v>-187362.04169152823</v>
      </c>
      <c r="Q74" s="38">
        <f t="shared" si="2"/>
        <v>-224101.57714637433</v>
      </c>
    </row>
    <row r="75" spans="2:17" x14ac:dyDescent="0.15">
      <c r="H75" s="39"/>
      <c r="I75" s="39"/>
      <c r="J75" s="39"/>
      <c r="K75" s="39"/>
      <c r="L75" s="39"/>
      <c r="M75" s="39"/>
      <c r="N75" s="39"/>
      <c r="O75" s="39"/>
      <c r="P75" s="39"/>
      <c r="Q75" s="39"/>
    </row>
    <row r="76" spans="2:17" x14ac:dyDescent="0.15">
      <c r="H76" s="39"/>
      <c r="I76" s="39"/>
      <c r="J76" s="39"/>
      <c r="K76" s="39"/>
      <c r="L76" s="39"/>
      <c r="M76" s="39"/>
      <c r="N76" s="39"/>
      <c r="O76" s="39"/>
      <c r="P76" s="39"/>
      <c r="Q76" s="39"/>
    </row>
    <row r="77" spans="2:17" x14ac:dyDescent="0.15">
      <c r="B77" s="15" t="s">
        <v>167</v>
      </c>
      <c r="C77" s="29"/>
      <c r="D77" s="29">
        <f t="shared" ref="D77:Q77" si="3">SUM(D74,D58,D41)</f>
        <v>-25236.989999999991</v>
      </c>
      <c r="E77" s="29">
        <f t="shared" si="3"/>
        <v>2317.969999999983</v>
      </c>
      <c r="F77" s="29">
        <f t="shared" si="3"/>
        <v>6064.1299999999901</v>
      </c>
      <c r="G77" s="29">
        <f t="shared" si="3"/>
        <v>27748.836966666699</v>
      </c>
      <c r="H77" s="38">
        <f t="shared" si="3"/>
        <v>171871.43657452473</v>
      </c>
      <c r="I77" s="38">
        <f t="shared" si="3"/>
        <v>113251.38137337047</v>
      </c>
      <c r="J77" s="38">
        <f t="shared" si="3"/>
        <v>135145.17398113594</v>
      </c>
      <c r="K77" s="38">
        <f t="shared" si="3"/>
        <v>162316.40800136322</v>
      </c>
      <c r="L77" s="38">
        <f t="shared" si="3"/>
        <v>193583.93096618578</v>
      </c>
      <c r="M77" s="38">
        <f t="shared" si="3"/>
        <v>231974.80516285173</v>
      </c>
      <c r="N77" s="38">
        <f t="shared" si="3"/>
        <v>276248.01546593831</v>
      </c>
      <c r="O77" s="38">
        <f t="shared" si="3"/>
        <v>330944.45197579061</v>
      </c>
      <c r="P77" s="38">
        <f t="shared" si="3"/>
        <v>393587.49998724117</v>
      </c>
      <c r="Q77" s="38">
        <f t="shared" si="3"/>
        <v>471127.30770057096</v>
      </c>
    </row>
    <row r="78" spans="2:17" x14ac:dyDescent="0.15">
      <c r="B78" s="6" t="s">
        <v>168</v>
      </c>
      <c r="D78" s="13">
        <f>Balance_Sheet!C33</f>
        <v>59739.409999999916</v>
      </c>
      <c r="E78" s="13">
        <f t="shared" ref="E78:Q78" si="4">D79</f>
        <v>34502.419999999925</v>
      </c>
      <c r="F78" s="13">
        <f t="shared" si="4"/>
        <v>36820.389999999912</v>
      </c>
      <c r="G78" s="13">
        <f t="shared" si="4"/>
        <v>42884.519999999902</v>
      </c>
      <c r="H78" s="39">
        <f t="shared" si="4"/>
        <v>70633.356966666601</v>
      </c>
      <c r="I78" s="39">
        <f t="shared" si="4"/>
        <v>242504.79354119132</v>
      </c>
      <c r="J78" s="39">
        <f t="shared" si="4"/>
        <v>355756.17491456179</v>
      </c>
      <c r="K78" s="39">
        <f t="shared" si="4"/>
        <v>490901.34889569774</v>
      </c>
      <c r="L78" s="39">
        <f t="shared" si="4"/>
        <v>653217.7568970609</v>
      </c>
      <c r="M78" s="39">
        <f t="shared" si="4"/>
        <v>846801.68786324665</v>
      </c>
      <c r="N78" s="39">
        <f t="shared" si="4"/>
        <v>1078776.4930260985</v>
      </c>
      <c r="O78" s="39">
        <f t="shared" si="4"/>
        <v>1355024.5084920367</v>
      </c>
      <c r="P78" s="39">
        <f t="shared" si="4"/>
        <v>1685968.9604678273</v>
      </c>
      <c r="Q78" s="39">
        <f t="shared" si="4"/>
        <v>2079556.4604550684</v>
      </c>
    </row>
    <row r="79" spans="2:17" x14ac:dyDescent="0.15">
      <c r="B79" s="15" t="s">
        <v>169</v>
      </c>
      <c r="C79" s="29"/>
      <c r="D79" s="85">
        <f t="shared" ref="D79:Q79" si="5">SUM(D77:D78)</f>
        <v>34502.419999999925</v>
      </c>
      <c r="E79" s="17">
        <f t="shared" si="5"/>
        <v>36820.389999999912</v>
      </c>
      <c r="F79" s="17">
        <f t="shared" si="5"/>
        <v>42884.519999999902</v>
      </c>
      <c r="G79" s="17">
        <f t="shared" si="5"/>
        <v>70633.356966666601</v>
      </c>
      <c r="H79" s="76">
        <f t="shared" si="5"/>
        <v>242504.79354119132</v>
      </c>
      <c r="I79" s="76">
        <f t="shared" si="5"/>
        <v>355756.17491456179</v>
      </c>
      <c r="J79" s="76">
        <f t="shared" si="5"/>
        <v>490901.34889569774</v>
      </c>
      <c r="K79" s="76">
        <f t="shared" si="5"/>
        <v>653217.7568970609</v>
      </c>
      <c r="L79" s="76">
        <f t="shared" si="5"/>
        <v>846801.68786324665</v>
      </c>
      <c r="M79" s="76">
        <f t="shared" si="5"/>
        <v>1078776.4930260985</v>
      </c>
      <c r="N79" s="76">
        <f t="shared" si="5"/>
        <v>1355024.5084920367</v>
      </c>
      <c r="O79" s="76">
        <f t="shared" si="5"/>
        <v>1685968.9604678273</v>
      </c>
      <c r="P79" s="76">
        <f t="shared" si="5"/>
        <v>2079556.4604550684</v>
      </c>
      <c r="Q79" s="86">
        <f t="shared" si="5"/>
        <v>2550683.7681556395</v>
      </c>
    </row>
    <row r="80" spans="2:17" x14ac:dyDescent="0.15">
      <c r="B80" s="15"/>
      <c r="C80" s="29"/>
      <c r="D80" s="29"/>
      <c r="E80" s="29"/>
      <c r="F80" s="29"/>
      <c r="G80" s="29"/>
      <c r="H80" s="38"/>
      <c r="I80" s="38"/>
      <c r="J80" s="38"/>
      <c r="K80" s="38"/>
      <c r="L80" s="38"/>
      <c r="M80" s="38"/>
      <c r="N80" s="38"/>
      <c r="O80" s="38"/>
      <c r="P80" s="38"/>
      <c r="Q80" s="38"/>
    </row>
    <row r="81" spans="1:17" x14ac:dyDescent="0.15">
      <c r="D81" s="13" t="str">
        <f>IF(ROUND(D79,0)-ROUND(Balance_Sheet!D33,0)&lt;&gt;0,"Error","OK")</f>
        <v>OK</v>
      </c>
      <c r="E81" s="13" t="str">
        <f>IF(ROUND(E79,0)-ROUND(Balance_Sheet!E33,0)&lt;&gt;0,"Error","OK")</f>
        <v>OK</v>
      </c>
      <c r="F81" s="13" t="str">
        <f>IF(ROUND(F79,0)-ROUND(Balance_Sheet!F33,0)&lt;&gt;0,"Error","OK")</f>
        <v>OK</v>
      </c>
      <c r="G81" s="13" t="str">
        <f>IF(ROUND(G79,0)-ROUND(Balance_Sheet!G33,0)&lt;&gt;0,"Error","OK")</f>
        <v>OK</v>
      </c>
      <c r="H81" s="39" t="str">
        <f>IF(ROUND(H79,0)-ROUND(Balance_Sheet!H33,0)&lt;&gt;0,"Error","OK")</f>
        <v>OK</v>
      </c>
      <c r="I81" s="39" t="str">
        <f>IF(ROUND(I79,0)-ROUND(Balance_Sheet!I33,0)&lt;&gt;0,"Error","OK")</f>
        <v>OK</v>
      </c>
      <c r="J81" s="39" t="str">
        <f>IF(ROUND(J79,0)-ROUND(Balance_Sheet!J33,0)&lt;&gt;0,"Error","OK")</f>
        <v>OK</v>
      </c>
      <c r="K81" s="39" t="str">
        <f>IF(ROUND(K79,0)-ROUND(Balance_Sheet!K33,0)&lt;&gt;0,"Error","OK")</f>
        <v>OK</v>
      </c>
      <c r="L81" s="39" t="str">
        <f>IF(ROUND(L79,0)-ROUND(Balance_Sheet!L33,0)&lt;&gt;0,"Error","OK")</f>
        <v>OK</v>
      </c>
      <c r="M81" s="39" t="str">
        <f>IF(ROUND(M79,0)-ROUND(Balance_Sheet!M33,0)&lt;&gt;0,"Error","OK")</f>
        <v>OK</v>
      </c>
      <c r="N81" s="39" t="str">
        <f>IF(ROUND(N79,0)-ROUND(Balance_Sheet!N33,0)&lt;&gt;0,"Error","OK")</f>
        <v>OK</v>
      </c>
      <c r="O81" s="39" t="str">
        <f>IF(ROUND(O79,0)-ROUND(Balance_Sheet!O33,0)&lt;&gt;0,"Error","OK")</f>
        <v>OK</v>
      </c>
      <c r="P81" s="39" t="str">
        <f>IF(ROUND(P79,0)-ROUND(Balance_Sheet!P33,0)&lt;&gt;0,"Error","OK")</f>
        <v>OK</v>
      </c>
      <c r="Q81" s="39" t="str">
        <f>IF(ROUND(Q79,0)-ROUND(Balance_Sheet!Q33,0)&lt;&gt;0,"Error","OK")</f>
        <v>OK</v>
      </c>
    </row>
    <row r="83" spans="1:17" s="1" customFormat="1" ht="21" x14ac:dyDescent="0.25">
      <c r="A83" s="10"/>
      <c r="B83" s="10"/>
      <c r="C83" s="10"/>
      <c r="D83" s="10"/>
      <c r="E83" s="10"/>
      <c r="F83" s="10"/>
      <c r="G83" s="10"/>
      <c r="H83" s="10"/>
      <c r="I83" s="10"/>
      <c r="J83" s="10"/>
      <c r="K83" s="10"/>
      <c r="L83" s="10"/>
      <c r="M83" s="10"/>
      <c r="N83" s="10"/>
      <c r="O83" s="10"/>
      <c r="P83" s="10"/>
      <c r="Q83" s="10"/>
    </row>
  </sheetData>
  <mergeCells count="1">
    <mergeCell ref="B11:B12"/>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BA037-DE2D-4D22-82E4-035AB056AD44}">
  <sheetPr>
    <tabColor theme="5" tint="0.79998168889431442"/>
  </sheetPr>
  <dimension ref="A1:R70"/>
  <sheetViews>
    <sheetView showGridLines="0" workbookViewId="0">
      <pane xSplit="2" ySplit="12" topLeftCell="C13" activePane="bottomRight" state="frozen"/>
      <selection pane="topRight" activeCell="C1" sqref="C1"/>
      <selection pane="bottomLeft" activeCell="A12" sqref="A12"/>
      <selection pane="bottomRight"/>
    </sheetView>
  </sheetViews>
  <sheetFormatPr baseColWidth="10" defaultColWidth="15.6640625" defaultRowHeight="14" x14ac:dyDescent="0.15"/>
  <cols>
    <col min="1" max="1" width="2.6640625" style="3" customWidth="1"/>
    <col min="2" max="2" width="40.6640625" style="6" customWidth="1"/>
    <col min="3" max="17" width="15.6640625" style="34"/>
    <col min="18" max="18" width="30.6640625" style="3" customWidth="1"/>
    <col min="19" max="16384" width="15.6640625" style="3"/>
  </cols>
  <sheetData>
    <row r="1" spans="1:18" s="1" customFormat="1" x14ac:dyDescent="0.15"/>
    <row r="2" spans="1:18" s="1" customFormat="1" x14ac:dyDescent="0.15"/>
    <row r="3" spans="1:18" s="1" customFormat="1" x14ac:dyDescent="0.15"/>
    <row r="4" spans="1:18" s="1" customFormat="1" x14ac:dyDescent="0.15"/>
    <row r="5" spans="1:18" s="1" customFormat="1" x14ac:dyDescent="0.15"/>
    <row r="6" spans="1:18" s="1" customFormat="1" x14ac:dyDescent="0.15"/>
    <row r="7" spans="1:18" s="1" customFormat="1" x14ac:dyDescent="0.15"/>
    <row r="8" spans="1:18" s="1" customFormat="1" ht="21" x14ac:dyDescent="0.25">
      <c r="A8" s="10" t="s">
        <v>359</v>
      </c>
      <c r="B8" s="10"/>
      <c r="C8" s="10"/>
      <c r="D8" s="10"/>
      <c r="E8" s="10"/>
      <c r="F8" s="10"/>
      <c r="G8" s="10"/>
      <c r="H8" s="10"/>
      <c r="I8" s="10"/>
      <c r="J8" s="10"/>
      <c r="K8" s="10"/>
      <c r="L8" s="10"/>
      <c r="M8" s="10"/>
      <c r="N8" s="10"/>
      <c r="O8" s="10"/>
      <c r="P8" s="10"/>
      <c r="Q8" s="10"/>
    </row>
    <row r="9" spans="1:18" s="1" customFormat="1" ht="21" x14ac:dyDescent="0.25">
      <c r="A9" s="10" t="s">
        <v>194</v>
      </c>
      <c r="B9" s="10"/>
      <c r="C9" s="10"/>
      <c r="D9" s="10"/>
      <c r="E9" s="10"/>
      <c r="F9" s="10"/>
      <c r="G9" s="10"/>
      <c r="H9" s="10"/>
      <c r="I9" s="10"/>
      <c r="J9" s="10"/>
      <c r="K9" s="10"/>
      <c r="L9" s="10"/>
      <c r="M9" s="10"/>
      <c r="N9" s="10"/>
      <c r="O9" s="10"/>
      <c r="P9" s="10"/>
      <c r="Q9" s="10"/>
    </row>
    <row r="10" spans="1:18" s="1" customFormat="1" x14ac:dyDescent="0.15"/>
    <row r="11" spans="1:18" s="18" customFormat="1" ht="18" x14ac:dyDescent="0.2">
      <c r="A11" s="3"/>
      <c r="B11" s="157" t="s">
        <v>0</v>
      </c>
      <c r="C11" s="5">
        <v>2020</v>
      </c>
      <c r="D11" s="5">
        <v>2021</v>
      </c>
      <c r="E11" s="5">
        <v>2022</v>
      </c>
      <c r="F11" s="5">
        <v>2023</v>
      </c>
      <c r="G11" s="5">
        <v>2024</v>
      </c>
      <c r="H11" s="35">
        <v>2025</v>
      </c>
      <c r="I11" s="35">
        <v>2026</v>
      </c>
      <c r="J11" s="35">
        <v>2027</v>
      </c>
      <c r="K11" s="35">
        <v>2028</v>
      </c>
      <c r="L11" s="35">
        <v>2029</v>
      </c>
      <c r="M11" s="35">
        <v>2030</v>
      </c>
      <c r="N11" s="35">
        <v>2031</v>
      </c>
      <c r="O11" s="35">
        <v>2032</v>
      </c>
      <c r="P11" s="35">
        <v>2033</v>
      </c>
      <c r="Q11" s="35">
        <v>2034</v>
      </c>
    </row>
    <row r="12" spans="1:18" s="25" customFormat="1" ht="18" x14ac:dyDescent="0.2">
      <c r="A12" s="3"/>
      <c r="B12" s="157"/>
      <c r="C12" s="4" t="s">
        <v>1</v>
      </c>
      <c r="D12" s="4" t="s">
        <v>1</v>
      </c>
      <c r="E12" s="4" t="s">
        <v>1</v>
      </c>
      <c r="F12" s="4" t="s">
        <v>1</v>
      </c>
      <c r="G12" s="4" t="s">
        <v>1</v>
      </c>
      <c r="H12" s="36" t="s">
        <v>71</v>
      </c>
      <c r="I12" s="36" t="s">
        <v>71</v>
      </c>
      <c r="J12" s="36" t="s">
        <v>71</v>
      </c>
      <c r="K12" s="36" t="s">
        <v>71</v>
      </c>
      <c r="L12" s="36" t="s">
        <v>71</v>
      </c>
      <c r="M12" s="36" t="s">
        <v>71</v>
      </c>
      <c r="N12" s="36" t="s">
        <v>71</v>
      </c>
      <c r="O12" s="36" t="s">
        <v>71</v>
      </c>
      <c r="P12" s="36" t="s">
        <v>71</v>
      </c>
      <c r="Q12" s="36" t="s">
        <v>71</v>
      </c>
    </row>
    <row r="13" spans="1:18" x14ac:dyDescent="0.15">
      <c r="C13" s="3"/>
      <c r="D13" s="3"/>
      <c r="E13" s="3"/>
      <c r="F13" s="3"/>
      <c r="G13" s="3"/>
      <c r="H13" s="37"/>
      <c r="I13" s="37"/>
      <c r="J13" s="37"/>
      <c r="K13" s="37"/>
      <c r="L13" s="37"/>
      <c r="M13" s="37"/>
      <c r="N13" s="37"/>
      <c r="O13" s="37"/>
      <c r="P13" s="37"/>
      <c r="Q13" s="37"/>
    </row>
    <row r="14" spans="1:18" ht="18" x14ac:dyDescent="0.2">
      <c r="B14" s="88" t="s">
        <v>193</v>
      </c>
      <c r="C14" s="84"/>
      <c r="D14" s="84"/>
      <c r="E14" s="84"/>
      <c r="F14" s="84"/>
      <c r="G14" s="84"/>
      <c r="H14" s="84"/>
      <c r="I14" s="84"/>
      <c r="J14" s="84"/>
      <c r="K14" s="84"/>
      <c r="L14" s="84"/>
      <c r="M14" s="84"/>
      <c r="N14" s="84"/>
      <c r="O14" s="84"/>
      <c r="P14" s="84"/>
      <c r="Q14" s="84"/>
      <c r="R14" s="142" t="s">
        <v>360</v>
      </c>
    </row>
    <row r="15" spans="1:18" x14ac:dyDescent="0.15">
      <c r="C15" s="3"/>
      <c r="D15" s="3"/>
      <c r="E15" s="3"/>
      <c r="F15" s="3"/>
      <c r="G15" s="3"/>
      <c r="H15" s="37"/>
      <c r="I15" s="37"/>
      <c r="J15" s="37"/>
      <c r="K15" s="37"/>
      <c r="L15" s="37"/>
      <c r="M15" s="37"/>
      <c r="N15" s="37"/>
      <c r="O15" s="37"/>
      <c r="P15" s="37"/>
      <c r="Q15" s="37"/>
    </row>
    <row r="16" spans="1:18" x14ac:dyDescent="0.15">
      <c r="B16" s="87" t="s">
        <v>173</v>
      </c>
      <c r="C16" s="34">
        <f>Income_Statement!C28/Income_Statement!C14</f>
        <v>0.3092939374963814</v>
      </c>
      <c r="D16" s="34">
        <f>Income_Statement!D28/Income_Statement!D14</f>
        <v>0.24174910002179845</v>
      </c>
      <c r="E16" s="34">
        <f>Income_Statement!E28/Income_Statement!E14</f>
        <v>0.46498866374416686</v>
      </c>
      <c r="F16" s="34">
        <f>Income_Statement!F28/Income_Statement!F14</f>
        <v>0.36036452516691575</v>
      </c>
      <c r="G16" s="34">
        <f>Income_Statement!G28/Income_Statement!G14</f>
        <v>0.34330092507544657</v>
      </c>
      <c r="H16" s="40">
        <f>Income_Statement!H28/Income_Statement!H14</f>
        <v>0.35091274530173627</v>
      </c>
      <c r="I16" s="40">
        <f>Income_Statement!I28/Income_Statement!I14</f>
        <v>0.35612544152834819</v>
      </c>
      <c r="J16" s="40">
        <f>Income_Statement!J28/Income_Statement!J14</f>
        <v>0.36131699778245679</v>
      </c>
      <c r="K16" s="40">
        <f>Income_Statement!K28/Income_Statement!K14</f>
        <v>0.3664812725889382</v>
      </c>
      <c r="L16" s="40">
        <f>Income_Statement!L28/Income_Statement!L14</f>
        <v>0.37161305044093362</v>
      </c>
      <c r="M16" s="40">
        <f>Income_Statement!M28/Income_Statement!M14</f>
        <v>0.37670795806958624</v>
      </c>
      <c r="N16" s="40">
        <f>Income_Statement!N28/Income_Statement!N14</f>
        <v>0.38176238254274791</v>
      </c>
      <c r="O16" s="40">
        <f>Income_Statement!O28/Income_Statement!O14</f>
        <v>0.38677339228851326</v>
      </c>
      <c r="P16" s="40">
        <f>Income_Statement!P28/Income_Statement!P14</f>
        <v>0.39173866186409467</v>
      </c>
      <c r="Q16" s="40">
        <f>Income_Statement!Q28/Income_Statement!Q14</f>
        <v>0.39665640105205685</v>
      </c>
    </row>
    <row r="17" spans="2:17" x14ac:dyDescent="0.15">
      <c r="B17" s="87"/>
      <c r="H17" s="40"/>
      <c r="I17" s="40"/>
      <c r="J17" s="40"/>
      <c r="K17" s="40"/>
      <c r="L17" s="40"/>
      <c r="M17" s="40"/>
      <c r="N17" s="40"/>
      <c r="O17" s="40"/>
      <c r="P17" s="40"/>
      <c r="Q17" s="40"/>
    </row>
    <row r="18" spans="2:17" x14ac:dyDescent="0.15">
      <c r="B18" s="87" t="s">
        <v>174</v>
      </c>
      <c r="C18" s="34">
        <f>Income_Statement!C32/Income_Statement!C14</f>
        <v>0.29153548821437597</v>
      </c>
      <c r="D18" s="34">
        <f>Income_Statement!D32/Income_Statement!D14</f>
        <v>0.18207364711635501</v>
      </c>
      <c r="E18" s="34">
        <f>Income_Statement!E32/Income_Statement!E14</f>
        <v>0.43891122970695229</v>
      </c>
      <c r="F18" s="34">
        <f>Income_Statement!F32/Income_Statement!F14</f>
        <v>0.34519298453476804</v>
      </c>
      <c r="G18" s="34">
        <f>Income_Statement!G32/Income_Statement!G14</f>
        <v>0.33021895756316261</v>
      </c>
      <c r="H18" s="40">
        <f>Income_Statement!H32/Income_Statement!H14</f>
        <v>0.33977141261694638</v>
      </c>
      <c r="I18" s="40">
        <f>Income_Statement!I32/Income_Statement!I14</f>
        <v>0.34664377058318124</v>
      </c>
      <c r="J18" s="40">
        <f>Income_Statement!J32/Income_Statement!J14</f>
        <v>0.35293076851592931</v>
      </c>
      <c r="K18" s="40">
        <f>Income_Statement!K32/Income_Statement!K14</f>
        <v>0.35935385525506691</v>
      </c>
      <c r="L18" s="40">
        <f>Income_Statement!L32/Income_Statement!L14</f>
        <v>0.3655592258604462</v>
      </c>
      <c r="M18" s="40">
        <f>Income_Statement!M32/Income_Statement!M14</f>
        <v>0.37136345494164241</v>
      </c>
      <c r="N18" s="40">
        <f>Income_Statement!N32/Income_Statement!N14</f>
        <v>0.37722806974328249</v>
      </c>
      <c r="O18" s="40">
        <f>Income_Statement!O32/Income_Statement!O14</f>
        <v>0.38292846434360595</v>
      </c>
      <c r="P18" s="40">
        <f>Income_Statement!P32/Income_Statement!P14</f>
        <v>0.38834957531191389</v>
      </c>
      <c r="Q18" s="40">
        <f>Income_Statement!Q32/Income_Statement!Q14</f>
        <v>0.39378536142849507</v>
      </c>
    </row>
    <row r="19" spans="2:17" x14ac:dyDescent="0.15">
      <c r="B19" s="87"/>
      <c r="H19" s="40"/>
      <c r="I19" s="40"/>
      <c r="J19" s="40"/>
      <c r="K19" s="40"/>
      <c r="L19" s="40"/>
      <c r="M19" s="40"/>
      <c r="N19" s="40"/>
      <c r="O19" s="40"/>
      <c r="P19" s="40"/>
      <c r="Q19" s="40"/>
    </row>
    <row r="20" spans="2:17" x14ac:dyDescent="0.15">
      <c r="B20" s="87" t="s">
        <v>175</v>
      </c>
      <c r="C20" s="34">
        <f>Income_Statement!C40/Income_Statement!C14</f>
        <v>0.32220937408098532</v>
      </c>
      <c r="D20" s="34">
        <f>Income_Statement!D40/Income_Statement!D14</f>
        <v>0.33156640306276486</v>
      </c>
      <c r="E20" s="34">
        <f>Income_Statement!E40/Income_Statement!E14</f>
        <v>0.47130244082959938</v>
      </c>
      <c r="F20" s="34">
        <f>Income_Statement!F40/Income_Statement!F14</f>
        <v>0.38232951041359092</v>
      </c>
      <c r="G20" s="34">
        <f>Income_Statement!G40/Income_Statement!G14</f>
        <v>0.35066365377468278</v>
      </c>
      <c r="H20" s="40">
        <f>Income_Statement!H40/Income_Statement!H14</f>
        <v>0.37452121973029961</v>
      </c>
      <c r="I20" s="40">
        <f>Income_Statement!I40/Income_Statement!I14</f>
        <v>0.38156790159483411</v>
      </c>
      <c r="J20" s="40">
        <f>Income_Statement!J40/Income_Statement!J14</f>
        <v>0.38800383913197534</v>
      </c>
      <c r="K20" s="40">
        <f>Income_Statement!K40/Income_Statement!K14</f>
        <v>0.39455406079246463</v>
      </c>
      <c r="L20" s="40">
        <f>Income_Statement!L40/Income_Statement!L14</f>
        <v>0.40086785993011659</v>
      </c>
      <c r="M20" s="40">
        <f>Income_Statement!M40/Income_Statement!M14</f>
        <v>0.40676448812225591</v>
      </c>
      <c r="N20" s="40">
        <f>Income_Statement!N40/Income_Statement!N14</f>
        <v>0.41270778172306521</v>
      </c>
      <c r="O20" s="40">
        <f>Income_Statement!O40/Income_Statement!O14</f>
        <v>0.41847512352161559</v>
      </c>
      <c r="P20" s="40">
        <f>Income_Statement!P40/Income_Statement!P14</f>
        <v>0.42395316036591507</v>
      </c>
      <c r="Q20" s="40">
        <f>Income_Statement!Q40/Income_Statement!Q14</f>
        <v>0.42943731986230638</v>
      </c>
    </row>
    <row r="21" spans="2:17" x14ac:dyDescent="0.15">
      <c r="B21" s="87"/>
      <c r="H21" s="40"/>
      <c r="I21" s="40"/>
      <c r="J21" s="40"/>
      <c r="K21" s="40"/>
      <c r="L21" s="40"/>
      <c r="M21" s="40"/>
      <c r="N21" s="40"/>
      <c r="O21" s="40"/>
      <c r="P21" s="40"/>
      <c r="Q21" s="40"/>
    </row>
    <row r="22" spans="2:17" x14ac:dyDescent="0.15">
      <c r="B22" s="87" t="s">
        <v>176</v>
      </c>
      <c r="C22" s="34">
        <f>Income_Statement!C42/Income_Statement!C40</f>
        <v>0.29671136845138002</v>
      </c>
      <c r="D22" s="34">
        <f>Income_Statement!D42/Income_Statement!D40</f>
        <v>0.27372252427734906</v>
      </c>
      <c r="E22" s="34">
        <f>Income_Statement!E42/Income_Statement!E40</f>
        <v>0.255059569559488</v>
      </c>
      <c r="F22" s="34">
        <f>Income_Statement!F42/Income_Statement!F40</f>
        <v>0.25710932921007362</v>
      </c>
      <c r="G22" s="34">
        <f>Income_Statement!G42/Income_Statement!G40</f>
        <v>0.25732231920699589</v>
      </c>
      <c r="H22" s="40">
        <f>Income_Statement!H42/Income_Statement!H40</f>
        <v>0.26232231920699589</v>
      </c>
      <c r="I22" s="40">
        <f>Income_Statement!I42/Income_Statement!I40</f>
        <v>0.26232231920699589</v>
      </c>
      <c r="J22" s="40">
        <f>Income_Statement!J42/Income_Statement!J40</f>
        <v>0.2673223192069959</v>
      </c>
      <c r="K22" s="40">
        <f>Income_Statement!K42/Income_Statement!K40</f>
        <v>0.2673223192069959</v>
      </c>
      <c r="L22" s="40">
        <f>Income_Statement!L42/Income_Statement!L40</f>
        <v>0.2723223192069959</v>
      </c>
      <c r="M22" s="40">
        <f>Income_Statement!M42/Income_Statement!M40</f>
        <v>0.2723223192069959</v>
      </c>
      <c r="N22" s="40">
        <f>Income_Statement!N42/Income_Statement!N40</f>
        <v>0.2773223192069959</v>
      </c>
      <c r="O22" s="40">
        <f>Income_Statement!O42/Income_Statement!O40</f>
        <v>0.2773223192069959</v>
      </c>
      <c r="P22" s="40">
        <f>Income_Statement!P42/Income_Statement!P40</f>
        <v>0.28232231920699591</v>
      </c>
      <c r="Q22" s="40">
        <f>Income_Statement!Q42/Income_Statement!Q40</f>
        <v>0.28232231920699591</v>
      </c>
    </row>
    <row r="23" spans="2:17" x14ac:dyDescent="0.15">
      <c r="B23" s="87"/>
      <c r="H23" s="40"/>
      <c r="I23" s="40"/>
      <c r="J23" s="40"/>
      <c r="K23" s="40"/>
      <c r="L23" s="40"/>
      <c r="M23" s="40"/>
      <c r="N23" s="40"/>
      <c r="O23" s="40"/>
      <c r="P23" s="40"/>
      <c r="Q23" s="40"/>
    </row>
    <row r="24" spans="2:17" x14ac:dyDescent="0.15">
      <c r="B24" s="87" t="s">
        <v>177</v>
      </c>
      <c r="C24" s="34">
        <f>Income_Statement!C44/Income_Statement!C14</f>
        <v>0.22660618976955357</v>
      </c>
      <c r="D24" s="34">
        <f>Income_Statement!D44/Income_Statement!D14</f>
        <v>0.24080921025086394</v>
      </c>
      <c r="E24" s="34">
        <f>Income_Statement!E44/Income_Statement!E14</f>
        <v>0.35109224313926563</v>
      </c>
      <c r="F24" s="34">
        <f>Income_Statement!F44/Income_Statement!F14</f>
        <v>0.28402902645393674</v>
      </c>
      <c r="G24" s="34">
        <f>Income_Statement!G44/Income_Statement!G14</f>
        <v>0.26043006912378236</v>
      </c>
      <c r="H24" s="40">
        <f>Income_Statement!H44/Income_Statement!H14</f>
        <v>0.2762759447784145</v>
      </c>
      <c r="I24" s="40">
        <f>Income_Statement!I44/Income_Statement!I14</f>
        <v>0.28147412471353045</v>
      </c>
      <c r="J24" s="40">
        <f>Income_Statement!J44/Income_Statement!J14</f>
        <v>0.28428175299399755</v>
      </c>
      <c r="K24" s="40">
        <f>Income_Statement!K44/Income_Statement!K14</f>
        <v>0.28908095420888497</v>
      </c>
      <c r="L24" s="40">
        <f>Income_Statement!L44/Income_Statement!L14</f>
        <v>0.29170259461840198</v>
      </c>
      <c r="M24" s="40">
        <f>Income_Statement!M44/Income_Statement!M14</f>
        <v>0.29599343934575667</v>
      </c>
      <c r="N24" s="40">
        <f>Income_Statement!N44/Income_Statement!N14</f>
        <v>0.29825470254085013</v>
      </c>
      <c r="O24" s="40">
        <f>Income_Statement!O44/Income_Statement!O14</f>
        <v>0.30242263173616707</v>
      </c>
      <c r="P24" s="40">
        <f>Income_Statement!P44/Income_Statement!P14</f>
        <v>0.30426172089627446</v>
      </c>
      <c r="Q24" s="40">
        <f>Income_Statement!Q44/Income_Statement!Q14</f>
        <v>0.30819757976474355</v>
      </c>
    </row>
    <row r="25" spans="2:17" x14ac:dyDescent="0.15">
      <c r="B25" s="87"/>
      <c r="H25" s="40"/>
      <c r="I25" s="40"/>
      <c r="J25" s="40"/>
      <c r="K25" s="40"/>
      <c r="L25" s="40"/>
      <c r="M25" s="40"/>
      <c r="N25" s="40"/>
      <c r="O25" s="40"/>
      <c r="P25" s="40"/>
      <c r="Q25" s="40"/>
    </row>
    <row r="26" spans="2:17" x14ac:dyDescent="0.15">
      <c r="B26" s="87" t="s">
        <v>178</v>
      </c>
      <c r="C26" s="34">
        <f>Income_Statement!C44/Balance_Sheet!C48</f>
        <v>0.39054576431489907</v>
      </c>
      <c r="D26" s="34">
        <f>Income_Statement!D44/Balance_Sheet!D48</f>
        <v>0.12846878886389568</v>
      </c>
      <c r="E26" s="34">
        <f>Income_Statement!E44/Balance_Sheet!E48</f>
        <v>0.35264294715068112</v>
      </c>
      <c r="F26" s="34">
        <f>Income_Statement!F44/Balance_Sheet!F48</f>
        <v>0.40585839088952447</v>
      </c>
      <c r="G26" s="34">
        <f>Income_Statement!G44/Balance_Sheet!G48</f>
        <v>0.34432065391126954</v>
      </c>
      <c r="H26" s="40">
        <f>Income_Statement!H44/Balance_Sheet!H48</f>
        <v>0.33655817568574453</v>
      </c>
      <c r="I26" s="40">
        <f>Income_Statement!I44/Balance_Sheet!I48</f>
        <v>0.32034581888230312</v>
      </c>
      <c r="J26" s="40">
        <f>Income_Statement!J44/Balance_Sheet!J48</f>
        <v>0.30597436324663718</v>
      </c>
      <c r="K26" s="40">
        <f>Income_Statement!K44/Balance_Sheet!K48</f>
        <v>0.29662709926727809</v>
      </c>
      <c r="L26" s="40">
        <f>Income_Statement!L44/Balance_Sheet!L48</f>
        <v>0.28757297526045017</v>
      </c>
      <c r="M26" s="40">
        <f>Income_Statement!M44/Balance_Sheet!M48</f>
        <v>0.28178918975033623</v>
      </c>
      <c r="N26" s="40">
        <f>Income_Statement!N44/Balance_Sheet!N48</f>
        <v>0.27566130640440473</v>
      </c>
      <c r="O26" s="40">
        <f>Income_Statement!O44/Balance_Sheet!O48</f>
        <v>0.27222807677462735</v>
      </c>
      <c r="P26" s="40">
        <f>Income_Statement!P44/Balance_Sheet!P48</f>
        <v>0.26779392243391903</v>
      </c>
      <c r="Q26" s="40">
        <f>Income_Statement!Q44/Balance_Sheet!Q48</f>
        <v>0.26576694904961767</v>
      </c>
    </row>
    <row r="27" spans="2:17" x14ac:dyDescent="0.15">
      <c r="B27" s="87"/>
      <c r="H27" s="40"/>
      <c r="I27" s="40"/>
      <c r="J27" s="40"/>
      <c r="K27" s="40"/>
      <c r="L27" s="40"/>
      <c r="M27" s="40"/>
      <c r="N27" s="40"/>
      <c r="O27" s="40"/>
      <c r="P27" s="40"/>
      <c r="Q27" s="40"/>
    </row>
    <row r="28" spans="2:17" x14ac:dyDescent="0.15">
      <c r="B28" s="87" t="s">
        <v>179</v>
      </c>
      <c r="C28" s="34">
        <f>Income_Statement!C44/SUM(Balance_Sheet!C48,Balance_Sheet!C58)</f>
        <v>0.34796512885643283</v>
      </c>
      <c r="D28" s="34">
        <f>Income_Statement!D44/SUM(Balance_Sheet!D48,Balance_Sheet!D58)</f>
        <v>0.11581151942721887</v>
      </c>
      <c r="E28" s="34">
        <f>Income_Statement!E44/SUM(Balance_Sheet!E48,Balance_Sheet!E58)</f>
        <v>0.31615180876338961</v>
      </c>
      <c r="F28" s="34">
        <f>Income_Statement!F44/SUM(Balance_Sheet!F48,Balance_Sheet!F58)</f>
        <v>0.37290856424576407</v>
      </c>
      <c r="G28" s="34">
        <f>Income_Statement!G44/SUM(Balance_Sheet!G48,Balance_Sheet!G58)</f>
        <v>0.3214585098608963</v>
      </c>
      <c r="H28" s="40">
        <f>Income_Statement!H44/SUM(Balance_Sheet!H48,Balance_Sheet!H58)</f>
        <v>0.30824987569702678</v>
      </c>
      <c r="I28" s="40">
        <f>Income_Statement!I44/SUM(Balance_Sheet!I48,Balance_Sheet!I58)</f>
        <v>0.29503275987425731</v>
      </c>
      <c r="J28" s="40">
        <f>Income_Statement!J44/SUM(Balance_Sheet!J48,Balance_Sheet!J58)</f>
        <v>0.28301111336933993</v>
      </c>
      <c r="K28" s="40">
        <f>Income_Statement!K44/SUM(Balance_Sheet!K48,Balance_Sheet!K58)</f>
        <v>0.27532917012081309</v>
      </c>
      <c r="L28" s="40">
        <f>Income_Statement!L44/SUM(Balance_Sheet!L48,Balance_Sheet!L58)</f>
        <v>0.26767924247552122</v>
      </c>
      <c r="M28" s="40">
        <f>Income_Statement!M44/SUM(Balance_Sheet!M48,Balance_Sheet!M58)</f>
        <v>0.2629197396615503</v>
      </c>
      <c r="N28" s="40">
        <f>Income_Statement!N44/SUM(Balance_Sheet!N48,Balance_Sheet!N58)</f>
        <v>0.2577054578595816</v>
      </c>
      <c r="O28" s="40">
        <f>Income_Statement!O44/SUM(Balance_Sheet!O48,Balance_Sheet!O58)</f>
        <v>0.25492867361666716</v>
      </c>
      <c r="P28" s="40">
        <f>Income_Statement!P44/SUM(Balance_Sheet!P48,Balance_Sheet!P58)</f>
        <v>0.2511311309871353</v>
      </c>
      <c r="Q28" s="40">
        <f>Income_Statement!Q44/SUM(Balance_Sheet!Q48,Balance_Sheet!Q58)</f>
        <v>0.24954460040162807</v>
      </c>
    </row>
    <row r="29" spans="2:17" x14ac:dyDescent="0.15">
      <c r="B29" s="87"/>
      <c r="H29" s="40"/>
      <c r="I29" s="40"/>
      <c r="J29" s="40"/>
      <c r="K29" s="40"/>
      <c r="L29" s="40"/>
      <c r="M29" s="40"/>
      <c r="N29" s="40"/>
      <c r="O29" s="40"/>
      <c r="P29" s="40"/>
      <c r="Q29" s="40"/>
    </row>
    <row r="30" spans="2:17" x14ac:dyDescent="0.15">
      <c r="B30" s="87" t="s">
        <v>180</v>
      </c>
      <c r="C30" s="34">
        <f>Income_Statement!C44/Balance_Sheet!C41</f>
        <v>0.1582934970273743</v>
      </c>
      <c r="D30" s="34">
        <f>Income_Statement!D44/Balance_Sheet!D41</f>
        <v>5.9313579502974723E-2</v>
      </c>
      <c r="E30" s="34">
        <f>Income_Statement!E44/Balance_Sheet!E41</f>
        <v>0.1698087607238376</v>
      </c>
      <c r="F30" s="34">
        <f>Income_Statement!F44/Balance_Sheet!F41</f>
        <v>0.19766727792246711</v>
      </c>
      <c r="G30" s="34">
        <f>Income_Statement!G44/Balance_Sheet!G41</f>
        <v>0.18257308726838078</v>
      </c>
      <c r="H30" s="40">
        <f>Income_Statement!H44/Balance_Sheet!H41</f>
        <v>0.16917296828113673</v>
      </c>
      <c r="I30" s="40">
        <f>Income_Statement!I44/Balance_Sheet!I41</f>
        <v>0.1686851187409667</v>
      </c>
      <c r="J30" s="40">
        <f>Income_Statement!J44/Balance_Sheet!J41</f>
        <v>0.16731300999895127</v>
      </c>
      <c r="K30" s="40">
        <f>Income_Statement!K44/Balance_Sheet!K41</f>
        <v>0.16742605522495507</v>
      </c>
      <c r="L30" s="40">
        <f>Income_Statement!L44/Balance_Sheet!L41</f>
        <v>0.16665598079458366</v>
      </c>
      <c r="M30" s="40">
        <f>Income_Statement!M44/Balance_Sheet!M41</f>
        <v>0.16704340203485454</v>
      </c>
      <c r="N30" s="40">
        <f>Income_Statement!N44/Balance_Sheet!N41</f>
        <v>0.16656710104049738</v>
      </c>
      <c r="O30" s="40">
        <f>Income_Statement!O44/Balance_Sheet!O41</f>
        <v>0.16726885579426259</v>
      </c>
      <c r="P30" s="40">
        <f>Income_Statement!P44/Balance_Sheet!P41</f>
        <v>0.16690715076804846</v>
      </c>
      <c r="Q30" s="40">
        <f>Income_Statement!Q44/Balance_Sheet!Q41</f>
        <v>0.16775477058215732</v>
      </c>
    </row>
    <row r="31" spans="2:17" x14ac:dyDescent="0.15">
      <c r="B31" s="87"/>
      <c r="H31" s="40"/>
      <c r="I31" s="40"/>
      <c r="J31" s="40"/>
      <c r="K31" s="40"/>
      <c r="L31" s="40"/>
      <c r="M31" s="40"/>
      <c r="N31" s="40"/>
      <c r="O31" s="40"/>
      <c r="P31" s="40"/>
      <c r="Q31" s="40"/>
    </row>
    <row r="32" spans="2:17" x14ac:dyDescent="0.15">
      <c r="B32" s="87"/>
      <c r="H32" s="40"/>
      <c r="I32" s="40"/>
      <c r="J32" s="40"/>
      <c r="K32" s="40"/>
      <c r="L32" s="40"/>
      <c r="M32" s="40"/>
      <c r="N32" s="40"/>
      <c r="O32" s="40"/>
      <c r="P32" s="40"/>
      <c r="Q32" s="40"/>
    </row>
    <row r="33" spans="2:17" ht="18" x14ac:dyDescent="0.2">
      <c r="B33" s="88" t="s">
        <v>195</v>
      </c>
      <c r="C33" s="89"/>
      <c r="D33" s="89"/>
      <c r="E33" s="89"/>
      <c r="F33" s="89"/>
      <c r="G33" s="89"/>
      <c r="H33" s="89"/>
      <c r="I33" s="89"/>
      <c r="J33" s="89"/>
      <c r="K33" s="89"/>
      <c r="L33" s="89"/>
      <c r="M33" s="89"/>
      <c r="N33" s="89"/>
      <c r="O33" s="89"/>
      <c r="P33" s="89"/>
      <c r="Q33" s="89"/>
    </row>
    <row r="34" spans="2:17" x14ac:dyDescent="0.15">
      <c r="B34" s="87"/>
      <c r="H34" s="40"/>
      <c r="I34" s="40"/>
      <c r="J34" s="40"/>
      <c r="K34" s="40"/>
      <c r="L34" s="40"/>
      <c r="M34" s="40"/>
      <c r="N34" s="40"/>
      <c r="O34" s="40"/>
      <c r="P34" s="40"/>
      <c r="Q34" s="40"/>
    </row>
    <row r="35" spans="2:17" x14ac:dyDescent="0.15">
      <c r="B35" s="87" t="s">
        <v>181</v>
      </c>
      <c r="C35" s="91">
        <f>Balance_Sheet!C39/Balance_Sheet!C69</f>
        <v>1.6114955917989464</v>
      </c>
      <c r="D35" s="91">
        <f>Balance_Sheet!D39/Balance_Sheet!D69</f>
        <v>1.7596842274285411</v>
      </c>
      <c r="E35" s="91">
        <f>Balance_Sheet!E39/Balance_Sheet!E69</f>
        <v>1.8788352623040925</v>
      </c>
      <c r="F35" s="91">
        <f>Balance_Sheet!F39/Balance_Sheet!F69</f>
        <v>1.8198045769166018</v>
      </c>
      <c r="G35" s="91">
        <f>Balance_Sheet!G39/Balance_Sheet!G69</f>
        <v>1.9547118597228592</v>
      </c>
      <c r="H35" s="94">
        <f>Balance_Sheet!H39/Balance_Sheet!H69</f>
        <v>2.0217384080676264</v>
      </c>
      <c r="I35" s="94">
        <f>Balance_Sheet!I39/Balance_Sheet!I69</f>
        <v>2.1442841090777054</v>
      </c>
      <c r="J35" s="94">
        <f>Balance_Sheet!J39/Balance_Sheet!J69</f>
        <v>2.2594444236554279</v>
      </c>
      <c r="K35" s="94">
        <f>Balance_Sheet!K39/Balance_Sheet!K69</f>
        <v>2.3693107434052094</v>
      </c>
      <c r="L35" s="94">
        <f>Balance_Sheet!L39/Balance_Sheet!L69</f>
        <v>2.4718761505255284</v>
      </c>
      <c r="M35" s="94">
        <f>Balance_Sheet!M39/Balance_Sheet!M69</f>
        <v>2.5689411313683843</v>
      </c>
      <c r="N35" s="94">
        <f>Balance_Sheet!N39/Balance_Sheet!N69</f>
        <v>2.6586796962204722</v>
      </c>
      <c r="O35" s="94">
        <f>Balance_Sheet!O39/Balance_Sheet!O69</f>
        <v>2.7435063615533521</v>
      </c>
      <c r="P35" s="94">
        <f>Balance_Sheet!P39/Balance_Sheet!P69</f>
        <v>2.8211248763124805</v>
      </c>
      <c r="Q35" s="94">
        <f>Balance_Sheet!Q39/Balance_Sheet!Q69</f>
        <v>2.8943183514481734</v>
      </c>
    </row>
    <row r="36" spans="2:17" x14ac:dyDescent="0.15">
      <c r="B36" s="87"/>
      <c r="C36" s="90"/>
      <c r="D36" s="90"/>
      <c r="E36" s="90"/>
      <c r="F36" s="90"/>
      <c r="G36" s="90"/>
      <c r="H36" s="95"/>
      <c r="I36" s="95"/>
      <c r="J36" s="95"/>
      <c r="K36" s="95"/>
      <c r="L36" s="95"/>
      <c r="M36" s="95"/>
      <c r="N36" s="95"/>
      <c r="O36" s="95"/>
      <c r="P36" s="95"/>
      <c r="Q36" s="95"/>
    </row>
    <row r="37" spans="2:17" x14ac:dyDescent="0.15">
      <c r="B37" s="87" t="s">
        <v>182</v>
      </c>
      <c r="C37" s="91">
        <f>(Balance_Sheet!C39-Balance_Sheet!C30)/Balance_Sheet!C69</f>
        <v>1.6059700948537035</v>
      </c>
      <c r="D37" s="91">
        <f>(Balance_Sheet!D39-Balance_Sheet!D30)/Balance_Sheet!D69</f>
        <v>1.7554324076764709</v>
      </c>
      <c r="E37" s="91">
        <f>(Balance_Sheet!E39-Balance_Sheet!E30)/Balance_Sheet!E69</f>
        <v>1.8744257333743146</v>
      </c>
      <c r="F37" s="91">
        <f>(Balance_Sheet!F39-Balance_Sheet!F30)/Balance_Sheet!F69</f>
        <v>1.8157861613285866</v>
      </c>
      <c r="G37" s="91">
        <f>(Balance_Sheet!G39-Balance_Sheet!G30)/Balance_Sheet!G69</f>
        <v>1.950545272536649</v>
      </c>
      <c r="H37" s="94">
        <f>(Balance_Sheet!H39-Balance_Sheet!H30)/Balance_Sheet!H69</f>
        <v>2.0186219898427926</v>
      </c>
      <c r="I37" s="94">
        <f>(Balance_Sheet!I39-Balance_Sheet!I30)/Balance_Sheet!I69</f>
        <v>2.1414126780633569</v>
      </c>
      <c r="J37" s="94">
        <f>(Balance_Sheet!J39-Balance_Sheet!J30)/Balance_Sheet!J69</f>
        <v>2.2568065573611471</v>
      </c>
      <c r="K37" s="94">
        <f>(Balance_Sheet!K39-Balance_Sheet!K30)/Balance_Sheet!K69</f>
        <v>2.3668943292739044</v>
      </c>
      <c r="L37" s="94">
        <f>(Balance_Sheet!L39-Balance_Sheet!L30)/Balance_Sheet!L69</f>
        <v>2.4696686011788636</v>
      </c>
      <c r="M37" s="94">
        <f>(Balance_Sheet!M39-Balance_Sheet!M30)/Balance_Sheet!M69</f>
        <v>2.5669295900302389</v>
      </c>
      <c r="N37" s="94">
        <f>(Balance_Sheet!N39-Balance_Sheet!N30)/Balance_Sheet!N69</f>
        <v>2.6568512265833859</v>
      </c>
      <c r="O37" s="94">
        <f>(Balance_Sheet!O39-Balance_Sheet!O30)/Balance_Sheet!O69</f>
        <v>2.7418481178703864</v>
      </c>
      <c r="P37" s="94">
        <f>(Balance_Sheet!P39-Balance_Sheet!P30)/Balance_Sheet!P69</f>
        <v>2.819624251015997</v>
      </c>
      <c r="Q37" s="94">
        <f>(Balance_Sheet!Q39-Balance_Sheet!Q30)/Balance_Sheet!Q69</f>
        <v>2.8929630990047235</v>
      </c>
    </row>
    <row r="38" spans="2:17" x14ac:dyDescent="0.15">
      <c r="B38" s="87"/>
      <c r="H38" s="40"/>
      <c r="I38" s="40"/>
      <c r="J38" s="40"/>
      <c r="K38" s="40"/>
      <c r="L38" s="40"/>
      <c r="M38" s="40"/>
      <c r="N38" s="40"/>
      <c r="O38" s="40"/>
      <c r="P38" s="40"/>
      <c r="Q38" s="40"/>
    </row>
    <row r="39" spans="2:17" x14ac:dyDescent="0.15">
      <c r="B39" s="87"/>
      <c r="H39" s="40"/>
      <c r="I39" s="40"/>
      <c r="J39" s="40"/>
      <c r="K39" s="40"/>
      <c r="L39" s="40"/>
      <c r="M39" s="40"/>
      <c r="N39" s="40"/>
      <c r="O39" s="40"/>
      <c r="P39" s="40"/>
      <c r="Q39" s="40"/>
    </row>
    <row r="40" spans="2:17" ht="18" x14ac:dyDescent="0.2">
      <c r="B40" s="88" t="s">
        <v>196</v>
      </c>
      <c r="C40" s="89"/>
      <c r="D40" s="89"/>
      <c r="E40" s="89"/>
      <c r="F40" s="89"/>
      <c r="G40" s="89"/>
      <c r="H40" s="89"/>
      <c r="I40" s="89"/>
      <c r="J40" s="89"/>
      <c r="K40" s="89"/>
      <c r="L40" s="89"/>
      <c r="M40" s="89"/>
      <c r="N40" s="89"/>
      <c r="O40" s="89"/>
      <c r="P40" s="89"/>
      <c r="Q40" s="89"/>
    </row>
    <row r="41" spans="2:17" x14ac:dyDescent="0.15">
      <c r="B41" s="87"/>
      <c r="H41" s="40"/>
      <c r="I41" s="40"/>
      <c r="J41" s="40"/>
      <c r="K41" s="40"/>
      <c r="L41" s="40"/>
      <c r="M41" s="40"/>
      <c r="N41" s="40"/>
      <c r="O41" s="40"/>
      <c r="P41" s="40"/>
      <c r="Q41" s="40"/>
    </row>
    <row r="42" spans="2:17" x14ac:dyDescent="0.15">
      <c r="B42" s="87" t="s">
        <v>183</v>
      </c>
      <c r="C42" s="91">
        <f>Balance_Sheet!C41/Balance_Sheet!C48</f>
        <v>2.467225575586093</v>
      </c>
      <c r="D42" s="91">
        <f>Balance_Sheet!D41/Balance_Sheet!D48</f>
        <v>2.1659254076455232</v>
      </c>
      <c r="E42" s="91">
        <f>Balance_Sheet!E41/Balance_Sheet!E48</f>
        <v>2.076706441101642</v>
      </c>
      <c r="F42" s="91">
        <f>Balance_Sheet!F41/Balance_Sheet!F48</f>
        <v>2.0532401475610857</v>
      </c>
      <c r="G42" s="91">
        <f>Balance_Sheet!G41/Balance_Sheet!G48</f>
        <v>1.8859332394654711</v>
      </c>
      <c r="H42" s="94">
        <f>Balance_Sheet!H41/Balance_Sheet!H48</f>
        <v>1.9894323490644326</v>
      </c>
      <c r="I42" s="94">
        <f>Balance_Sheet!I41/Balance_Sheet!I48</f>
        <v>1.8990757529372049</v>
      </c>
      <c r="J42" s="94">
        <f>Balance_Sheet!J41/Balance_Sheet!J48</f>
        <v>1.8287541611292217</v>
      </c>
      <c r="K42" s="94">
        <f>Balance_Sheet!K41/Balance_Sheet!K48</f>
        <v>1.7716901880578109</v>
      </c>
      <c r="L42" s="94">
        <f>Balance_Sheet!L41/Balance_Sheet!L48</f>
        <v>1.7255484855050358</v>
      </c>
      <c r="M42" s="94">
        <f>Balance_Sheet!M41/Balance_Sheet!M48</f>
        <v>1.6869219994186859</v>
      </c>
      <c r="N42" s="94">
        <f>Balance_Sheet!N41/Balance_Sheet!N48</f>
        <v>1.6549564991071273</v>
      </c>
      <c r="O42" s="94">
        <f>Balance_Sheet!O41/Balance_Sheet!O48</f>
        <v>1.6274881267165628</v>
      </c>
      <c r="P42" s="94">
        <f>Balance_Sheet!P41/Balance_Sheet!P48</f>
        <v>1.6044484685145293</v>
      </c>
      <c r="Q42" s="94">
        <f>Balance_Sheet!Q41/Balance_Sheet!Q48</f>
        <v>1.5842586659522702</v>
      </c>
    </row>
    <row r="43" spans="2:17" x14ac:dyDescent="0.15">
      <c r="B43" s="87"/>
      <c r="H43" s="40"/>
      <c r="I43" s="40"/>
      <c r="J43" s="40"/>
      <c r="K43" s="40"/>
      <c r="L43" s="40"/>
      <c r="M43" s="40"/>
      <c r="N43" s="40"/>
      <c r="O43" s="40"/>
      <c r="P43" s="40"/>
      <c r="Q43" s="40"/>
    </row>
    <row r="44" spans="2:17" x14ac:dyDescent="0.15">
      <c r="B44" s="87" t="s">
        <v>184</v>
      </c>
      <c r="C44" s="91">
        <f>SUM(Balance_Sheet!C53:C55,Balance_Sheet!C62:C63)/Balance_Sheet!C48</f>
        <v>7.848675356785477E-2</v>
      </c>
      <c r="D44" s="91">
        <f>SUM(Balance_Sheet!D53:D55,Balance_Sheet!D62:D63)/Balance_Sheet!D48</f>
        <v>6.7914429025627901E-2</v>
      </c>
      <c r="E44" s="91">
        <f>SUM(Balance_Sheet!E53:E55,Balance_Sheet!E62:E63)/Balance_Sheet!E48</f>
        <v>6.7962025191925027E-2</v>
      </c>
      <c r="F44" s="91">
        <f>SUM(Balance_Sheet!F53:F55,Balance_Sheet!F62:F63)/Balance_Sheet!F48</f>
        <v>4.9063266155829878E-2</v>
      </c>
      <c r="G44" s="91">
        <f>SUM(Balance_Sheet!G53:G55,Balance_Sheet!G62:G63)/Balance_Sheet!G48</f>
        <v>3.5493377832430131E-2</v>
      </c>
      <c r="H44" s="94">
        <f>SUM(Balance_Sheet!H53:H55,Balance_Sheet!H62:H63)/Balance_Sheet!H48</f>
        <v>5.3108718216351575E-2</v>
      </c>
      <c r="I44" s="94">
        <f>SUM(Balance_Sheet!I53:I55,Balance_Sheet!I62:I63)/Balance_Sheet!I48</f>
        <v>4.9616866148871612E-2</v>
      </c>
      <c r="J44" s="94">
        <f>SUM(Balance_Sheet!J53:J55,Balance_Sheet!J62:J63)/Balance_Sheet!J48</f>
        <v>4.6922895384433928E-2</v>
      </c>
      <c r="K44" s="94">
        <f>SUM(Balance_Sheet!K53:K55,Balance_Sheet!K62:K63)/Balance_Sheet!K48</f>
        <v>4.4734243030438881E-2</v>
      </c>
      <c r="L44" s="94">
        <f>SUM(Balance_Sheet!L53:L55,Balance_Sheet!L62:L63)/Balance_Sheet!L48</f>
        <v>4.2979021750595661E-2</v>
      </c>
      <c r="M44" s="94">
        <f>SUM(Balance_Sheet!M53:M55,Balance_Sheet!M62:M63)/Balance_Sheet!M48</f>
        <v>4.1504099048447401E-2</v>
      </c>
      <c r="N44" s="94">
        <f>SUM(Balance_Sheet!N53:N55,Balance_Sheet!N62:N63)/Balance_Sheet!N48</f>
        <v>4.0293710125900786E-2</v>
      </c>
      <c r="O44" s="94">
        <f>SUM(Balance_Sheet!O53:O55,Balance_Sheet!O62:O63)/Balance_Sheet!O48</f>
        <v>3.924346751355548E-2</v>
      </c>
      <c r="P44" s="94">
        <f>SUM(Balance_Sheet!P53:P55,Balance_Sheet!P62:P63)/Balance_Sheet!P48</f>
        <v>3.8370914226324097E-2</v>
      </c>
      <c r="Q44" s="94">
        <f>SUM(Balance_Sheet!Q53:Q55,Balance_Sheet!Q62:Q63)/Balance_Sheet!Q48</f>
        <v>3.759416944154103E-2</v>
      </c>
    </row>
    <row r="45" spans="2:17" x14ac:dyDescent="0.15">
      <c r="B45" s="87"/>
      <c r="H45" s="40"/>
      <c r="I45" s="40"/>
      <c r="J45" s="40"/>
      <c r="K45" s="40"/>
      <c r="L45" s="40"/>
      <c r="M45" s="40"/>
      <c r="N45" s="40"/>
      <c r="O45" s="40"/>
      <c r="P45" s="40"/>
      <c r="Q45" s="40"/>
    </row>
    <row r="46" spans="2:17" x14ac:dyDescent="0.15">
      <c r="B46" s="87" t="s">
        <v>185</v>
      </c>
      <c r="C46" s="91">
        <f>SUM(Balance_Sheet!C53:C55,Balance_Sheet!C62:C63)/Balance_Sheet!C41</f>
        <v>3.1811746094278434E-2</v>
      </c>
      <c r="D46" s="91">
        <f>SUM(Balance_Sheet!D53:D55,Balance_Sheet!D62:D63)/Balance_Sheet!D41</f>
        <v>3.135584853748704E-2</v>
      </c>
      <c r="E46" s="91">
        <f>SUM(Balance_Sheet!E53:E55,Balance_Sheet!E62:E63)/Balance_Sheet!E41</f>
        <v>3.2725870082953488E-2</v>
      </c>
      <c r="F46" s="91">
        <f>SUM(Balance_Sheet!F53:F55,Balance_Sheet!F62:F63)/Balance_Sheet!F41</f>
        <v>2.3895532246488084E-2</v>
      </c>
      <c r="G46" s="91">
        <f>SUM(Balance_Sheet!G53:G55,Balance_Sheet!G62:G63)/Balance_Sheet!G41</f>
        <v>1.8820060588406615E-2</v>
      </c>
      <c r="H46" s="94">
        <f>SUM(Balance_Sheet!H53:H55,Balance_Sheet!H62:H63)/Balance_Sheet!H41</f>
        <v>2.6695413011317996E-2</v>
      </c>
      <c r="I46" s="94">
        <f>SUM(Balance_Sheet!I53:I55,Balance_Sheet!I62:I63)/Balance_Sheet!I41</f>
        <v>2.6126849375087701E-2</v>
      </c>
      <c r="J46" s="94">
        <f>SUM(Balance_Sheet!J53:J55,Balance_Sheet!J62:J63)/Balance_Sheet!J41</f>
        <v>2.5658394322099543E-2</v>
      </c>
      <c r="K46" s="94">
        <f>SUM(Balance_Sheet!K53:K55,Balance_Sheet!K62:K63)/Balance_Sheet!K41</f>
        <v>2.5249472696734936E-2</v>
      </c>
      <c r="L46" s="94">
        <f>SUM(Balance_Sheet!L53:L55,Balance_Sheet!L62:L63)/Balance_Sheet!L41</f>
        <v>2.4907455288349378E-2</v>
      </c>
      <c r="M46" s="94">
        <f>SUM(Balance_Sheet!M53:M55,Balance_Sheet!M62:M63)/Balance_Sheet!M41</f>
        <v>2.4603448803649328E-2</v>
      </c>
      <c r="N46" s="94">
        <f>SUM(Balance_Sheet!N53:N55,Balance_Sheet!N62:N63)/Balance_Sheet!N41</f>
        <v>2.4347292601128681E-2</v>
      </c>
      <c r="O46" s="94">
        <f>SUM(Balance_Sheet!O53:O55,Balance_Sheet!O62:O63)/Balance_Sheet!O41</f>
        <v>2.4112905568613081E-2</v>
      </c>
      <c r="P46" s="94">
        <f>SUM(Balance_Sheet!P53:P55,Balance_Sheet!P62:P63)/Balance_Sheet!P41</f>
        <v>2.3915329771762389E-2</v>
      </c>
      <c r="Q46" s="94">
        <f>SUM(Balance_Sheet!Q53:Q55,Balance_Sheet!Q62:Q63)/Balance_Sheet!Q41</f>
        <v>2.3729817768706241E-2</v>
      </c>
    </row>
    <row r="47" spans="2:17" x14ac:dyDescent="0.15">
      <c r="B47" s="87"/>
      <c r="H47" s="40"/>
      <c r="I47" s="40"/>
      <c r="J47" s="40"/>
      <c r="K47" s="40"/>
      <c r="L47" s="40"/>
      <c r="M47" s="40"/>
      <c r="N47" s="40"/>
      <c r="O47" s="40"/>
      <c r="P47" s="40"/>
      <c r="Q47" s="40"/>
    </row>
    <row r="48" spans="2:17" x14ac:dyDescent="0.15">
      <c r="B48" s="87" t="s">
        <v>186</v>
      </c>
      <c r="C48" s="91">
        <f>Income_Statement!C32/Income_Statement!C34</f>
        <v>67.663776137761374</v>
      </c>
      <c r="D48" s="91">
        <f>Income_Statement!D32/Income_Statement!D34</f>
        <v>17.084146812931898</v>
      </c>
      <c r="E48" s="91">
        <f>Income_Statement!E32/Income_Statement!E34</f>
        <v>74.617864253393677</v>
      </c>
      <c r="F48" s="91">
        <f>Income_Statement!F32/Income_Statement!F34</f>
        <v>75.872248254460828</v>
      </c>
      <c r="G48" s="91">
        <f>Income_Statement!G32/Income_Statement!G34</f>
        <v>75.62893109220073</v>
      </c>
      <c r="H48" s="94">
        <f>Income_Statement!H32/Income_Statement!H34</f>
        <v>90.174043976000846</v>
      </c>
      <c r="I48" s="94">
        <f>Income_Statement!I32/Income_Statement!I34</f>
        <v>96.460685819090855</v>
      </c>
      <c r="J48" s="94">
        <f>Income_Statement!J32/Income_Statement!J34</f>
        <v>102.45653075728841</v>
      </c>
      <c r="K48" s="94">
        <f>Income_Statement!K32/Income_Statement!K34</f>
        <v>108.31895105038423</v>
      </c>
      <c r="L48" s="94">
        <f>Income_Statement!L32/Income_Statement!L34</f>
        <v>113.91245044967269</v>
      </c>
      <c r="M48" s="94">
        <f>Income_Statement!M32/Income_Statement!M34</f>
        <v>119.15180799239411</v>
      </c>
      <c r="N48" s="94">
        <f>Income_Statement!N32/Income_Statement!N34</f>
        <v>124.16797082960504</v>
      </c>
      <c r="O48" s="94">
        <f>Income_Statement!O32/Income_Statement!O34</f>
        <v>128.88443800643</v>
      </c>
      <c r="P48" s="94">
        <f>Income_Statement!P32/Income_Statement!P34</f>
        <v>133.26234165868536</v>
      </c>
      <c r="Q48" s="94">
        <f>Income_Statement!Q32/Income_Statement!Q34</f>
        <v>137.40852624064229</v>
      </c>
    </row>
    <row r="49" spans="2:17" x14ac:dyDescent="0.15">
      <c r="B49" s="87"/>
      <c r="H49" s="40"/>
      <c r="I49" s="40"/>
      <c r="J49" s="40"/>
      <c r="K49" s="40"/>
      <c r="L49" s="40"/>
      <c r="M49" s="40"/>
      <c r="N49" s="40"/>
      <c r="O49" s="40"/>
      <c r="P49" s="40"/>
      <c r="Q49" s="40"/>
    </row>
    <row r="50" spans="2:17" x14ac:dyDescent="0.15">
      <c r="B50" s="87"/>
      <c r="H50" s="40"/>
      <c r="I50" s="40"/>
      <c r="J50" s="40"/>
      <c r="K50" s="40"/>
      <c r="L50" s="40"/>
      <c r="M50" s="40"/>
      <c r="N50" s="40"/>
      <c r="O50" s="40"/>
      <c r="P50" s="40"/>
      <c r="Q50" s="40"/>
    </row>
    <row r="51" spans="2:17" ht="18" x14ac:dyDescent="0.2">
      <c r="B51" s="88" t="s">
        <v>197</v>
      </c>
      <c r="C51" s="89"/>
      <c r="D51" s="89"/>
      <c r="E51" s="89"/>
      <c r="F51" s="89"/>
      <c r="G51" s="89"/>
      <c r="H51" s="89"/>
      <c r="I51" s="89"/>
      <c r="J51" s="89"/>
      <c r="K51" s="89"/>
      <c r="L51" s="89"/>
      <c r="M51" s="89"/>
      <c r="N51" s="89"/>
      <c r="O51" s="89"/>
      <c r="P51" s="89"/>
      <c r="Q51" s="89"/>
    </row>
    <row r="52" spans="2:17" x14ac:dyDescent="0.15">
      <c r="B52" s="87"/>
      <c r="H52" s="40"/>
      <c r="I52" s="40"/>
      <c r="J52" s="40"/>
      <c r="K52" s="40"/>
      <c r="L52" s="40"/>
      <c r="M52" s="40"/>
      <c r="N52" s="40"/>
      <c r="O52" s="40"/>
      <c r="P52" s="40"/>
      <c r="Q52" s="40"/>
    </row>
    <row r="53" spans="2:17" x14ac:dyDescent="0.15">
      <c r="B53" s="87" t="s">
        <v>187</v>
      </c>
      <c r="C53" s="91">
        <f>Income_Statement!C14/SUM(Balance_Sheet!C16:C20)</f>
        <v>7.5252569665451627</v>
      </c>
      <c r="D53" s="91">
        <f>Income_Statement!D14/SUM(Balance_Sheet!D16:D20)</f>
        <v>2.3138943112102615</v>
      </c>
      <c r="E53" s="91">
        <f>Income_Statement!E14/SUM(Balance_Sheet!E16:E20)</f>
        <v>5.1953550359760969</v>
      </c>
      <c r="F53" s="91">
        <f>Income_Statement!F14/SUM(Balance_Sheet!F16:F20)</f>
        <v>9.2052730515681169</v>
      </c>
      <c r="G53" s="91">
        <f>Income_Statement!G14/SUM(Balance_Sheet!G16:G20)</f>
        <v>5.4377411972134935</v>
      </c>
      <c r="H53" s="94">
        <f>Income_Statement!H14/SUM(Balance_Sheet!H16:H20)</f>
        <v>12.567908258966728</v>
      </c>
      <c r="I53" s="94">
        <f>Income_Statement!I14/SUM(Balance_Sheet!I16:I20)</f>
        <v>13.796200953809318</v>
      </c>
      <c r="J53" s="94">
        <f>Income_Statement!J14/SUM(Balance_Sheet!J16:J20)</f>
        <v>15.19704978856932</v>
      </c>
      <c r="K53" s="94">
        <f>Income_Statement!K14/SUM(Balance_Sheet!K16:K20)</f>
        <v>16.803979899644624</v>
      </c>
      <c r="L53" s="94">
        <f>Income_Statement!L14/SUM(Balance_Sheet!L16:L20)</f>
        <v>18.659995661611831</v>
      </c>
      <c r="M53" s="94">
        <f>Income_Statement!M14/SUM(Balance_Sheet!M16:M20)</f>
        <v>20.771908431308844</v>
      </c>
      <c r="N53" s="94">
        <f>Income_Statement!N14/SUM(Balance_Sheet!N16:N20)</f>
        <v>23.188699376673956</v>
      </c>
      <c r="O53" s="94">
        <f>Income_Statement!O14/SUM(Balance_Sheet!O16:O20)</f>
        <v>25.972873346835776</v>
      </c>
      <c r="P53" s="94">
        <f>Income_Statement!P14/SUM(Balance_Sheet!P16:P20)</f>
        <v>29.144015055431659</v>
      </c>
      <c r="Q53" s="94">
        <f>Income_Statement!Q14/SUM(Balance_Sheet!Q16:Q20)</f>
        <v>32.774597522236249</v>
      </c>
    </row>
    <row r="54" spans="2:17" x14ac:dyDescent="0.15">
      <c r="B54" s="87"/>
      <c r="C54" s="91"/>
      <c r="D54" s="91"/>
      <c r="E54" s="91"/>
      <c r="F54" s="91"/>
      <c r="G54" s="91"/>
      <c r="H54" s="94"/>
      <c r="I54" s="94"/>
      <c r="J54" s="94"/>
      <c r="K54" s="94"/>
      <c r="L54" s="94"/>
      <c r="M54" s="94"/>
      <c r="N54" s="94"/>
      <c r="O54" s="94"/>
      <c r="P54" s="94"/>
      <c r="Q54" s="94"/>
    </row>
    <row r="55" spans="2:17" x14ac:dyDescent="0.15">
      <c r="B55" s="87" t="s">
        <v>188</v>
      </c>
      <c r="C55" s="91">
        <f>Income_Statement!C14/Balance_Sheet!C41</f>
        <v>0.69854004071270237</v>
      </c>
      <c r="D55" s="91">
        <f>Income_Statement!D14/Balance_Sheet!D41</f>
        <v>0.24630943077793646</v>
      </c>
      <c r="E55" s="91">
        <f>Income_Statement!E14/Balance_Sheet!E41</f>
        <v>0.4836585371568024</v>
      </c>
      <c r="F55" s="91">
        <f>Income_Statement!F14/Balance_Sheet!F41</f>
        <v>0.69594041281736529</v>
      </c>
      <c r="G55" s="91">
        <f>Income_Statement!G14/Balance_Sheet!G41</f>
        <v>0.70104457554631994</v>
      </c>
      <c r="H55" s="94">
        <f>Income_Statement!H14/Balance_Sheet!H41</f>
        <v>0.6123333264386116</v>
      </c>
      <c r="I55" s="94">
        <f>Income_Statement!I14/Balance_Sheet!I41</f>
        <v>0.59929174275839936</v>
      </c>
      <c r="J55" s="94">
        <f>Income_Statement!J14/Balance_Sheet!J41</f>
        <v>0.58854642704586102</v>
      </c>
      <c r="K55" s="94">
        <f>Income_Statement!K14/Balance_Sheet!K41</f>
        <v>0.57916667558795953</v>
      </c>
      <c r="L55" s="94">
        <f>Income_Statement!L14/Balance_Sheet!L41</f>
        <v>0.57132155787849204</v>
      </c>
      <c r="M55" s="94">
        <f>Income_Statement!M14/Balance_Sheet!M41</f>
        <v>0.56434832611180741</v>
      </c>
      <c r="N55" s="94">
        <f>Income_Statement!N14/Balance_Sheet!N41</f>
        <v>0.55847267326047845</v>
      </c>
      <c r="O55" s="94">
        <f>Income_Statement!O14/Balance_Sheet!O41</f>
        <v>0.55309635669127966</v>
      </c>
      <c r="P55" s="94">
        <f>Income_Statement!P14/Balance_Sheet!P41</f>
        <v>0.54856440789325778</v>
      </c>
      <c r="Q55" s="94">
        <f>Income_Statement!Q14/Balance_Sheet!Q41</f>
        <v>0.54430917566000869</v>
      </c>
    </row>
    <row r="56" spans="2:17" x14ac:dyDescent="0.15">
      <c r="B56" s="87"/>
      <c r="C56" s="91"/>
      <c r="D56" s="91"/>
      <c r="E56" s="91"/>
      <c r="F56" s="91"/>
      <c r="G56" s="91"/>
      <c r="H56" s="94"/>
      <c r="I56" s="94"/>
      <c r="J56" s="94"/>
      <c r="K56" s="94"/>
      <c r="L56" s="94"/>
      <c r="M56" s="94"/>
      <c r="N56" s="94"/>
      <c r="O56" s="94"/>
      <c r="P56" s="94"/>
      <c r="Q56" s="94"/>
    </row>
    <row r="57" spans="2:17" x14ac:dyDescent="0.15">
      <c r="B57" s="87"/>
      <c r="H57" s="40"/>
      <c r="I57" s="40"/>
      <c r="J57" s="40"/>
      <c r="K57" s="40"/>
      <c r="L57" s="40"/>
      <c r="M57" s="40"/>
      <c r="N57" s="40"/>
      <c r="O57" s="40"/>
      <c r="P57" s="40"/>
      <c r="Q57" s="40"/>
    </row>
    <row r="58" spans="2:17" ht="18" x14ac:dyDescent="0.2">
      <c r="B58" s="88" t="s">
        <v>198</v>
      </c>
      <c r="C58" s="89"/>
      <c r="D58" s="89"/>
      <c r="E58" s="89"/>
      <c r="F58" s="89"/>
      <c r="G58" s="89"/>
      <c r="H58" s="89"/>
      <c r="I58" s="89"/>
      <c r="J58" s="89"/>
      <c r="K58" s="89"/>
      <c r="L58" s="89"/>
      <c r="M58" s="89"/>
      <c r="N58" s="89"/>
      <c r="O58" s="89"/>
      <c r="P58" s="89"/>
      <c r="Q58" s="89"/>
    </row>
    <row r="59" spans="2:17" x14ac:dyDescent="0.15">
      <c r="B59" s="87"/>
      <c r="H59" s="40"/>
      <c r="I59" s="40"/>
      <c r="J59" s="40"/>
      <c r="K59" s="40"/>
      <c r="L59" s="40"/>
      <c r="M59" s="40"/>
      <c r="N59" s="40"/>
      <c r="O59" s="40"/>
      <c r="P59" s="40"/>
      <c r="Q59" s="40"/>
    </row>
    <row r="60" spans="2:17" x14ac:dyDescent="0.15">
      <c r="B60" s="87" t="s">
        <v>189</v>
      </c>
      <c r="C60" s="34">
        <f t="shared" ref="C60:Q60" si="0">C24</f>
        <v>0.22660618976955357</v>
      </c>
      <c r="D60" s="34">
        <f t="shared" si="0"/>
        <v>0.24080921025086394</v>
      </c>
      <c r="E60" s="34">
        <f t="shared" si="0"/>
        <v>0.35109224313926563</v>
      </c>
      <c r="F60" s="34">
        <f t="shared" si="0"/>
        <v>0.28402902645393674</v>
      </c>
      <c r="G60" s="34">
        <f t="shared" si="0"/>
        <v>0.26043006912378236</v>
      </c>
      <c r="H60" s="40">
        <f t="shared" si="0"/>
        <v>0.2762759447784145</v>
      </c>
      <c r="I60" s="40">
        <f t="shared" si="0"/>
        <v>0.28147412471353045</v>
      </c>
      <c r="J60" s="40">
        <f t="shared" si="0"/>
        <v>0.28428175299399755</v>
      </c>
      <c r="K60" s="40">
        <f t="shared" si="0"/>
        <v>0.28908095420888497</v>
      </c>
      <c r="L60" s="40">
        <f t="shared" si="0"/>
        <v>0.29170259461840198</v>
      </c>
      <c r="M60" s="40">
        <f t="shared" si="0"/>
        <v>0.29599343934575667</v>
      </c>
      <c r="N60" s="40">
        <f t="shared" si="0"/>
        <v>0.29825470254085013</v>
      </c>
      <c r="O60" s="40">
        <f t="shared" si="0"/>
        <v>0.30242263173616707</v>
      </c>
      <c r="P60" s="40">
        <f t="shared" si="0"/>
        <v>0.30426172089627446</v>
      </c>
      <c r="Q60" s="40">
        <f t="shared" si="0"/>
        <v>0.30819757976474355</v>
      </c>
    </row>
    <row r="61" spans="2:17" x14ac:dyDescent="0.15">
      <c r="B61" s="87"/>
      <c r="H61" s="40"/>
      <c r="I61" s="40"/>
      <c r="J61" s="40"/>
      <c r="K61" s="40"/>
      <c r="L61" s="40"/>
      <c r="M61" s="40"/>
      <c r="N61" s="40"/>
      <c r="O61" s="40"/>
      <c r="P61" s="40"/>
      <c r="Q61" s="40"/>
    </row>
    <row r="62" spans="2:17" x14ac:dyDescent="0.15">
      <c r="B62" s="87" t="s">
        <v>190</v>
      </c>
      <c r="C62" s="91">
        <f t="shared" ref="C62:Q62" si="1">C55</f>
        <v>0.69854004071270237</v>
      </c>
      <c r="D62" s="91">
        <f t="shared" si="1"/>
        <v>0.24630943077793646</v>
      </c>
      <c r="E62" s="91">
        <f t="shared" si="1"/>
        <v>0.4836585371568024</v>
      </c>
      <c r="F62" s="91">
        <f t="shared" si="1"/>
        <v>0.69594041281736529</v>
      </c>
      <c r="G62" s="91">
        <f t="shared" si="1"/>
        <v>0.70104457554631994</v>
      </c>
      <c r="H62" s="94">
        <f t="shared" si="1"/>
        <v>0.6123333264386116</v>
      </c>
      <c r="I62" s="94">
        <f t="shared" si="1"/>
        <v>0.59929174275839936</v>
      </c>
      <c r="J62" s="94">
        <f t="shared" si="1"/>
        <v>0.58854642704586102</v>
      </c>
      <c r="K62" s="94">
        <f t="shared" si="1"/>
        <v>0.57916667558795953</v>
      </c>
      <c r="L62" s="94">
        <f t="shared" si="1"/>
        <v>0.57132155787849204</v>
      </c>
      <c r="M62" s="94">
        <f t="shared" si="1"/>
        <v>0.56434832611180741</v>
      </c>
      <c r="N62" s="94">
        <f t="shared" si="1"/>
        <v>0.55847267326047845</v>
      </c>
      <c r="O62" s="94">
        <f t="shared" si="1"/>
        <v>0.55309635669127966</v>
      </c>
      <c r="P62" s="94">
        <f t="shared" si="1"/>
        <v>0.54856440789325778</v>
      </c>
      <c r="Q62" s="94">
        <f t="shared" si="1"/>
        <v>0.54430917566000869</v>
      </c>
    </row>
    <row r="63" spans="2:17" x14ac:dyDescent="0.15">
      <c r="B63" s="87"/>
      <c r="H63" s="40"/>
      <c r="I63" s="40"/>
      <c r="J63" s="40"/>
      <c r="K63" s="40"/>
      <c r="L63" s="40"/>
      <c r="M63" s="40"/>
      <c r="N63" s="40"/>
      <c r="O63" s="40"/>
      <c r="P63" s="40"/>
      <c r="Q63" s="40"/>
    </row>
    <row r="64" spans="2:17" x14ac:dyDescent="0.15">
      <c r="B64" s="87" t="s">
        <v>191</v>
      </c>
      <c r="C64" s="91">
        <f>Balance_Sheet!C41/Balance_Sheet!C48</f>
        <v>2.467225575586093</v>
      </c>
      <c r="D64" s="91">
        <f>Balance_Sheet!D41/Balance_Sheet!D48</f>
        <v>2.1659254076455232</v>
      </c>
      <c r="E64" s="91">
        <f>Balance_Sheet!E41/Balance_Sheet!E48</f>
        <v>2.076706441101642</v>
      </c>
      <c r="F64" s="91">
        <f>Balance_Sheet!F41/Balance_Sheet!F48</f>
        <v>2.0532401475610857</v>
      </c>
      <c r="G64" s="91">
        <f>Balance_Sheet!G41/Balance_Sheet!G48</f>
        <v>1.8859332394654711</v>
      </c>
      <c r="H64" s="94">
        <f>Balance_Sheet!H41/Balance_Sheet!H48</f>
        <v>1.9894323490644326</v>
      </c>
      <c r="I64" s="94">
        <f>Balance_Sheet!I41/Balance_Sheet!I48</f>
        <v>1.8990757529372049</v>
      </c>
      <c r="J64" s="94">
        <f>Balance_Sheet!J41/Balance_Sheet!J48</f>
        <v>1.8287541611292217</v>
      </c>
      <c r="K64" s="94">
        <f>Balance_Sheet!K41/Balance_Sheet!K48</f>
        <v>1.7716901880578109</v>
      </c>
      <c r="L64" s="94">
        <f>Balance_Sheet!L41/Balance_Sheet!L48</f>
        <v>1.7255484855050358</v>
      </c>
      <c r="M64" s="94">
        <f>Balance_Sheet!M41/Balance_Sheet!M48</f>
        <v>1.6869219994186859</v>
      </c>
      <c r="N64" s="94">
        <f>Balance_Sheet!N41/Balance_Sheet!N48</f>
        <v>1.6549564991071273</v>
      </c>
      <c r="O64" s="94">
        <f>Balance_Sheet!O41/Balance_Sheet!O48</f>
        <v>1.6274881267165628</v>
      </c>
      <c r="P64" s="94">
        <f>Balance_Sheet!P41/Balance_Sheet!P48</f>
        <v>1.6044484685145293</v>
      </c>
      <c r="Q64" s="94">
        <f>Balance_Sheet!Q41/Balance_Sheet!Q48</f>
        <v>1.5842586659522702</v>
      </c>
    </row>
    <row r="65" spans="1:17" x14ac:dyDescent="0.15">
      <c r="B65" s="1"/>
      <c r="H65" s="40"/>
      <c r="I65" s="40"/>
      <c r="J65" s="40"/>
      <c r="K65" s="40"/>
      <c r="L65" s="40"/>
      <c r="M65" s="40"/>
      <c r="N65" s="40"/>
      <c r="O65" s="40"/>
      <c r="P65" s="40"/>
      <c r="Q65" s="40"/>
    </row>
    <row r="66" spans="1:17" x14ac:dyDescent="0.15">
      <c r="B66" s="1" t="s">
        <v>192</v>
      </c>
      <c r="C66" s="34">
        <f t="shared" ref="C66:Q66" si="2">PRODUCT(C64,C62,C60)</f>
        <v>0.39054576431489907</v>
      </c>
      <c r="D66" s="34">
        <f t="shared" si="2"/>
        <v>0.12846878886389568</v>
      </c>
      <c r="E66" s="34">
        <f t="shared" si="2"/>
        <v>0.35264294715068106</v>
      </c>
      <c r="F66" s="34">
        <f t="shared" si="2"/>
        <v>0.40585839088952452</v>
      </c>
      <c r="G66" s="34">
        <f t="shared" si="2"/>
        <v>0.34432065391126948</v>
      </c>
      <c r="H66" s="40">
        <f t="shared" si="2"/>
        <v>0.33655817568574459</v>
      </c>
      <c r="I66" s="40">
        <f t="shared" si="2"/>
        <v>0.32034581888230318</v>
      </c>
      <c r="J66" s="40">
        <f t="shared" si="2"/>
        <v>0.30597436324663718</v>
      </c>
      <c r="K66" s="40">
        <f t="shared" si="2"/>
        <v>0.29662709926727804</v>
      </c>
      <c r="L66" s="40">
        <f t="shared" si="2"/>
        <v>0.28757297526045017</v>
      </c>
      <c r="M66" s="40">
        <f t="shared" si="2"/>
        <v>0.28178918975033629</v>
      </c>
      <c r="N66" s="40">
        <f t="shared" si="2"/>
        <v>0.27566130640440467</v>
      </c>
      <c r="O66" s="40">
        <f t="shared" si="2"/>
        <v>0.27222807677462729</v>
      </c>
      <c r="P66" s="40">
        <f t="shared" si="2"/>
        <v>0.26779392243391897</v>
      </c>
      <c r="Q66" s="40">
        <f t="shared" si="2"/>
        <v>0.26576694904961773</v>
      </c>
    </row>
    <row r="67" spans="1:17" x14ac:dyDescent="0.15">
      <c r="B67" s="1"/>
      <c r="H67" s="40"/>
      <c r="I67" s="40"/>
      <c r="J67" s="40"/>
      <c r="K67" s="40"/>
      <c r="L67" s="40"/>
      <c r="M67" s="40"/>
      <c r="N67" s="40"/>
      <c r="O67" s="40"/>
      <c r="P67" s="40"/>
      <c r="Q67" s="40"/>
    </row>
    <row r="68" spans="1:17" x14ac:dyDescent="0.15">
      <c r="B68" s="92" t="s">
        <v>69</v>
      </c>
      <c r="C68" s="93" t="str">
        <f t="shared" ref="C68:Q68" si="3">IF(ROUND(C66,2)-ROUND(C26,2)&lt;&gt;0,"Error","OK")</f>
        <v>OK</v>
      </c>
      <c r="D68" s="93" t="str">
        <f t="shared" si="3"/>
        <v>OK</v>
      </c>
      <c r="E68" s="93" t="str">
        <f t="shared" si="3"/>
        <v>OK</v>
      </c>
      <c r="F68" s="93" t="str">
        <f t="shared" si="3"/>
        <v>OK</v>
      </c>
      <c r="G68" s="93" t="str">
        <f t="shared" si="3"/>
        <v>OK</v>
      </c>
      <c r="H68" s="96" t="str">
        <f t="shared" si="3"/>
        <v>OK</v>
      </c>
      <c r="I68" s="96" t="str">
        <f t="shared" si="3"/>
        <v>OK</v>
      </c>
      <c r="J68" s="96" t="str">
        <f t="shared" si="3"/>
        <v>OK</v>
      </c>
      <c r="K68" s="96" t="str">
        <f t="shared" si="3"/>
        <v>OK</v>
      </c>
      <c r="L68" s="96" t="str">
        <f t="shared" si="3"/>
        <v>OK</v>
      </c>
      <c r="M68" s="96" t="str">
        <f t="shared" si="3"/>
        <v>OK</v>
      </c>
      <c r="N68" s="96" t="str">
        <f t="shared" si="3"/>
        <v>OK</v>
      </c>
      <c r="O68" s="96" t="str">
        <f t="shared" si="3"/>
        <v>OK</v>
      </c>
      <c r="P68" s="96" t="str">
        <f t="shared" si="3"/>
        <v>OK</v>
      </c>
      <c r="Q68" s="96" t="str">
        <f t="shared" si="3"/>
        <v>OK</v>
      </c>
    </row>
    <row r="70" spans="1:17" s="1" customFormat="1" ht="21" x14ac:dyDescent="0.25">
      <c r="A70" s="10"/>
      <c r="B70" s="10"/>
      <c r="C70" s="10"/>
      <c r="D70" s="10"/>
      <c r="E70" s="10"/>
      <c r="F70" s="10"/>
      <c r="G70" s="10"/>
      <c r="H70" s="10"/>
      <c r="I70" s="10"/>
      <c r="J70" s="10"/>
      <c r="K70" s="10"/>
      <c r="L70" s="10"/>
      <c r="M70" s="10"/>
      <c r="N70" s="10"/>
      <c r="O70" s="10"/>
      <c r="P70" s="10"/>
      <c r="Q70" s="10"/>
    </row>
  </sheetData>
  <mergeCells count="1">
    <mergeCell ref="B11:B12"/>
  </mergeCells>
  <pageMargins left="0.7" right="0.7" top="0.75" bottom="0.75" header="0.3" footer="0.3"/>
  <pageSetup orientation="portrait" r:id="rId1"/>
  <drawing r:id="rId2"/>
  <extLst>
    <ext xmlns:x14="http://schemas.microsoft.com/office/spreadsheetml/2009/9/main" uri="{05C60535-1F16-4fd2-B633-F4F36F0B64E0}">
      <x14:sparklineGroups xmlns:xm="http://schemas.microsoft.com/office/excel/2006/main">
        <x14:sparklineGroup displayEmptyCellsAs="gap" markers="1" xr2:uid="{BD84FAFA-B7D2-4D41-98D4-B789D4C33385}">
          <x14:colorSeries rgb="FF376092"/>
          <x14:colorNegative rgb="FFD00000"/>
          <x14:colorAxis rgb="FF000000"/>
          <x14:colorMarkers theme="5"/>
          <x14:colorFirst rgb="FFD00000"/>
          <x14:colorLast rgb="FFD00000"/>
          <x14:colorHigh rgb="FFD00000"/>
          <x14:colorLow rgb="FFD00000"/>
          <x14:sparklines>
            <x14:sparkline>
              <xm:f>Ratios_Analysis!C16:Q16</xm:f>
              <xm:sqref>R16</xm:sqref>
            </x14:sparkline>
            <x14:sparkline>
              <xm:f>Ratios_Analysis!C17:Q17</xm:f>
              <xm:sqref>R17</xm:sqref>
            </x14:sparkline>
            <x14:sparkline>
              <xm:f>Ratios_Analysis!C18:Q18</xm:f>
              <xm:sqref>R18</xm:sqref>
            </x14:sparkline>
            <x14:sparkline>
              <xm:f>Ratios_Analysis!C19:Q19</xm:f>
              <xm:sqref>R19</xm:sqref>
            </x14:sparkline>
            <x14:sparkline>
              <xm:f>Ratios_Analysis!C20:Q20</xm:f>
              <xm:sqref>R20</xm:sqref>
            </x14:sparkline>
            <x14:sparkline>
              <xm:f>Ratios_Analysis!C21:Q21</xm:f>
              <xm:sqref>R21</xm:sqref>
            </x14:sparkline>
            <x14:sparkline>
              <xm:f>Ratios_Analysis!C22:Q22</xm:f>
              <xm:sqref>R22</xm:sqref>
            </x14:sparkline>
            <x14:sparkline>
              <xm:f>Ratios_Analysis!C23:Q23</xm:f>
              <xm:sqref>R23</xm:sqref>
            </x14:sparkline>
            <x14:sparkline>
              <xm:f>Ratios_Analysis!C24:Q24</xm:f>
              <xm:sqref>R24</xm:sqref>
            </x14:sparkline>
            <x14:sparkline>
              <xm:f>Ratios_Analysis!C25:Q25</xm:f>
              <xm:sqref>R25</xm:sqref>
            </x14:sparkline>
            <x14:sparkline>
              <xm:f>Ratios_Analysis!C26:Q26</xm:f>
              <xm:sqref>R26</xm:sqref>
            </x14:sparkline>
            <x14:sparkline>
              <xm:f>Ratios_Analysis!C27:Q27</xm:f>
              <xm:sqref>R27</xm:sqref>
            </x14:sparkline>
            <x14:sparkline>
              <xm:f>Ratios_Analysis!C28:Q28</xm:f>
              <xm:sqref>R28</xm:sqref>
            </x14:sparkline>
            <x14:sparkline>
              <xm:f>Ratios_Analysis!C29:Q29</xm:f>
              <xm:sqref>R29</xm:sqref>
            </x14:sparkline>
            <x14:sparkline>
              <xm:f>Ratios_Analysis!C30:Q30</xm:f>
              <xm:sqref>R30</xm:sqref>
            </x14:sparkline>
            <x14:sparkline>
              <xm:f>Ratios_Analysis!C31:Q31</xm:f>
              <xm:sqref>R31</xm:sqref>
            </x14:sparkline>
            <x14:sparkline>
              <xm:f>Ratios_Analysis!C32:Q32</xm:f>
              <xm:sqref>R32</xm:sqref>
            </x14:sparkline>
            <x14:sparkline>
              <xm:f>Ratios_Analysis!C33:Q33</xm:f>
              <xm:sqref>R33</xm:sqref>
            </x14:sparkline>
            <x14:sparkline>
              <xm:f>Ratios_Analysis!C34:Q34</xm:f>
              <xm:sqref>R34</xm:sqref>
            </x14:sparkline>
            <x14:sparkline>
              <xm:f>Ratios_Analysis!C35:Q35</xm:f>
              <xm:sqref>R35</xm:sqref>
            </x14:sparkline>
            <x14:sparkline>
              <xm:f>Ratios_Analysis!C36:Q36</xm:f>
              <xm:sqref>R36</xm:sqref>
            </x14:sparkline>
            <x14:sparkline>
              <xm:f>Ratios_Analysis!C37:Q37</xm:f>
              <xm:sqref>R37</xm:sqref>
            </x14:sparkline>
            <x14:sparkline>
              <xm:f>Ratios_Analysis!C38:Q38</xm:f>
              <xm:sqref>R38</xm:sqref>
            </x14:sparkline>
            <x14:sparkline>
              <xm:f>Ratios_Analysis!C39:Q39</xm:f>
              <xm:sqref>R39</xm:sqref>
            </x14:sparkline>
            <x14:sparkline>
              <xm:f>Ratios_Analysis!C40:Q40</xm:f>
              <xm:sqref>R40</xm:sqref>
            </x14:sparkline>
            <x14:sparkline>
              <xm:f>Ratios_Analysis!C41:Q41</xm:f>
              <xm:sqref>R41</xm:sqref>
            </x14:sparkline>
            <x14:sparkline>
              <xm:f>Ratios_Analysis!C42:Q42</xm:f>
              <xm:sqref>R42</xm:sqref>
            </x14:sparkline>
            <x14:sparkline>
              <xm:f>Ratios_Analysis!C43:Q43</xm:f>
              <xm:sqref>R43</xm:sqref>
            </x14:sparkline>
            <x14:sparkline>
              <xm:f>Ratios_Analysis!C44:Q44</xm:f>
              <xm:sqref>R44</xm:sqref>
            </x14:sparkline>
            <x14:sparkline>
              <xm:f>Ratios_Analysis!C45:Q45</xm:f>
              <xm:sqref>R45</xm:sqref>
            </x14:sparkline>
            <x14:sparkline>
              <xm:f>Ratios_Analysis!C46:Q46</xm:f>
              <xm:sqref>R46</xm:sqref>
            </x14:sparkline>
            <x14:sparkline>
              <xm:f>Ratios_Analysis!C47:Q47</xm:f>
              <xm:sqref>R47</xm:sqref>
            </x14:sparkline>
            <x14:sparkline>
              <xm:f>Ratios_Analysis!C48:Q48</xm:f>
              <xm:sqref>R48</xm:sqref>
            </x14:sparkline>
            <x14:sparkline>
              <xm:f>Ratios_Analysis!C49:Q49</xm:f>
              <xm:sqref>R49</xm:sqref>
            </x14:sparkline>
            <x14:sparkline>
              <xm:f>Ratios_Analysis!C50:Q50</xm:f>
              <xm:sqref>R50</xm:sqref>
            </x14:sparkline>
            <x14:sparkline>
              <xm:f>Ratios_Analysis!C51:Q51</xm:f>
              <xm:sqref>R51</xm:sqref>
            </x14:sparkline>
            <x14:sparkline>
              <xm:f>Ratios_Analysis!C52:Q52</xm:f>
              <xm:sqref>R52</xm:sqref>
            </x14:sparkline>
            <x14:sparkline>
              <xm:f>Ratios_Analysis!C53:Q53</xm:f>
              <xm:sqref>R53</xm:sqref>
            </x14:sparkline>
            <x14:sparkline>
              <xm:f>Ratios_Analysis!C54:Q54</xm:f>
              <xm:sqref>R54</xm:sqref>
            </x14:sparkline>
            <x14:sparkline>
              <xm:f>Ratios_Analysis!C55:Q55</xm:f>
              <xm:sqref>R55</xm:sqref>
            </x14:sparkline>
            <x14:sparkline>
              <xm:f>Ratios_Analysis!C56:Q56</xm:f>
              <xm:sqref>R56</xm:sqref>
            </x14:sparkline>
            <x14:sparkline>
              <xm:f>Ratios_Analysis!C57:Q57</xm:f>
              <xm:sqref>R57</xm:sqref>
            </x14:sparkline>
            <x14:sparkline>
              <xm:f>Ratios_Analysis!C58:Q58</xm:f>
              <xm:sqref>R58</xm:sqref>
            </x14:sparkline>
            <x14:sparkline>
              <xm:f>Ratios_Analysis!C59:Q59</xm:f>
              <xm:sqref>R59</xm:sqref>
            </x14:sparkline>
            <x14:sparkline>
              <xm:f>Ratios_Analysis!C60:Q60</xm:f>
              <xm:sqref>R60</xm:sqref>
            </x14:sparkline>
            <x14:sparkline>
              <xm:f>Ratios_Analysis!C61:Q61</xm:f>
              <xm:sqref>R61</xm:sqref>
            </x14:sparkline>
            <x14:sparkline>
              <xm:f>Ratios_Analysis!C62:Q62</xm:f>
              <xm:sqref>R62</xm:sqref>
            </x14:sparkline>
            <x14:sparkline>
              <xm:f>Ratios_Analysis!C63:Q63</xm:f>
              <xm:sqref>R63</xm:sqref>
            </x14:sparkline>
            <x14:sparkline>
              <xm:f>Ratios_Analysis!C64:Q64</xm:f>
              <xm:sqref>R64</xm:sqref>
            </x14:sparkline>
            <x14:sparkline>
              <xm:f>Ratios_Analysis!C65:Q65</xm:f>
              <xm:sqref>R65</xm:sqref>
            </x14:sparkline>
            <x14:sparkline>
              <xm:f>Ratios_Analysis!C66:Q66</xm:f>
              <xm:sqref>R66</xm:sqref>
            </x14:sparkline>
            <x14:sparkline>
              <xm:f>Ratios_Analysis!C67:Q67</xm:f>
              <xm:sqref>R67</xm:sqref>
            </x14:sparkline>
            <x14:sparkline>
              <xm:f>Ratios_Analysis!C68:Q68</xm:f>
              <xm:sqref>R68</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E24D1-6F8C-4EA8-9053-27C6D8AD4A10}">
  <sheetPr>
    <tabColor theme="5" tint="0.79998168889431442"/>
  </sheetPr>
  <dimension ref="A1:P114"/>
  <sheetViews>
    <sheetView showGridLines="0" workbookViewId="0"/>
  </sheetViews>
  <sheetFormatPr baseColWidth="10" defaultColWidth="15.6640625" defaultRowHeight="14" x14ac:dyDescent="0.15"/>
  <cols>
    <col min="1" max="1" width="2.6640625" style="3" customWidth="1"/>
    <col min="2" max="2" width="15.6640625" style="6" customWidth="1"/>
    <col min="3" max="16384" width="15.6640625" style="3"/>
  </cols>
  <sheetData>
    <row r="1" spans="1:16" s="1" customFormat="1" x14ac:dyDescent="0.15"/>
    <row r="2" spans="1:16" s="1" customFormat="1" x14ac:dyDescent="0.15"/>
    <row r="3" spans="1:16" s="1" customFormat="1" x14ac:dyDescent="0.15"/>
    <row r="4" spans="1:16" s="1" customFormat="1" x14ac:dyDescent="0.15"/>
    <row r="5" spans="1:16" s="1" customFormat="1" x14ac:dyDescent="0.15"/>
    <row r="6" spans="1:16" s="1" customFormat="1" x14ac:dyDescent="0.15"/>
    <row r="7" spans="1:16" s="1" customFormat="1" x14ac:dyDescent="0.15"/>
    <row r="8" spans="1:16" s="1" customFormat="1" ht="21" x14ac:dyDescent="0.25">
      <c r="A8" s="10" t="s">
        <v>359</v>
      </c>
      <c r="B8" s="10"/>
      <c r="C8" s="10"/>
      <c r="D8" s="10"/>
      <c r="E8" s="10"/>
      <c r="F8" s="10"/>
      <c r="G8" s="10"/>
      <c r="H8" s="10"/>
      <c r="I8" s="10"/>
      <c r="J8" s="10"/>
      <c r="K8" s="10"/>
      <c r="L8" s="10"/>
      <c r="M8" s="10"/>
      <c r="N8" s="10"/>
      <c r="O8" s="10"/>
      <c r="P8" s="10"/>
    </row>
    <row r="9" spans="1:16" s="1" customFormat="1" ht="21" x14ac:dyDescent="0.25">
      <c r="A9" s="10" t="s">
        <v>252</v>
      </c>
      <c r="B9" s="10"/>
      <c r="C9" s="10"/>
      <c r="D9" s="10"/>
      <c r="E9" s="10"/>
      <c r="F9" s="10"/>
      <c r="G9" s="10"/>
      <c r="H9" s="10"/>
      <c r="I9" s="10"/>
      <c r="J9" s="10"/>
      <c r="K9" s="10"/>
      <c r="L9" s="10"/>
      <c r="M9" s="10"/>
      <c r="N9" s="10"/>
      <c r="O9" s="10"/>
      <c r="P9" s="10"/>
    </row>
    <row r="10" spans="1:16" s="1" customFormat="1" ht="15" thickBot="1" x14ac:dyDescent="0.2"/>
    <row r="11" spans="1:16" s="18" customFormat="1" ht="17.5" customHeight="1" thickTop="1" x14ac:dyDescent="0.15">
      <c r="A11" s="3"/>
      <c r="B11" s="162" t="s">
        <v>253</v>
      </c>
      <c r="C11" s="162"/>
      <c r="D11" s="162"/>
      <c r="E11" s="162" t="s">
        <v>251</v>
      </c>
      <c r="F11" s="162"/>
      <c r="G11" s="162"/>
      <c r="H11" s="162"/>
      <c r="I11" s="162"/>
      <c r="J11" s="162"/>
      <c r="K11" s="162" t="s">
        <v>250</v>
      </c>
      <c r="L11" s="162"/>
      <c r="M11" s="162"/>
      <c r="N11" s="162"/>
      <c r="O11" s="162"/>
      <c r="P11" s="162"/>
    </row>
    <row r="12" spans="1:16" s="25" customFormat="1" ht="16.75" customHeight="1" x14ac:dyDescent="0.15">
      <c r="A12" s="3"/>
      <c r="B12" s="163"/>
      <c r="C12" s="163"/>
      <c r="D12" s="163"/>
      <c r="E12" s="163"/>
      <c r="F12" s="163"/>
      <c r="G12" s="163"/>
      <c r="H12" s="163"/>
      <c r="I12" s="163"/>
      <c r="J12" s="163"/>
      <c r="K12" s="163"/>
      <c r="L12" s="163"/>
      <c r="M12" s="163"/>
      <c r="N12" s="163"/>
      <c r="O12" s="163"/>
      <c r="P12" s="163"/>
    </row>
    <row r="13" spans="1:16" ht="13.75" customHeight="1" x14ac:dyDescent="0.15">
      <c r="B13" s="163"/>
      <c r="C13" s="163"/>
      <c r="D13" s="163"/>
      <c r="E13" s="163"/>
      <c r="F13" s="163"/>
      <c r="G13" s="163"/>
      <c r="H13" s="163"/>
      <c r="I13" s="163"/>
      <c r="J13" s="163"/>
      <c r="K13" s="163"/>
      <c r="L13" s="163"/>
      <c r="M13" s="163"/>
      <c r="N13" s="163"/>
      <c r="O13" s="163"/>
      <c r="P13" s="163"/>
    </row>
    <row r="14" spans="1:16" ht="13.75" customHeight="1" thickBot="1" x14ac:dyDescent="0.2">
      <c r="B14" s="164"/>
      <c r="C14" s="164"/>
      <c r="D14" s="164"/>
      <c r="E14" s="164"/>
      <c r="F14" s="164"/>
      <c r="G14" s="164"/>
      <c r="H14" s="164"/>
      <c r="I14" s="164"/>
      <c r="J14" s="164"/>
      <c r="K14" s="164"/>
      <c r="L14" s="164"/>
      <c r="M14" s="164"/>
      <c r="N14" s="164"/>
      <c r="O14" s="164"/>
      <c r="P14" s="164"/>
    </row>
    <row r="15" spans="1:16" ht="15" thickTop="1" x14ac:dyDescent="0.15">
      <c r="B15" s="165" t="s">
        <v>199</v>
      </c>
      <c r="C15" s="166"/>
      <c r="D15" s="166"/>
      <c r="E15" s="167" t="s">
        <v>200</v>
      </c>
      <c r="F15" s="167"/>
      <c r="G15" s="167"/>
      <c r="H15" s="167"/>
      <c r="I15" s="167"/>
      <c r="J15" s="167"/>
      <c r="K15" s="167" t="s">
        <v>201</v>
      </c>
      <c r="L15" s="167"/>
      <c r="M15" s="167"/>
      <c r="N15" s="167"/>
      <c r="O15" s="167"/>
      <c r="P15" s="168"/>
    </row>
    <row r="16" spans="1:16" x14ac:dyDescent="0.15">
      <c r="B16" s="158"/>
      <c r="C16" s="159"/>
      <c r="D16" s="159"/>
      <c r="E16" s="160"/>
      <c r="F16" s="160"/>
      <c r="G16" s="160"/>
      <c r="H16" s="160"/>
      <c r="I16" s="160"/>
      <c r="J16" s="160"/>
      <c r="K16" s="160"/>
      <c r="L16" s="160"/>
      <c r="M16" s="160"/>
      <c r="N16" s="160"/>
      <c r="O16" s="160"/>
      <c r="P16" s="161"/>
    </row>
    <row r="17" spans="2:16" x14ac:dyDescent="0.15">
      <c r="B17" s="158"/>
      <c r="C17" s="159"/>
      <c r="D17" s="159"/>
      <c r="E17" s="160"/>
      <c r="F17" s="160"/>
      <c r="G17" s="160"/>
      <c r="H17" s="160"/>
      <c r="I17" s="160"/>
      <c r="J17" s="160"/>
      <c r="K17" s="160"/>
      <c r="L17" s="160"/>
      <c r="M17" s="160"/>
      <c r="N17" s="160"/>
      <c r="O17" s="160"/>
      <c r="P17" s="161"/>
    </row>
    <row r="18" spans="2:16" x14ac:dyDescent="0.15">
      <c r="B18" s="158"/>
      <c r="C18" s="159"/>
      <c r="D18" s="159"/>
      <c r="E18" s="160"/>
      <c r="F18" s="160"/>
      <c r="G18" s="160"/>
      <c r="H18" s="160"/>
      <c r="I18" s="160"/>
      <c r="J18" s="160"/>
      <c r="K18" s="160"/>
      <c r="L18" s="160"/>
      <c r="M18" s="160"/>
      <c r="N18" s="160"/>
      <c r="O18" s="160"/>
      <c r="P18" s="161"/>
    </row>
    <row r="19" spans="2:16" x14ac:dyDescent="0.15">
      <c r="B19" s="158" t="s">
        <v>202</v>
      </c>
      <c r="C19" s="159"/>
      <c r="D19" s="159"/>
      <c r="E19" s="160" t="s">
        <v>203</v>
      </c>
      <c r="F19" s="160"/>
      <c r="G19" s="160"/>
      <c r="H19" s="160"/>
      <c r="I19" s="160"/>
      <c r="J19" s="160"/>
      <c r="K19" s="160" t="s">
        <v>204</v>
      </c>
      <c r="L19" s="160"/>
      <c r="M19" s="160"/>
      <c r="N19" s="160"/>
      <c r="O19" s="160"/>
      <c r="P19" s="161"/>
    </row>
    <row r="20" spans="2:16" x14ac:dyDescent="0.15">
      <c r="B20" s="158"/>
      <c r="C20" s="159"/>
      <c r="D20" s="159"/>
      <c r="E20" s="160"/>
      <c r="F20" s="160"/>
      <c r="G20" s="160"/>
      <c r="H20" s="160"/>
      <c r="I20" s="160"/>
      <c r="J20" s="160"/>
      <c r="K20" s="160"/>
      <c r="L20" s="160"/>
      <c r="M20" s="160"/>
      <c r="N20" s="160"/>
      <c r="O20" s="160"/>
      <c r="P20" s="161"/>
    </row>
    <row r="21" spans="2:16" x14ac:dyDescent="0.15">
      <c r="B21" s="158"/>
      <c r="C21" s="159"/>
      <c r="D21" s="159"/>
      <c r="E21" s="160"/>
      <c r="F21" s="160"/>
      <c r="G21" s="160"/>
      <c r="H21" s="160"/>
      <c r="I21" s="160"/>
      <c r="J21" s="160"/>
      <c r="K21" s="160"/>
      <c r="L21" s="160"/>
      <c r="M21" s="160"/>
      <c r="N21" s="160"/>
      <c r="O21" s="160"/>
      <c r="P21" s="161"/>
    </row>
    <row r="22" spans="2:16" x14ac:dyDescent="0.15">
      <c r="B22" s="158"/>
      <c r="C22" s="159"/>
      <c r="D22" s="159"/>
      <c r="E22" s="160"/>
      <c r="F22" s="160"/>
      <c r="G22" s="160"/>
      <c r="H22" s="160"/>
      <c r="I22" s="160"/>
      <c r="J22" s="160"/>
      <c r="K22" s="160"/>
      <c r="L22" s="160"/>
      <c r="M22" s="160"/>
      <c r="N22" s="160"/>
      <c r="O22" s="160"/>
      <c r="P22" s="161"/>
    </row>
    <row r="23" spans="2:16" x14ac:dyDescent="0.15">
      <c r="B23" s="158" t="s">
        <v>205</v>
      </c>
      <c r="C23" s="159"/>
      <c r="D23" s="159"/>
      <c r="E23" s="160" t="s">
        <v>206</v>
      </c>
      <c r="F23" s="160"/>
      <c r="G23" s="160"/>
      <c r="H23" s="160"/>
      <c r="I23" s="160"/>
      <c r="J23" s="160"/>
      <c r="K23" s="160" t="s">
        <v>207</v>
      </c>
      <c r="L23" s="160"/>
      <c r="M23" s="160"/>
      <c r="N23" s="160"/>
      <c r="O23" s="160"/>
      <c r="P23" s="161"/>
    </row>
    <row r="24" spans="2:16" x14ac:dyDescent="0.15">
      <c r="B24" s="158"/>
      <c r="C24" s="159"/>
      <c r="D24" s="159"/>
      <c r="E24" s="160"/>
      <c r="F24" s="160"/>
      <c r="G24" s="160"/>
      <c r="H24" s="160"/>
      <c r="I24" s="160"/>
      <c r="J24" s="160"/>
      <c r="K24" s="160"/>
      <c r="L24" s="160"/>
      <c r="M24" s="160"/>
      <c r="N24" s="160"/>
      <c r="O24" s="160"/>
      <c r="P24" s="161"/>
    </row>
    <row r="25" spans="2:16" x14ac:dyDescent="0.15">
      <c r="B25" s="158"/>
      <c r="C25" s="159"/>
      <c r="D25" s="159"/>
      <c r="E25" s="160"/>
      <c r="F25" s="160"/>
      <c r="G25" s="160"/>
      <c r="H25" s="160"/>
      <c r="I25" s="160"/>
      <c r="J25" s="160"/>
      <c r="K25" s="160"/>
      <c r="L25" s="160"/>
      <c r="M25" s="160"/>
      <c r="N25" s="160"/>
      <c r="O25" s="160"/>
      <c r="P25" s="161"/>
    </row>
    <row r="26" spans="2:16" x14ac:dyDescent="0.15">
      <c r="B26" s="158"/>
      <c r="C26" s="159"/>
      <c r="D26" s="159"/>
      <c r="E26" s="160"/>
      <c r="F26" s="160"/>
      <c r="G26" s="160"/>
      <c r="H26" s="160"/>
      <c r="I26" s="160"/>
      <c r="J26" s="160"/>
      <c r="K26" s="160"/>
      <c r="L26" s="160"/>
      <c r="M26" s="160"/>
      <c r="N26" s="160"/>
      <c r="O26" s="160"/>
      <c r="P26" s="161"/>
    </row>
    <row r="27" spans="2:16" x14ac:dyDescent="0.15">
      <c r="B27" s="158" t="s">
        <v>208</v>
      </c>
      <c r="C27" s="159"/>
      <c r="D27" s="159"/>
      <c r="E27" s="160" t="s">
        <v>209</v>
      </c>
      <c r="F27" s="160"/>
      <c r="G27" s="160"/>
      <c r="H27" s="160"/>
      <c r="I27" s="160"/>
      <c r="J27" s="160"/>
      <c r="K27" s="160" t="s">
        <v>210</v>
      </c>
      <c r="L27" s="160"/>
      <c r="M27" s="160"/>
      <c r="N27" s="160"/>
      <c r="O27" s="160"/>
      <c r="P27" s="161"/>
    </row>
    <row r="28" spans="2:16" x14ac:dyDescent="0.15">
      <c r="B28" s="158"/>
      <c r="C28" s="159"/>
      <c r="D28" s="159"/>
      <c r="E28" s="160"/>
      <c r="F28" s="160"/>
      <c r="G28" s="160"/>
      <c r="H28" s="160"/>
      <c r="I28" s="160"/>
      <c r="J28" s="160"/>
      <c r="K28" s="160"/>
      <c r="L28" s="160"/>
      <c r="M28" s="160"/>
      <c r="N28" s="160"/>
      <c r="O28" s="160"/>
      <c r="P28" s="161"/>
    </row>
    <row r="29" spans="2:16" x14ac:dyDescent="0.15">
      <c r="B29" s="158"/>
      <c r="C29" s="159"/>
      <c r="D29" s="159"/>
      <c r="E29" s="160"/>
      <c r="F29" s="160"/>
      <c r="G29" s="160"/>
      <c r="H29" s="160"/>
      <c r="I29" s="160"/>
      <c r="J29" s="160"/>
      <c r="K29" s="160"/>
      <c r="L29" s="160"/>
      <c r="M29" s="160"/>
      <c r="N29" s="160"/>
      <c r="O29" s="160"/>
      <c r="P29" s="161"/>
    </row>
    <row r="30" spans="2:16" x14ac:dyDescent="0.15">
      <c r="B30" s="158"/>
      <c r="C30" s="159"/>
      <c r="D30" s="159"/>
      <c r="E30" s="160"/>
      <c r="F30" s="160"/>
      <c r="G30" s="160"/>
      <c r="H30" s="160"/>
      <c r="I30" s="160"/>
      <c r="J30" s="160"/>
      <c r="K30" s="160"/>
      <c r="L30" s="160"/>
      <c r="M30" s="160"/>
      <c r="N30" s="160"/>
      <c r="O30" s="160"/>
      <c r="P30" s="161"/>
    </row>
    <row r="31" spans="2:16" x14ac:dyDescent="0.15">
      <c r="B31" s="158" t="s">
        <v>211</v>
      </c>
      <c r="C31" s="159"/>
      <c r="D31" s="159"/>
      <c r="E31" s="160" t="s">
        <v>212</v>
      </c>
      <c r="F31" s="160"/>
      <c r="G31" s="160"/>
      <c r="H31" s="160"/>
      <c r="I31" s="160"/>
      <c r="J31" s="160"/>
      <c r="K31" s="160" t="s">
        <v>213</v>
      </c>
      <c r="L31" s="160"/>
      <c r="M31" s="160"/>
      <c r="N31" s="160"/>
      <c r="O31" s="160"/>
      <c r="P31" s="161"/>
    </row>
    <row r="32" spans="2:16" x14ac:dyDescent="0.15">
      <c r="B32" s="158"/>
      <c r="C32" s="159"/>
      <c r="D32" s="159"/>
      <c r="E32" s="160"/>
      <c r="F32" s="160"/>
      <c r="G32" s="160"/>
      <c r="H32" s="160"/>
      <c r="I32" s="160"/>
      <c r="J32" s="160"/>
      <c r="K32" s="160"/>
      <c r="L32" s="160"/>
      <c r="M32" s="160"/>
      <c r="N32" s="160"/>
      <c r="O32" s="160"/>
      <c r="P32" s="161"/>
    </row>
    <row r="33" spans="2:16" x14ac:dyDescent="0.15">
      <c r="B33" s="158"/>
      <c r="C33" s="159"/>
      <c r="D33" s="159"/>
      <c r="E33" s="160"/>
      <c r="F33" s="160"/>
      <c r="G33" s="160"/>
      <c r="H33" s="160"/>
      <c r="I33" s="160"/>
      <c r="J33" s="160"/>
      <c r="K33" s="160"/>
      <c r="L33" s="160"/>
      <c r="M33" s="160"/>
      <c r="N33" s="160"/>
      <c r="O33" s="160"/>
      <c r="P33" s="161"/>
    </row>
    <row r="34" spans="2:16" x14ac:dyDescent="0.15">
      <c r="B34" s="158"/>
      <c r="C34" s="159"/>
      <c r="D34" s="159"/>
      <c r="E34" s="160"/>
      <c r="F34" s="160"/>
      <c r="G34" s="160"/>
      <c r="H34" s="160"/>
      <c r="I34" s="160"/>
      <c r="J34" s="160"/>
      <c r="K34" s="160"/>
      <c r="L34" s="160"/>
      <c r="M34" s="160"/>
      <c r="N34" s="160"/>
      <c r="O34" s="160"/>
      <c r="P34" s="161"/>
    </row>
    <row r="35" spans="2:16" x14ac:dyDescent="0.15">
      <c r="B35" s="158" t="s">
        <v>214</v>
      </c>
      <c r="C35" s="159"/>
      <c r="D35" s="159"/>
      <c r="E35" s="160" t="s">
        <v>215</v>
      </c>
      <c r="F35" s="160"/>
      <c r="G35" s="160"/>
      <c r="H35" s="160"/>
      <c r="I35" s="160"/>
      <c r="J35" s="160"/>
      <c r="K35" s="160" t="s">
        <v>216</v>
      </c>
      <c r="L35" s="160"/>
      <c r="M35" s="160"/>
      <c r="N35" s="160"/>
      <c r="O35" s="160"/>
      <c r="P35" s="161"/>
    </row>
    <row r="36" spans="2:16" x14ac:dyDescent="0.15">
      <c r="B36" s="158"/>
      <c r="C36" s="159"/>
      <c r="D36" s="159"/>
      <c r="E36" s="160"/>
      <c r="F36" s="160"/>
      <c r="G36" s="160"/>
      <c r="H36" s="160"/>
      <c r="I36" s="160"/>
      <c r="J36" s="160"/>
      <c r="K36" s="160"/>
      <c r="L36" s="160"/>
      <c r="M36" s="160"/>
      <c r="N36" s="160"/>
      <c r="O36" s="160"/>
      <c r="P36" s="161"/>
    </row>
    <row r="37" spans="2:16" x14ac:dyDescent="0.15">
      <c r="B37" s="158"/>
      <c r="C37" s="159"/>
      <c r="D37" s="159"/>
      <c r="E37" s="160"/>
      <c r="F37" s="160"/>
      <c r="G37" s="160"/>
      <c r="H37" s="160"/>
      <c r="I37" s="160"/>
      <c r="J37" s="160"/>
      <c r="K37" s="160"/>
      <c r="L37" s="160"/>
      <c r="M37" s="160"/>
      <c r="N37" s="160"/>
      <c r="O37" s="160"/>
      <c r="P37" s="161"/>
    </row>
    <row r="38" spans="2:16" x14ac:dyDescent="0.15">
      <c r="B38" s="158"/>
      <c r="C38" s="159"/>
      <c r="D38" s="159"/>
      <c r="E38" s="160"/>
      <c r="F38" s="160"/>
      <c r="G38" s="160"/>
      <c r="H38" s="160"/>
      <c r="I38" s="160"/>
      <c r="J38" s="160"/>
      <c r="K38" s="160"/>
      <c r="L38" s="160"/>
      <c r="M38" s="160"/>
      <c r="N38" s="160"/>
      <c r="O38" s="160"/>
      <c r="P38" s="161"/>
    </row>
    <row r="39" spans="2:16" x14ac:dyDescent="0.15">
      <c r="B39" s="158" t="s">
        <v>217</v>
      </c>
      <c r="C39" s="159"/>
      <c r="D39" s="159"/>
      <c r="E39" s="160" t="s">
        <v>218</v>
      </c>
      <c r="F39" s="160"/>
      <c r="G39" s="160"/>
      <c r="H39" s="160"/>
      <c r="I39" s="160"/>
      <c r="J39" s="160"/>
      <c r="K39" s="160" t="s">
        <v>219</v>
      </c>
      <c r="L39" s="160"/>
      <c r="M39" s="160"/>
      <c r="N39" s="160"/>
      <c r="O39" s="160"/>
      <c r="P39" s="161"/>
    </row>
    <row r="40" spans="2:16" x14ac:dyDescent="0.15">
      <c r="B40" s="158"/>
      <c r="C40" s="159"/>
      <c r="D40" s="159"/>
      <c r="E40" s="160"/>
      <c r="F40" s="160"/>
      <c r="G40" s="160"/>
      <c r="H40" s="160"/>
      <c r="I40" s="160"/>
      <c r="J40" s="160"/>
      <c r="K40" s="160"/>
      <c r="L40" s="160"/>
      <c r="M40" s="160"/>
      <c r="N40" s="160"/>
      <c r="O40" s="160"/>
      <c r="P40" s="161"/>
    </row>
    <row r="41" spans="2:16" x14ac:dyDescent="0.15">
      <c r="B41" s="158"/>
      <c r="C41" s="159"/>
      <c r="D41" s="159"/>
      <c r="E41" s="160"/>
      <c r="F41" s="160"/>
      <c r="G41" s="160"/>
      <c r="H41" s="160"/>
      <c r="I41" s="160"/>
      <c r="J41" s="160"/>
      <c r="K41" s="160"/>
      <c r="L41" s="160"/>
      <c r="M41" s="160"/>
      <c r="N41" s="160"/>
      <c r="O41" s="160"/>
      <c r="P41" s="161"/>
    </row>
    <row r="42" spans="2:16" x14ac:dyDescent="0.15">
      <c r="B42" s="158"/>
      <c r="C42" s="159"/>
      <c r="D42" s="159"/>
      <c r="E42" s="160"/>
      <c r="F42" s="160"/>
      <c r="G42" s="160"/>
      <c r="H42" s="160"/>
      <c r="I42" s="160"/>
      <c r="J42" s="160"/>
      <c r="K42" s="160"/>
      <c r="L42" s="160"/>
      <c r="M42" s="160"/>
      <c r="N42" s="160"/>
      <c r="O42" s="160"/>
      <c r="P42" s="161"/>
    </row>
    <row r="43" spans="2:16" x14ac:dyDescent="0.15">
      <c r="B43" s="158" t="s">
        <v>220</v>
      </c>
      <c r="C43" s="159"/>
      <c r="D43" s="159"/>
      <c r="E43" s="160" t="s">
        <v>221</v>
      </c>
      <c r="F43" s="160"/>
      <c r="G43" s="160"/>
      <c r="H43" s="160"/>
      <c r="I43" s="160"/>
      <c r="J43" s="160"/>
      <c r="K43" s="160" t="s">
        <v>222</v>
      </c>
      <c r="L43" s="160"/>
      <c r="M43" s="160"/>
      <c r="N43" s="160"/>
      <c r="O43" s="160"/>
      <c r="P43" s="161"/>
    </row>
    <row r="44" spans="2:16" x14ac:dyDescent="0.15">
      <c r="B44" s="158"/>
      <c r="C44" s="159"/>
      <c r="D44" s="159"/>
      <c r="E44" s="160"/>
      <c r="F44" s="160"/>
      <c r="G44" s="160"/>
      <c r="H44" s="160"/>
      <c r="I44" s="160"/>
      <c r="J44" s="160"/>
      <c r="K44" s="160"/>
      <c r="L44" s="160"/>
      <c r="M44" s="160"/>
      <c r="N44" s="160"/>
      <c r="O44" s="160"/>
      <c r="P44" s="161"/>
    </row>
    <row r="45" spans="2:16" x14ac:dyDescent="0.15">
      <c r="B45" s="158"/>
      <c r="C45" s="159"/>
      <c r="D45" s="159"/>
      <c r="E45" s="160"/>
      <c r="F45" s="160"/>
      <c r="G45" s="160"/>
      <c r="H45" s="160"/>
      <c r="I45" s="160"/>
      <c r="J45" s="160"/>
      <c r="K45" s="160"/>
      <c r="L45" s="160"/>
      <c r="M45" s="160"/>
      <c r="N45" s="160"/>
      <c r="O45" s="160"/>
      <c r="P45" s="161"/>
    </row>
    <row r="46" spans="2:16" x14ac:dyDescent="0.15">
      <c r="B46" s="158"/>
      <c r="C46" s="159"/>
      <c r="D46" s="159"/>
      <c r="E46" s="160"/>
      <c r="F46" s="160"/>
      <c r="G46" s="160"/>
      <c r="H46" s="160"/>
      <c r="I46" s="160"/>
      <c r="J46" s="160"/>
      <c r="K46" s="160"/>
      <c r="L46" s="160"/>
      <c r="M46" s="160"/>
      <c r="N46" s="160"/>
      <c r="O46" s="160"/>
      <c r="P46" s="161"/>
    </row>
    <row r="47" spans="2:16" x14ac:dyDescent="0.15">
      <c r="B47" s="158" t="s">
        <v>223</v>
      </c>
      <c r="C47" s="159"/>
      <c r="D47" s="159"/>
      <c r="E47" s="160" t="s">
        <v>224</v>
      </c>
      <c r="F47" s="160"/>
      <c r="G47" s="160"/>
      <c r="H47" s="160"/>
      <c r="I47" s="160"/>
      <c r="J47" s="160"/>
      <c r="K47" s="160" t="s">
        <v>225</v>
      </c>
      <c r="L47" s="160"/>
      <c r="M47" s="160"/>
      <c r="N47" s="160"/>
      <c r="O47" s="160"/>
      <c r="P47" s="161"/>
    </row>
    <row r="48" spans="2:16" x14ac:dyDescent="0.15">
      <c r="B48" s="158"/>
      <c r="C48" s="159"/>
      <c r="D48" s="159"/>
      <c r="E48" s="160"/>
      <c r="F48" s="160"/>
      <c r="G48" s="160"/>
      <c r="H48" s="160"/>
      <c r="I48" s="160"/>
      <c r="J48" s="160"/>
      <c r="K48" s="160"/>
      <c r="L48" s="160"/>
      <c r="M48" s="160"/>
      <c r="N48" s="160"/>
      <c r="O48" s="160"/>
      <c r="P48" s="161"/>
    </row>
    <row r="49" spans="2:16" x14ac:dyDescent="0.15">
      <c r="B49" s="158"/>
      <c r="C49" s="159"/>
      <c r="D49" s="159"/>
      <c r="E49" s="160"/>
      <c r="F49" s="160"/>
      <c r="G49" s="160"/>
      <c r="H49" s="160"/>
      <c r="I49" s="160"/>
      <c r="J49" s="160"/>
      <c r="K49" s="160"/>
      <c r="L49" s="160"/>
      <c r="M49" s="160"/>
      <c r="N49" s="160"/>
      <c r="O49" s="160"/>
      <c r="P49" s="161"/>
    </row>
    <row r="50" spans="2:16" x14ac:dyDescent="0.15">
      <c r="B50" s="158"/>
      <c r="C50" s="159"/>
      <c r="D50" s="159"/>
      <c r="E50" s="160"/>
      <c r="F50" s="160"/>
      <c r="G50" s="160"/>
      <c r="H50" s="160"/>
      <c r="I50" s="160"/>
      <c r="J50" s="160"/>
      <c r="K50" s="160"/>
      <c r="L50" s="160"/>
      <c r="M50" s="160"/>
      <c r="N50" s="160"/>
      <c r="O50" s="160"/>
      <c r="P50" s="161"/>
    </row>
    <row r="51" spans="2:16" x14ac:dyDescent="0.15">
      <c r="B51" s="158" t="s">
        <v>226</v>
      </c>
      <c r="C51" s="159"/>
      <c r="D51" s="159"/>
      <c r="E51" s="160" t="s">
        <v>227</v>
      </c>
      <c r="F51" s="160"/>
      <c r="G51" s="160"/>
      <c r="H51" s="160"/>
      <c r="I51" s="160"/>
      <c r="J51" s="160"/>
      <c r="K51" s="160" t="s">
        <v>228</v>
      </c>
      <c r="L51" s="160"/>
      <c r="M51" s="160"/>
      <c r="N51" s="160"/>
      <c r="O51" s="160"/>
      <c r="P51" s="161"/>
    </row>
    <row r="52" spans="2:16" x14ac:dyDescent="0.15">
      <c r="B52" s="158"/>
      <c r="C52" s="159"/>
      <c r="D52" s="159"/>
      <c r="E52" s="160"/>
      <c r="F52" s="160"/>
      <c r="G52" s="160"/>
      <c r="H52" s="160"/>
      <c r="I52" s="160"/>
      <c r="J52" s="160"/>
      <c r="K52" s="160"/>
      <c r="L52" s="160"/>
      <c r="M52" s="160"/>
      <c r="N52" s="160"/>
      <c r="O52" s="160"/>
      <c r="P52" s="161"/>
    </row>
    <row r="53" spans="2:16" x14ac:dyDescent="0.15">
      <c r="B53" s="158"/>
      <c r="C53" s="159"/>
      <c r="D53" s="159"/>
      <c r="E53" s="160"/>
      <c r="F53" s="160"/>
      <c r="G53" s="160"/>
      <c r="H53" s="160"/>
      <c r="I53" s="160"/>
      <c r="J53" s="160"/>
      <c r="K53" s="160"/>
      <c r="L53" s="160"/>
      <c r="M53" s="160"/>
      <c r="N53" s="160"/>
      <c r="O53" s="160"/>
      <c r="P53" s="161"/>
    </row>
    <row r="54" spans="2:16" x14ac:dyDescent="0.15">
      <c r="B54" s="158"/>
      <c r="C54" s="159"/>
      <c r="D54" s="159"/>
      <c r="E54" s="160"/>
      <c r="F54" s="160"/>
      <c r="G54" s="160"/>
      <c r="H54" s="160"/>
      <c r="I54" s="160"/>
      <c r="J54" s="160"/>
      <c r="K54" s="160"/>
      <c r="L54" s="160"/>
      <c r="M54" s="160"/>
      <c r="N54" s="160"/>
      <c r="O54" s="160"/>
      <c r="P54" s="161"/>
    </row>
    <row r="55" spans="2:16" x14ac:dyDescent="0.15">
      <c r="B55" s="158" t="s">
        <v>229</v>
      </c>
      <c r="C55" s="159"/>
      <c r="D55" s="159"/>
      <c r="E55" s="160" t="s">
        <v>230</v>
      </c>
      <c r="F55" s="160"/>
      <c r="G55" s="160"/>
      <c r="H55" s="160"/>
      <c r="I55" s="160"/>
      <c r="J55" s="160"/>
      <c r="K55" s="160" t="s">
        <v>231</v>
      </c>
      <c r="L55" s="160"/>
      <c r="M55" s="160"/>
      <c r="N55" s="160"/>
      <c r="O55" s="160"/>
      <c r="P55" s="161"/>
    </row>
    <row r="56" spans="2:16" x14ac:dyDescent="0.15">
      <c r="B56" s="158"/>
      <c r="C56" s="159"/>
      <c r="D56" s="159"/>
      <c r="E56" s="160"/>
      <c r="F56" s="160"/>
      <c r="G56" s="160"/>
      <c r="H56" s="160"/>
      <c r="I56" s="160"/>
      <c r="J56" s="160"/>
      <c r="K56" s="160"/>
      <c r="L56" s="160"/>
      <c r="M56" s="160"/>
      <c r="N56" s="160"/>
      <c r="O56" s="160"/>
      <c r="P56" s="161"/>
    </row>
    <row r="57" spans="2:16" x14ac:dyDescent="0.15">
      <c r="B57" s="158"/>
      <c r="C57" s="159"/>
      <c r="D57" s="159"/>
      <c r="E57" s="160"/>
      <c r="F57" s="160"/>
      <c r="G57" s="160"/>
      <c r="H57" s="160"/>
      <c r="I57" s="160"/>
      <c r="J57" s="160"/>
      <c r="K57" s="160"/>
      <c r="L57" s="160"/>
      <c r="M57" s="160"/>
      <c r="N57" s="160"/>
      <c r="O57" s="160"/>
      <c r="P57" s="161"/>
    </row>
    <row r="58" spans="2:16" x14ac:dyDescent="0.15">
      <c r="B58" s="158"/>
      <c r="C58" s="159"/>
      <c r="D58" s="159"/>
      <c r="E58" s="160"/>
      <c r="F58" s="160"/>
      <c r="G58" s="160"/>
      <c r="H58" s="160"/>
      <c r="I58" s="160"/>
      <c r="J58" s="160"/>
      <c r="K58" s="160"/>
      <c r="L58" s="160"/>
      <c r="M58" s="160"/>
      <c r="N58" s="160"/>
      <c r="O58" s="160"/>
      <c r="P58" s="161"/>
    </row>
    <row r="59" spans="2:16" x14ac:dyDescent="0.15">
      <c r="B59" s="158" t="s">
        <v>232</v>
      </c>
      <c r="C59" s="159"/>
      <c r="D59" s="159"/>
      <c r="E59" s="160" t="s">
        <v>233</v>
      </c>
      <c r="F59" s="160"/>
      <c r="G59" s="160"/>
      <c r="H59" s="160"/>
      <c r="I59" s="160"/>
      <c r="J59" s="160"/>
      <c r="K59" s="160" t="s">
        <v>234</v>
      </c>
      <c r="L59" s="160"/>
      <c r="M59" s="160"/>
      <c r="N59" s="160"/>
      <c r="O59" s="160"/>
      <c r="P59" s="161"/>
    </row>
    <row r="60" spans="2:16" x14ac:dyDescent="0.15">
      <c r="B60" s="158"/>
      <c r="C60" s="159"/>
      <c r="D60" s="159"/>
      <c r="E60" s="160"/>
      <c r="F60" s="160"/>
      <c r="G60" s="160"/>
      <c r="H60" s="160"/>
      <c r="I60" s="160"/>
      <c r="J60" s="160"/>
      <c r="K60" s="160"/>
      <c r="L60" s="160"/>
      <c r="M60" s="160"/>
      <c r="N60" s="160"/>
      <c r="O60" s="160"/>
      <c r="P60" s="161"/>
    </row>
    <row r="61" spans="2:16" x14ac:dyDescent="0.15">
      <c r="B61" s="158"/>
      <c r="C61" s="159"/>
      <c r="D61" s="159"/>
      <c r="E61" s="160"/>
      <c r="F61" s="160"/>
      <c r="G61" s="160"/>
      <c r="H61" s="160"/>
      <c r="I61" s="160"/>
      <c r="J61" s="160"/>
      <c r="K61" s="160"/>
      <c r="L61" s="160"/>
      <c r="M61" s="160"/>
      <c r="N61" s="160"/>
      <c r="O61" s="160"/>
      <c r="P61" s="161"/>
    </row>
    <row r="62" spans="2:16" x14ac:dyDescent="0.15">
      <c r="B62" s="158"/>
      <c r="C62" s="159"/>
      <c r="D62" s="159"/>
      <c r="E62" s="160"/>
      <c r="F62" s="160"/>
      <c r="G62" s="160"/>
      <c r="H62" s="160"/>
      <c r="I62" s="160"/>
      <c r="J62" s="160"/>
      <c r="K62" s="160"/>
      <c r="L62" s="160"/>
      <c r="M62" s="160"/>
      <c r="N62" s="160"/>
      <c r="O62" s="160"/>
      <c r="P62" s="161"/>
    </row>
    <row r="63" spans="2:16" x14ac:dyDescent="0.15">
      <c r="B63" s="158" t="s">
        <v>235</v>
      </c>
      <c r="C63" s="159"/>
      <c r="D63" s="159"/>
      <c r="E63" s="160" t="s">
        <v>236</v>
      </c>
      <c r="F63" s="160"/>
      <c r="G63" s="160"/>
      <c r="H63" s="160"/>
      <c r="I63" s="160"/>
      <c r="J63" s="160"/>
      <c r="K63" s="160" t="s">
        <v>237</v>
      </c>
      <c r="L63" s="160"/>
      <c r="M63" s="160"/>
      <c r="N63" s="160"/>
      <c r="O63" s="160"/>
      <c r="P63" s="161"/>
    </row>
    <row r="64" spans="2:16" x14ac:dyDescent="0.15">
      <c r="B64" s="158"/>
      <c r="C64" s="159"/>
      <c r="D64" s="159"/>
      <c r="E64" s="160"/>
      <c r="F64" s="160"/>
      <c r="G64" s="160"/>
      <c r="H64" s="160"/>
      <c r="I64" s="160"/>
      <c r="J64" s="160"/>
      <c r="K64" s="160"/>
      <c r="L64" s="160"/>
      <c r="M64" s="160"/>
      <c r="N64" s="160"/>
      <c r="O64" s="160"/>
      <c r="P64" s="161"/>
    </row>
    <row r="65" spans="2:16" x14ac:dyDescent="0.15">
      <c r="B65" s="158"/>
      <c r="C65" s="159"/>
      <c r="D65" s="159"/>
      <c r="E65" s="160"/>
      <c r="F65" s="160"/>
      <c r="G65" s="160"/>
      <c r="H65" s="160"/>
      <c r="I65" s="160"/>
      <c r="J65" s="160"/>
      <c r="K65" s="160"/>
      <c r="L65" s="160"/>
      <c r="M65" s="160"/>
      <c r="N65" s="160"/>
      <c r="O65" s="160"/>
      <c r="P65" s="161"/>
    </row>
    <row r="66" spans="2:16" x14ac:dyDescent="0.15">
      <c r="B66" s="158"/>
      <c r="C66" s="159"/>
      <c r="D66" s="159"/>
      <c r="E66" s="160"/>
      <c r="F66" s="160"/>
      <c r="G66" s="160"/>
      <c r="H66" s="160"/>
      <c r="I66" s="160"/>
      <c r="J66" s="160"/>
      <c r="K66" s="160"/>
      <c r="L66" s="160"/>
      <c r="M66" s="160"/>
      <c r="N66" s="160"/>
      <c r="O66" s="160"/>
      <c r="P66" s="161"/>
    </row>
    <row r="67" spans="2:16" x14ac:dyDescent="0.15">
      <c r="B67" s="158" t="s">
        <v>238</v>
      </c>
      <c r="C67" s="159"/>
      <c r="D67" s="159"/>
      <c r="E67" s="160" t="s">
        <v>239</v>
      </c>
      <c r="F67" s="160"/>
      <c r="G67" s="160"/>
      <c r="H67" s="160"/>
      <c r="I67" s="160"/>
      <c r="J67" s="160"/>
      <c r="K67" s="160" t="s">
        <v>240</v>
      </c>
      <c r="L67" s="160"/>
      <c r="M67" s="160"/>
      <c r="N67" s="160"/>
      <c r="O67" s="160"/>
      <c r="P67" s="161"/>
    </row>
    <row r="68" spans="2:16" x14ac:dyDescent="0.15">
      <c r="B68" s="158"/>
      <c r="C68" s="159"/>
      <c r="D68" s="159"/>
      <c r="E68" s="160"/>
      <c r="F68" s="160"/>
      <c r="G68" s="160"/>
      <c r="H68" s="160"/>
      <c r="I68" s="160"/>
      <c r="J68" s="160"/>
      <c r="K68" s="160"/>
      <c r="L68" s="160"/>
      <c r="M68" s="160"/>
      <c r="N68" s="160"/>
      <c r="O68" s="160"/>
      <c r="P68" s="161"/>
    </row>
    <row r="69" spans="2:16" x14ac:dyDescent="0.15">
      <c r="B69" s="158"/>
      <c r="C69" s="159"/>
      <c r="D69" s="159"/>
      <c r="E69" s="160"/>
      <c r="F69" s="160"/>
      <c r="G69" s="160"/>
      <c r="H69" s="160"/>
      <c r="I69" s="160"/>
      <c r="J69" s="160"/>
      <c r="K69" s="160"/>
      <c r="L69" s="160"/>
      <c r="M69" s="160"/>
      <c r="N69" s="160"/>
      <c r="O69" s="160"/>
      <c r="P69" s="161"/>
    </row>
    <row r="70" spans="2:16" x14ac:dyDescent="0.15">
      <c r="B70" s="158"/>
      <c r="C70" s="159"/>
      <c r="D70" s="159"/>
      <c r="E70" s="160"/>
      <c r="F70" s="160"/>
      <c r="G70" s="160"/>
      <c r="H70" s="160"/>
      <c r="I70" s="160"/>
      <c r="J70" s="160"/>
      <c r="K70" s="160"/>
      <c r="L70" s="160"/>
      <c r="M70" s="160"/>
      <c r="N70" s="160"/>
      <c r="O70" s="160"/>
      <c r="P70" s="161"/>
    </row>
    <row r="71" spans="2:16" x14ac:dyDescent="0.15">
      <c r="B71" s="158" t="s">
        <v>241</v>
      </c>
      <c r="C71" s="159"/>
      <c r="D71" s="159"/>
      <c r="E71" s="160" t="s">
        <v>242</v>
      </c>
      <c r="F71" s="160"/>
      <c r="G71" s="160"/>
      <c r="H71" s="160"/>
      <c r="I71" s="160"/>
      <c r="J71" s="160"/>
      <c r="K71" s="160" t="s">
        <v>243</v>
      </c>
      <c r="L71" s="160"/>
      <c r="M71" s="160"/>
      <c r="N71" s="160"/>
      <c r="O71" s="160"/>
      <c r="P71" s="161"/>
    </row>
    <row r="72" spans="2:16" x14ac:dyDescent="0.15">
      <c r="B72" s="158"/>
      <c r="C72" s="159"/>
      <c r="D72" s="159"/>
      <c r="E72" s="160"/>
      <c r="F72" s="160"/>
      <c r="G72" s="160"/>
      <c r="H72" s="160"/>
      <c r="I72" s="160"/>
      <c r="J72" s="160"/>
      <c r="K72" s="160"/>
      <c r="L72" s="160"/>
      <c r="M72" s="160"/>
      <c r="N72" s="160"/>
      <c r="O72" s="160"/>
      <c r="P72" s="161"/>
    </row>
    <row r="73" spans="2:16" x14ac:dyDescent="0.15">
      <c r="B73" s="158"/>
      <c r="C73" s="159"/>
      <c r="D73" s="159"/>
      <c r="E73" s="160"/>
      <c r="F73" s="160"/>
      <c r="G73" s="160"/>
      <c r="H73" s="160"/>
      <c r="I73" s="160"/>
      <c r="J73" s="160"/>
      <c r="K73" s="160"/>
      <c r="L73" s="160"/>
      <c r="M73" s="160"/>
      <c r="N73" s="160"/>
      <c r="O73" s="160"/>
      <c r="P73" s="161"/>
    </row>
    <row r="74" spans="2:16" x14ac:dyDescent="0.15">
      <c r="B74" s="158"/>
      <c r="C74" s="159"/>
      <c r="D74" s="159"/>
      <c r="E74" s="160"/>
      <c r="F74" s="160"/>
      <c r="G74" s="160"/>
      <c r="H74" s="160"/>
      <c r="I74" s="160"/>
      <c r="J74" s="160"/>
      <c r="K74" s="160"/>
      <c r="L74" s="160"/>
      <c r="M74" s="160"/>
      <c r="N74" s="160"/>
      <c r="O74" s="160"/>
      <c r="P74" s="161"/>
    </row>
    <row r="75" spans="2:16" x14ac:dyDescent="0.15">
      <c r="B75" s="158" t="s">
        <v>244</v>
      </c>
      <c r="C75" s="159"/>
      <c r="D75" s="159"/>
      <c r="E75" s="160" t="s">
        <v>245</v>
      </c>
      <c r="F75" s="160"/>
      <c r="G75" s="160"/>
      <c r="H75" s="160"/>
      <c r="I75" s="160"/>
      <c r="J75" s="160"/>
      <c r="K75" s="160" t="s">
        <v>246</v>
      </c>
      <c r="L75" s="160"/>
      <c r="M75" s="160"/>
      <c r="N75" s="160"/>
      <c r="O75" s="160"/>
      <c r="P75" s="161"/>
    </row>
    <row r="76" spans="2:16" x14ac:dyDescent="0.15">
      <c r="B76" s="158"/>
      <c r="C76" s="159"/>
      <c r="D76" s="159"/>
      <c r="E76" s="160"/>
      <c r="F76" s="160"/>
      <c r="G76" s="160"/>
      <c r="H76" s="160"/>
      <c r="I76" s="160"/>
      <c r="J76" s="160"/>
      <c r="K76" s="160"/>
      <c r="L76" s="160"/>
      <c r="M76" s="160"/>
      <c r="N76" s="160"/>
      <c r="O76" s="160"/>
      <c r="P76" s="161"/>
    </row>
    <row r="77" spans="2:16" x14ac:dyDescent="0.15">
      <c r="B77" s="158"/>
      <c r="C77" s="159"/>
      <c r="D77" s="159"/>
      <c r="E77" s="160"/>
      <c r="F77" s="160"/>
      <c r="G77" s="160"/>
      <c r="H77" s="160"/>
      <c r="I77" s="160"/>
      <c r="J77" s="160"/>
      <c r="K77" s="160"/>
      <c r="L77" s="160"/>
      <c r="M77" s="160"/>
      <c r="N77" s="160"/>
      <c r="O77" s="160"/>
      <c r="P77" s="161"/>
    </row>
    <row r="78" spans="2:16" x14ac:dyDescent="0.15">
      <c r="B78" s="158"/>
      <c r="C78" s="159"/>
      <c r="D78" s="159"/>
      <c r="E78" s="160"/>
      <c r="F78" s="160"/>
      <c r="G78" s="160"/>
      <c r="H78" s="160"/>
      <c r="I78" s="160"/>
      <c r="J78" s="160"/>
      <c r="K78" s="160"/>
      <c r="L78" s="160"/>
      <c r="M78" s="160"/>
      <c r="N78" s="160"/>
      <c r="O78" s="160"/>
      <c r="P78" s="161"/>
    </row>
    <row r="79" spans="2:16" x14ac:dyDescent="0.15">
      <c r="B79" s="158" t="s">
        <v>247</v>
      </c>
      <c r="C79" s="159"/>
      <c r="D79" s="159"/>
      <c r="E79" s="160" t="s">
        <v>248</v>
      </c>
      <c r="F79" s="160"/>
      <c r="G79" s="160"/>
      <c r="H79" s="160"/>
      <c r="I79" s="160"/>
      <c r="J79" s="160"/>
      <c r="K79" s="160" t="s">
        <v>249</v>
      </c>
      <c r="L79" s="160"/>
      <c r="M79" s="160"/>
      <c r="N79" s="160"/>
      <c r="O79" s="160"/>
      <c r="P79" s="161"/>
    </row>
    <row r="80" spans="2:16" x14ac:dyDescent="0.15">
      <c r="B80" s="158"/>
      <c r="C80" s="159"/>
      <c r="D80" s="159"/>
      <c r="E80" s="160"/>
      <c r="F80" s="160"/>
      <c r="G80" s="160"/>
      <c r="H80" s="160"/>
      <c r="I80" s="160"/>
      <c r="J80" s="160"/>
      <c r="K80" s="160"/>
      <c r="L80" s="160"/>
      <c r="M80" s="160"/>
      <c r="N80" s="160"/>
      <c r="O80" s="160"/>
      <c r="P80" s="161"/>
    </row>
    <row r="81" spans="1:16" x14ac:dyDescent="0.15">
      <c r="B81" s="158"/>
      <c r="C81" s="159"/>
      <c r="D81" s="159"/>
      <c r="E81" s="160"/>
      <c r="F81" s="160"/>
      <c r="G81" s="160"/>
      <c r="H81" s="160"/>
      <c r="I81" s="160"/>
      <c r="J81" s="160"/>
      <c r="K81" s="160"/>
      <c r="L81" s="160"/>
      <c r="M81" s="160"/>
      <c r="N81" s="160"/>
      <c r="O81" s="160"/>
      <c r="P81" s="161"/>
    </row>
    <row r="82" spans="1:16" x14ac:dyDescent="0.15">
      <c r="B82" s="158"/>
      <c r="C82" s="159"/>
      <c r="D82" s="159"/>
      <c r="E82" s="160"/>
      <c r="F82" s="160"/>
      <c r="G82" s="160"/>
      <c r="H82" s="160"/>
      <c r="I82" s="160"/>
      <c r="J82" s="160"/>
      <c r="K82" s="160"/>
      <c r="L82" s="160"/>
      <c r="M82" s="160"/>
      <c r="N82" s="160"/>
      <c r="O82" s="160"/>
      <c r="P82" s="161"/>
    </row>
    <row r="83" spans="1:16" ht="13.75" customHeight="1" x14ac:dyDescent="0.15">
      <c r="B83" s="98"/>
      <c r="C83" s="98"/>
      <c r="D83" s="98"/>
      <c r="E83" s="99"/>
      <c r="F83" s="99"/>
      <c r="G83" s="99"/>
      <c r="H83" s="99"/>
      <c r="I83" s="99"/>
      <c r="J83" s="99"/>
      <c r="K83" s="99"/>
      <c r="L83" s="99"/>
      <c r="M83" s="99"/>
      <c r="N83" s="99"/>
      <c r="O83" s="99"/>
      <c r="P83" s="99"/>
    </row>
    <row r="84" spans="1:16" s="1" customFormat="1" ht="21" x14ac:dyDescent="0.25">
      <c r="A84" s="10"/>
      <c r="B84" s="10"/>
      <c r="C84" s="10"/>
      <c r="D84" s="10"/>
      <c r="E84" s="10"/>
      <c r="F84" s="10"/>
      <c r="G84" s="10"/>
      <c r="H84" s="10"/>
      <c r="I84" s="10"/>
      <c r="J84" s="10"/>
      <c r="K84" s="10"/>
      <c r="L84" s="10"/>
      <c r="M84" s="10"/>
      <c r="N84" s="10"/>
      <c r="O84" s="10"/>
      <c r="P84" s="10"/>
    </row>
    <row r="85" spans="1:16" ht="13.75" customHeight="1" x14ac:dyDescent="0.15">
      <c r="B85" s="98"/>
      <c r="C85" s="98"/>
      <c r="D85" s="98"/>
      <c r="E85" s="99"/>
      <c r="F85" s="99"/>
      <c r="G85" s="99"/>
      <c r="H85" s="99"/>
      <c r="I85" s="99"/>
      <c r="J85" s="99"/>
      <c r="K85" s="99"/>
      <c r="L85" s="99"/>
      <c r="M85" s="99"/>
      <c r="N85" s="99"/>
      <c r="O85" s="99"/>
      <c r="P85" s="99"/>
    </row>
    <row r="86" spans="1:16" ht="13.75" customHeight="1" x14ac:dyDescent="0.15">
      <c r="B86" s="98"/>
      <c r="C86" s="98"/>
      <c r="D86" s="98"/>
      <c r="E86" s="99"/>
      <c r="F86" s="99"/>
      <c r="G86" s="99"/>
      <c r="H86" s="99"/>
      <c r="I86" s="99"/>
      <c r="J86" s="99"/>
      <c r="K86" s="99"/>
      <c r="L86" s="99"/>
      <c r="M86" s="99"/>
      <c r="N86" s="99"/>
      <c r="O86" s="99"/>
      <c r="P86" s="99"/>
    </row>
    <row r="87" spans="1:16" ht="13.75" customHeight="1" x14ac:dyDescent="0.15">
      <c r="B87" s="98"/>
      <c r="C87" s="98"/>
      <c r="D87" s="98"/>
      <c r="E87" s="99"/>
      <c r="F87" s="99"/>
      <c r="G87" s="99"/>
      <c r="H87" s="99"/>
      <c r="I87" s="99"/>
      <c r="J87" s="99"/>
      <c r="K87" s="99"/>
      <c r="L87" s="99"/>
      <c r="M87" s="99"/>
      <c r="N87" s="99"/>
      <c r="O87" s="99"/>
      <c r="P87" s="99"/>
    </row>
    <row r="88" spans="1:16" ht="13.75" customHeight="1" x14ac:dyDescent="0.15">
      <c r="B88" s="98"/>
      <c r="C88" s="98"/>
      <c r="D88" s="98"/>
      <c r="E88" s="99"/>
      <c r="F88" s="99"/>
      <c r="G88" s="99"/>
      <c r="H88" s="99"/>
      <c r="I88" s="99"/>
      <c r="J88" s="99"/>
      <c r="K88" s="99"/>
      <c r="L88" s="99"/>
      <c r="M88" s="99"/>
      <c r="N88" s="99"/>
      <c r="O88" s="99"/>
      <c r="P88" s="99"/>
    </row>
    <row r="89" spans="1:16" ht="13.75" customHeight="1" x14ac:dyDescent="0.15">
      <c r="B89" s="98"/>
      <c r="C89" s="98"/>
      <c r="D89" s="98"/>
      <c r="E89" s="99"/>
      <c r="F89" s="99"/>
      <c r="G89" s="99"/>
      <c r="H89" s="99"/>
      <c r="I89" s="99"/>
      <c r="J89" s="99"/>
      <c r="K89" s="99"/>
      <c r="L89" s="99"/>
      <c r="M89" s="99"/>
      <c r="N89" s="99"/>
      <c r="O89" s="99"/>
      <c r="P89" s="99"/>
    </row>
    <row r="90" spans="1:16" ht="13.75" customHeight="1" x14ac:dyDescent="0.15">
      <c r="B90" s="98"/>
      <c r="C90" s="98"/>
      <c r="D90" s="98"/>
      <c r="E90" s="99"/>
      <c r="F90" s="99"/>
      <c r="G90" s="99"/>
      <c r="H90" s="99"/>
      <c r="I90" s="99"/>
      <c r="J90" s="99"/>
      <c r="K90" s="99"/>
      <c r="L90" s="99"/>
      <c r="M90" s="99"/>
      <c r="N90" s="99"/>
      <c r="O90" s="99"/>
      <c r="P90" s="99"/>
    </row>
    <row r="91" spans="1:16" ht="13.75" customHeight="1" x14ac:dyDescent="0.15">
      <c r="B91" s="98"/>
      <c r="C91" s="98"/>
      <c r="D91" s="98"/>
      <c r="E91" s="99"/>
      <c r="F91" s="99"/>
      <c r="G91" s="99"/>
      <c r="H91" s="99"/>
      <c r="I91" s="99"/>
      <c r="J91" s="99"/>
      <c r="K91" s="99"/>
      <c r="L91" s="99"/>
      <c r="M91" s="99"/>
      <c r="N91" s="99"/>
      <c r="O91" s="99"/>
      <c r="P91" s="99"/>
    </row>
    <row r="92" spans="1:16" ht="13.75" customHeight="1" x14ac:dyDescent="0.15">
      <c r="B92" s="98"/>
      <c r="C92" s="98"/>
      <c r="D92" s="98"/>
      <c r="E92" s="99"/>
      <c r="F92" s="99"/>
      <c r="G92" s="99"/>
      <c r="H92" s="99"/>
      <c r="I92" s="99"/>
      <c r="J92" s="99"/>
      <c r="K92" s="99"/>
      <c r="L92" s="99"/>
      <c r="M92" s="99"/>
      <c r="N92" s="99"/>
      <c r="O92" s="99"/>
      <c r="P92" s="99"/>
    </row>
    <row r="93" spans="1:16" ht="13.75" customHeight="1" x14ac:dyDescent="0.15">
      <c r="B93" s="98"/>
      <c r="C93" s="98"/>
      <c r="D93" s="98"/>
      <c r="E93" s="99"/>
      <c r="F93" s="99"/>
      <c r="G93" s="99"/>
      <c r="H93" s="99"/>
      <c r="I93" s="99"/>
      <c r="J93" s="99"/>
      <c r="K93" s="99"/>
      <c r="L93" s="99"/>
      <c r="M93" s="99"/>
      <c r="N93" s="99"/>
      <c r="O93" s="99"/>
      <c r="P93" s="99"/>
    </row>
    <row r="94" spans="1:16" ht="13.75" customHeight="1" x14ac:dyDescent="0.15">
      <c r="B94" s="98"/>
      <c r="C94" s="98"/>
      <c r="D94" s="98"/>
      <c r="E94" s="99"/>
      <c r="F94" s="99"/>
      <c r="G94" s="99"/>
      <c r="H94" s="99"/>
      <c r="I94" s="99"/>
      <c r="J94" s="99"/>
      <c r="K94" s="99"/>
      <c r="L94" s="99"/>
      <c r="M94" s="99"/>
      <c r="N94" s="99"/>
      <c r="O94" s="99"/>
      <c r="P94" s="99"/>
    </row>
    <row r="95" spans="1:16" ht="13.75" customHeight="1" x14ac:dyDescent="0.15">
      <c r="B95" s="98"/>
      <c r="C95" s="98"/>
      <c r="D95" s="98"/>
      <c r="E95" s="99"/>
      <c r="F95" s="99"/>
      <c r="G95" s="99"/>
      <c r="H95" s="99"/>
      <c r="I95" s="99"/>
      <c r="J95" s="99"/>
      <c r="K95" s="99"/>
      <c r="L95" s="99"/>
      <c r="M95" s="99"/>
      <c r="N95" s="99"/>
      <c r="O95" s="99"/>
      <c r="P95" s="99"/>
    </row>
    <row r="96" spans="1:16" ht="13.75" customHeight="1" x14ac:dyDescent="0.15">
      <c r="B96" s="98"/>
      <c r="C96" s="98"/>
      <c r="D96" s="98"/>
      <c r="E96" s="99"/>
      <c r="F96" s="99"/>
      <c r="G96" s="99"/>
      <c r="H96" s="99"/>
      <c r="I96" s="99"/>
      <c r="J96" s="99"/>
      <c r="K96" s="99"/>
      <c r="L96" s="99"/>
      <c r="M96" s="99"/>
      <c r="N96" s="99"/>
      <c r="O96" s="99"/>
      <c r="P96" s="99"/>
    </row>
    <row r="97" spans="2:16" ht="13.75" customHeight="1" x14ac:dyDescent="0.15">
      <c r="B97" s="98"/>
      <c r="C97" s="98"/>
      <c r="D97" s="98"/>
      <c r="E97" s="99"/>
      <c r="F97" s="99"/>
      <c r="G97" s="99"/>
      <c r="H97" s="99"/>
      <c r="I97" s="99"/>
      <c r="J97" s="99"/>
      <c r="K97" s="99"/>
      <c r="L97" s="99"/>
      <c r="M97" s="99"/>
      <c r="N97" s="99"/>
      <c r="O97" s="99"/>
      <c r="P97" s="99"/>
    </row>
    <row r="98" spans="2:16" ht="13.75" customHeight="1" x14ac:dyDescent="0.15">
      <c r="B98" s="98"/>
      <c r="C98" s="98"/>
      <c r="D98" s="98"/>
      <c r="E98" s="99"/>
      <c r="F98" s="99"/>
      <c r="G98" s="99"/>
      <c r="H98" s="99"/>
      <c r="I98" s="99"/>
      <c r="J98" s="99"/>
      <c r="K98" s="99"/>
      <c r="L98" s="99"/>
      <c r="M98" s="99"/>
      <c r="N98" s="99"/>
      <c r="O98" s="99"/>
      <c r="P98" s="99"/>
    </row>
    <row r="99" spans="2:16" ht="13.75" customHeight="1" x14ac:dyDescent="0.15">
      <c r="B99" s="98"/>
      <c r="C99" s="98"/>
      <c r="D99" s="98"/>
      <c r="E99" s="99"/>
      <c r="F99" s="99"/>
      <c r="G99" s="99"/>
      <c r="H99" s="99"/>
      <c r="I99" s="99"/>
      <c r="J99" s="99"/>
      <c r="K99" s="99"/>
      <c r="L99" s="99"/>
      <c r="M99" s="99"/>
      <c r="N99" s="99"/>
      <c r="O99" s="99"/>
      <c r="P99" s="99"/>
    </row>
    <row r="100" spans="2:16" ht="13.75" customHeight="1" x14ac:dyDescent="0.15">
      <c r="B100" s="98"/>
      <c r="C100" s="98"/>
      <c r="D100" s="98"/>
      <c r="E100" s="99"/>
      <c r="F100" s="99"/>
      <c r="G100" s="99"/>
      <c r="H100" s="99"/>
      <c r="I100" s="99"/>
      <c r="J100" s="99"/>
      <c r="K100" s="99"/>
      <c r="L100" s="99"/>
      <c r="M100" s="99"/>
      <c r="N100" s="99"/>
      <c r="O100" s="99"/>
      <c r="P100" s="99"/>
    </row>
    <row r="101" spans="2:16" ht="13.75" customHeight="1" x14ac:dyDescent="0.15">
      <c r="B101" s="98"/>
      <c r="C101" s="98"/>
      <c r="D101" s="98"/>
      <c r="E101" s="99"/>
      <c r="F101" s="99"/>
      <c r="G101" s="99"/>
      <c r="H101" s="99"/>
      <c r="I101" s="99"/>
      <c r="J101" s="99"/>
      <c r="K101" s="99"/>
      <c r="L101" s="99"/>
      <c r="M101" s="99"/>
      <c r="N101" s="99"/>
      <c r="O101" s="99"/>
      <c r="P101" s="99"/>
    </row>
    <row r="102" spans="2:16" ht="13.75" customHeight="1" x14ac:dyDescent="0.15">
      <c r="B102" s="98"/>
      <c r="C102" s="98"/>
      <c r="D102" s="98"/>
      <c r="E102" s="99"/>
      <c r="F102" s="99"/>
      <c r="G102" s="99"/>
      <c r="H102" s="99"/>
      <c r="I102" s="99"/>
      <c r="J102" s="99"/>
      <c r="K102" s="99"/>
      <c r="L102" s="99"/>
      <c r="M102" s="99"/>
      <c r="N102" s="99"/>
      <c r="O102" s="99"/>
      <c r="P102" s="99"/>
    </row>
    <row r="103" spans="2:16" ht="13.75" customHeight="1" x14ac:dyDescent="0.15">
      <c r="B103" s="98"/>
      <c r="C103" s="98"/>
      <c r="D103" s="98"/>
      <c r="E103" s="99"/>
      <c r="F103" s="99"/>
      <c r="G103" s="99"/>
      <c r="H103" s="99"/>
      <c r="I103" s="99"/>
      <c r="J103" s="99"/>
      <c r="K103" s="99"/>
      <c r="L103" s="99"/>
      <c r="M103" s="99"/>
      <c r="N103" s="99"/>
      <c r="O103" s="99"/>
      <c r="P103" s="99"/>
    </row>
    <row r="104" spans="2:16" ht="13.75" customHeight="1" x14ac:dyDescent="0.15">
      <c r="B104" s="98"/>
      <c r="C104" s="98"/>
      <c r="D104" s="98"/>
      <c r="E104" s="99"/>
      <c r="F104" s="99"/>
      <c r="G104" s="99"/>
      <c r="H104" s="99"/>
      <c r="I104" s="99"/>
      <c r="J104" s="99"/>
      <c r="K104" s="99"/>
      <c r="L104" s="99"/>
      <c r="M104" s="99"/>
      <c r="N104" s="99"/>
      <c r="O104" s="99"/>
      <c r="P104" s="99"/>
    </row>
    <row r="105" spans="2:16" ht="13.75" customHeight="1" x14ac:dyDescent="0.15">
      <c r="B105" s="98"/>
      <c r="C105" s="98"/>
      <c r="D105" s="98"/>
      <c r="E105" s="99"/>
      <c r="F105" s="99"/>
      <c r="G105" s="99"/>
      <c r="H105" s="99"/>
      <c r="I105" s="99"/>
      <c r="J105" s="99"/>
      <c r="K105" s="99"/>
      <c r="L105" s="99"/>
      <c r="M105" s="99"/>
      <c r="N105" s="99"/>
      <c r="O105" s="99"/>
      <c r="P105" s="99"/>
    </row>
    <row r="106" spans="2:16" ht="13.75" customHeight="1" x14ac:dyDescent="0.15">
      <c r="B106" s="98"/>
      <c r="C106" s="98"/>
      <c r="D106" s="98"/>
      <c r="E106" s="99"/>
      <c r="F106" s="99"/>
      <c r="G106" s="99"/>
      <c r="H106" s="99"/>
      <c r="I106" s="99"/>
      <c r="J106" s="99"/>
      <c r="K106" s="99"/>
      <c r="L106" s="99"/>
      <c r="M106" s="99"/>
      <c r="N106" s="99"/>
      <c r="O106" s="99"/>
      <c r="P106" s="99"/>
    </row>
    <row r="107" spans="2:16" ht="13.75" customHeight="1" x14ac:dyDescent="0.15">
      <c r="B107" s="98"/>
      <c r="C107" s="98"/>
      <c r="D107" s="98"/>
      <c r="E107" s="99"/>
      <c r="F107" s="99"/>
      <c r="G107" s="99"/>
      <c r="H107" s="99"/>
      <c r="I107" s="99"/>
      <c r="J107" s="99"/>
      <c r="K107" s="99"/>
      <c r="L107" s="99"/>
      <c r="M107" s="99"/>
      <c r="N107" s="99"/>
      <c r="O107" s="99"/>
      <c r="P107" s="99"/>
    </row>
    <row r="108" spans="2:16" ht="13.75" customHeight="1" x14ac:dyDescent="0.15">
      <c r="B108" s="98"/>
      <c r="C108" s="98"/>
      <c r="D108" s="98"/>
      <c r="E108" s="99"/>
      <c r="F108" s="99"/>
      <c r="G108" s="99"/>
      <c r="H108" s="99"/>
      <c r="I108" s="99"/>
      <c r="J108" s="99"/>
      <c r="K108" s="99"/>
      <c r="L108" s="99"/>
      <c r="M108" s="99"/>
      <c r="N108" s="99"/>
      <c r="O108" s="99"/>
      <c r="P108" s="99"/>
    </row>
    <row r="109" spans="2:16" ht="13.75" customHeight="1" x14ac:dyDescent="0.15">
      <c r="B109" s="98"/>
      <c r="C109" s="98"/>
      <c r="D109" s="98"/>
      <c r="E109" s="99"/>
      <c r="F109" s="99"/>
      <c r="G109" s="99"/>
      <c r="H109" s="99"/>
      <c r="I109" s="99"/>
      <c r="J109" s="99"/>
      <c r="K109" s="99"/>
      <c r="L109" s="99"/>
      <c r="M109" s="99"/>
      <c r="N109" s="99"/>
      <c r="O109" s="99"/>
      <c r="P109" s="99"/>
    </row>
    <row r="110" spans="2:16" ht="13.75" customHeight="1" x14ac:dyDescent="0.15">
      <c r="B110" s="98"/>
      <c r="C110" s="98"/>
      <c r="D110" s="98"/>
      <c r="E110" s="99"/>
      <c r="F110" s="99"/>
      <c r="G110" s="99"/>
      <c r="H110" s="99"/>
      <c r="I110" s="99"/>
      <c r="J110" s="99"/>
      <c r="K110" s="99"/>
      <c r="L110" s="99"/>
      <c r="M110" s="99"/>
      <c r="N110" s="99"/>
      <c r="O110" s="99"/>
      <c r="P110" s="99"/>
    </row>
    <row r="111" spans="2:16" ht="13.75" customHeight="1" x14ac:dyDescent="0.15">
      <c r="B111" s="98"/>
      <c r="C111" s="98"/>
      <c r="D111" s="98"/>
      <c r="E111" s="99"/>
      <c r="F111" s="99"/>
      <c r="G111" s="99"/>
      <c r="H111" s="99"/>
      <c r="I111" s="99"/>
      <c r="J111" s="99"/>
      <c r="K111" s="99"/>
      <c r="L111" s="99"/>
      <c r="M111" s="99"/>
      <c r="N111" s="99"/>
      <c r="O111" s="99"/>
      <c r="P111" s="99"/>
    </row>
    <row r="112" spans="2:16" ht="13.75" customHeight="1" x14ac:dyDescent="0.15">
      <c r="B112" s="98"/>
      <c r="C112" s="98"/>
      <c r="D112" s="98"/>
      <c r="E112" s="99"/>
      <c r="F112" s="99"/>
      <c r="G112" s="99"/>
      <c r="H112" s="99"/>
      <c r="I112" s="99"/>
      <c r="J112" s="99"/>
      <c r="K112" s="99"/>
      <c r="L112" s="99"/>
      <c r="M112" s="99"/>
      <c r="N112" s="99"/>
      <c r="O112" s="99"/>
      <c r="P112" s="99"/>
    </row>
    <row r="113" spans="2:16" ht="13.75" customHeight="1" x14ac:dyDescent="0.15">
      <c r="B113" s="98"/>
      <c r="C113" s="98"/>
      <c r="D113" s="98"/>
      <c r="E113" s="99"/>
      <c r="F113" s="99"/>
      <c r="G113" s="99"/>
      <c r="H113" s="99"/>
      <c r="I113" s="99"/>
      <c r="J113" s="99"/>
      <c r="K113" s="99"/>
      <c r="L113" s="99"/>
      <c r="M113" s="99"/>
      <c r="N113" s="99"/>
      <c r="O113" s="99"/>
      <c r="P113" s="99"/>
    </row>
    <row r="114" spans="2:16" ht="13.75" customHeight="1" x14ac:dyDescent="0.15">
      <c r="B114" s="98"/>
      <c r="C114" s="98"/>
      <c r="D114" s="98"/>
      <c r="E114" s="99"/>
      <c r="F114" s="99"/>
      <c r="G114" s="99"/>
      <c r="H114" s="99"/>
      <c r="I114" s="99"/>
      <c r="J114" s="99"/>
      <c r="K114" s="99"/>
      <c r="L114" s="99"/>
      <c r="M114" s="99"/>
      <c r="N114" s="99"/>
      <c r="O114" s="99"/>
      <c r="P114" s="99"/>
    </row>
  </sheetData>
  <mergeCells count="54">
    <mergeCell ref="B79:D82"/>
    <mergeCell ref="E79:J82"/>
    <mergeCell ref="K79:P82"/>
    <mergeCell ref="B71:D74"/>
    <mergeCell ref="E71:J74"/>
    <mergeCell ref="K71:P74"/>
    <mergeCell ref="B75:D78"/>
    <mergeCell ref="E75:J78"/>
    <mergeCell ref="K75:P78"/>
    <mergeCell ref="B67:D70"/>
    <mergeCell ref="E67:J70"/>
    <mergeCell ref="K67:P70"/>
    <mergeCell ref="B63:D66"/>
    <mergeCell ref="E63:J66"/>
    <mergeCell ref="K63:P66"/>
    <mergeCell ref="B55:D58"/>
    <mergeCell ref="E55:J58"/>
    <mergeCell ref="K55:P58"/>
    <mergeCell ref="B59:D62"/>
    <mergeCell ref="E59:J62"/>
    <mergeCell ref="K59:P62"/>
    <mergeCell ref="B47:D50"/>
    <mergeCell ref="E47:J50"/>
    <mergeCell ref="K47:P50"/>
    <mergeCell ref="B51:D54"/>
    <mergeCell ref="E51:J54"/>
    <mergeCell ref="K51:P54"/>
    <mergeCell ref="B39:D42"/>
    <mergeCell ref="E39:J42"/>
    <mergeCell ref="K39:P42"/>
    <mergeCell ref="B43:D46"/>
    <mergeCell ref="E43:J46"/>
    <mergeCell ref="K43:P46"/>
    <mergeCell ref="B31:D34"/>
    <mergeCell ref="E31:J34"/>
    <mergeCell ref="K31:P34"/>
    <mergeCell ref="B35:D38"/>
    <mergeCell ref="E35:J38"/>
    <mergeCell ref="K35:P38"/>
    <mergeCell ref="B23:D26"/>
    <mergeCell ref="E23:J26"/>
    <mergeCell ref="K23:P26"/>
    <mergeCell ref="B27:D30"/>
    <mergeCell ref="E27:J30"/>
    <mergeCell ref="K27:P30"/>
    <mergeCell ref="B19:D22"/>
    <mergeCell ref="E19:J22"/>
    <mergeCell ref="K19:P22"/>
    <mergeCell ref="B11:D14"/>
    <mergeCell ref="E11:J14"/>
    <mergeCell ref="K11:P14"/>
    <mergeCell ref="B15:D18"/>
    <mergeCell ref="E15:J18"/>
    <mergeCell ref="K15:P18"/>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48606-B442-4CE4-826A-8EE0C0CD9494}">
  <sheetPr>
    <tabColor theme="5" tint="0.79998168889431442"/>
  </sheetPr>
  <dimension ref="A1:P2486"/>
  <sheetViews>
    <sheetView showGridLines="0" workbookViewId="0"/>
  </sheetViews>
  <sheetFormatPr baseColWidth="10" defaultColWidth="15.6640625" defaultRowHeight="14" outlineLevelRow="1" x14ac:dyDescent="0.15"/>
  <cols>
    <col min="1" max="1" width="2.6640625" style="3" customWidth="1"/>
    <col min="2" max="11" width="18.6640625" style="3" customWidth="1"/>
    <col min="12" max="16384" width="15.6640625" style="3"/>
  </cols>
  <sheetData>
    <row r="1" spans="1:16" s="1" customFormat="1" x14ac:dyDescent="0.15"/>
    <row r="2" spans="1:16" s="1" customFormat="1" x14ac:dyDescent="0.15"/>
    <row r="3" spans="1:16" s="1" customFormat="1" x14ac:dyDescent="0.15"/>
    <row r="4" spans="1:16" s="1" customFormat="1" x14ac:dyDescent="0.15"/>
    <row r="5" spans="1:16" s="1" customFormat="1" x14ac:dyDescent="0.15"/>
    <row r="6" spans="1:16" s="1" customFormat="1" x14ac:dyDescent="0.15"/>
    <row r="7" spans="1:16" s="1" customFormat="1" x14ac:dyDescent="0.15"/>
    <row r="8" spans="1:16" s="1" customFormat="1" ht="21" x14ac:dyDescent="0.25">
      <c r="A8" s="10" t="s">
        <v>359</v>
      </c>
      <c r="B8" s="10"/>
      <c r="C8" s="10"/>
      <c r="D8" s="10"/>
      <c r="E8" s="10"/>
      <c r="F8" s="10"/>
      <c r="G8" s="103"/>
      <c r="H8" s="103"/>
      <c r="I8" s="103"/>
      <c r="J8" s="103"/>
      <c r="K8" s="103"/>
      <c r="L8" s="103"/>
      <c r="M8" s="103"/>
      <c r="N8" s="103"/>
      <c r="O8" s="103"/>
      <c r="P8" s="103"/>
    </row>
    <row r="9" spans="1:16" s="1" customFormat="1" ht="21" x14ac:dyDescent="0.25">
      <c r="A9" s="10" t="s">
        <v>258</v>
      </c>
      <c r="B9" s="10"/>
      <c r="C9" s="10"/>
      <c r="D9" s="10"/>
      <c r="E9" s="10"/>
      <c r="F9" s="10"/>
      <c r="G9" s="103"/>
      <c r="H9" s="103"/>
      <c r="I9" s="103"/>
      <c r="J9" s="103"/>
      <c r="K9" s="103"/>
      <c r="L9" s="103"/>
      <c r="M9" s="103"/>
      <c r="N9" s="103"/>
      <c r="O9" s="103"/>
      <c r="P9" s="103"/>
    </row>
    <row r="10" spans="1:16" s="1" customFormat="1" x14ac:dyDescent="0.15"/>
    <row r="11" spans="1:16" s="18" customFormat="1" ht="18" x14ac:dyDescent="0.2">
      <c r="A11" s="3"/>
      <c r="B11" s="100" t="s">
        <v>254</v>
      </c>
      <c r="C11" s="102" t="s">
        <v>255</v>
      </c>
      <c r="D11" s="5"/>
      <c r="E11" s="5"/>
      <c r="F11" s="5"/>
      <c r="G11" s="5"/>
      <c r="H11" s="5"/>
      <c r="I11" s="5"/>
      <c r="J11" s="5"/>
      <c r="K11" s="5"/>
      <c r="L11" s="5"/>
      <c r="M11" s="5"/>
      <c r="N11" s="5"/>
      <c r="O11" s="5"/>
      <c r="P11" s="5"/>
    </row>
    <row r="12" spans="1:16" s="25" customFormat="1" ht="18" x14ac:dyDescent="0.2">
      <c r="A12" s="3"/>
      <c r="B12" s="4"/>
      <c r="C12" s="4"/>
      <c r="D12" s="4"/>
      <c r="E12" s="4"/>
      <c r="F12" s="4"/>
      <c r="G12" s="4"/>
      <c r="H12" s="4"/>
      <c r="I12" s="4"/>
      <c r="J12" s="4"/>
      <c r="K12" s="4"/>
      <c r="L12" s="4"/>
      <c r="M12" s="4"/>
      <c r="N12" s="4"/>
      <c r="O12" s="4"/>
      <c r="P12" s="4"/>
    </row>
    <row r="13" spans="1:16" x14ac:dyDescent="0.15">
      <c r="B13" s="101">
        <v>45485</v>
      </c>
      <c r="C13" s="125">
        <v>36278.67</v>
      </c>
      <c r="E13" s="104" t="s">
        <v>256</v>
      </c>
      <c r="F13" s="105">
        <f>YEARFRAC(B2484,B13,4)</f>
        <v>9.9916666666666671</v>
      </c>
    </row>
    <row r="14" spans="1:16" x14ac:dyDescent="0.15">
      <c r="B14" s="101">
        <v>45484</v>
      </c>
      <c r="C14" s="125">
        <v>36000.25</v>
      </c>
      <c r="E14" s="104" t="s">
        <v>257</v>
      </c>
      <c r="F14" s="106">
        <f>_xlfn.RRI(F13,C2484,C13)</f>
        <v>0.13913165804072714</v>
      </c>
    </row>
    <row r="15" spans="1:16" x14ac:dyDescent="0.15">
      <c r="B15" s="101">
        <v>45483</v>
      </c>
      <c r="C15" s="125">
        <v>36012.82</v>
      </c>
    </row>
    <row r="16" spans="1:16" x14ac:dyDescent="0.15">
      <c r="B16" s="101">
        <v>45482</v>
      </c>
      <c r="C16" s="125">
        <v>36173.870000000003</v>
      </c>
      <c r="E16" s="141"/>
      <c r="F16" s="141"/>
    </row>
    <row r="17" spans="2:6" x14ac:dyDescent="0.15">
      <c r="B17" s="101">
        <v>45481</v>
      </c>
      <c r="C17" s="125">
        <v>36004.74</v>
      </c>
      <c r="E17" s="141"/>
      <c r="F17" s="141"/>
    </row>
    <row r="18" spans="2:6" x14ac:dyDescent="0.15">
      <c r="B18" s="101">
        <v>45478</v>
      </c>
      <c r="C18" s="125">
        <v>36009.61</v>
      </c>
      <c r="E18" s="141"/>
      <c r="F18" s="141"/>
    </row>
    <row r="19" spans="2:6" x14ac:dyDescent="0.15">
      <c r="B19" s="101">
        <v>45477</v>
      </c>
      <c r="C19" s="125">
        <v>35970.639999999999</v>
      </c>
      <c r="E19" s="141"/>
      <c r="F19" s="141"/>
    </row>
    <row r="20" spans="2:6" x14ac:dyDescent="0.15">
      <c r="B20" s="101">
        <v>45476</v>
      </c>
      <c r="C20" s="125">
        <v>35947.53</v>
      </c>
      <c r="E20" s="141"/>
      <c r="F20" s="141"/>
    </row>
    <row r="21" spans="2:6" x14ac:dyDescent="0.15">
      <c r="B21" s="101">
        <v>45475</v>
      </c>
      <c r="C21" s="125">
        <v>35706.769999999997</v>
      </c>
      <c r="E21" s="141"/>
      <c r="F21" s="141"/>
    </row>
    <row r="22" spans="2:6" x14ac:dyDescent="0.15">
      <c r="B22" s="101">
        <v>45474</v>
      </c>
      <c r="C22" s="125">
        <v>35733.58</v>
      </c>
      <c r="E22" s="141"/>
      <c r="F22" s="141"/>
    </row>
    <row r="23" spans="2:6" x14ac:dyDescent="0.15">
      <c r="B23" s="101">
        <v>45471</v>
      </c>
      <c r="C23" s="125">
        <v>35539.160000000003</v>
      </c>
      <c r="E23" s="141"/>
      <c r="F23" s="141"/>
    </row>
    <row r="24" spans="2:6" x14ac:dyDescent="0.15">
      <c r="B24" s="101">
        <v>45470</v>
      </c>
      <c r="C24" s="125">
        <v>35585.620000000003</v>
      </c>
      <c r="E24" s="141"/>
      <c r="F24" s="141"/>
    </row>
    <row r="25" spans="2:6" x14ac:dyDescent="0.15">
      <c r="B25" s="101">
        <v>45469</v>
      </c>
      <c r="C25" s="125">
        <v>35324.11</v>
      </c>
      <c r="E25" s="141"/>
      <c r="F25" s="141"/>
    </row>
    <row r="26" spans="2:6" x14ac:dyDescent="0.15">
      <c r="B26" s="101">
        <v>45468</v>
      </c>
      <c r="C26" s="125">
        <v>35105.79</v>
      </c>
      <c r="E26" s="141"/>
      <c r="F26" s="141"/>
    </row>
    <row r="27" spans="2:6" x14ac:dyDescent="0.15">
      <c r="B27" s="101">
        <v>45467</v>
      </c>
      <c r="C27" s="125">
        <v>34834.33</v>
      </c>
      <c r="E27" s="141"/>
      <c r="F27" s="141"/>
    </row>
    <row r="28" spans="2:6" x14ac:dyDescent="0.15">
      <c r="B28" s="101">
        <v>45464</v>
      </c>
      <c r="C28" s="125">
        <v>34779.9</v>
      </c>
      <c r="E28" s="141"/>
      <c r="F28" s="141"/>
    </row>
    <row r="29" spans="2:6" x14ac:dyDescent="0.15">
      <c r="B29" s="101">
        <v>45463</v>
      </c>
      <c r="C29" s="125">
        <v>34873.15</v>
      </c>
      <c r="E29" s="141"/>
      <c r="F29" s="141"/>
    </row>
    <row r="30" spans="2:6" x14ac:dyDescent="0.15">
      <c r="B30" s="101">
        <v>45462</v>
      </c>
      <c r="C30" s="125">
        <v>34786.58</v>
      </c>
      <c r="E30" s="141"/>
      <c r="F30" s="141"/>
    </row>
    <row r="31" spans="2:6" x14ac:dyDescent="0.15">
      <c r="B31" s="101">
        <v>45461</v>
      </c>
      <c r="C31" s="125">
        <v>34847.24</v>
      </c>
      <c r="E31" s="141"/>
      <c r="F31" s="141"/>
    </row>
    <row r="32" spans="2:6" hidden="1" outlineLevel="1" x14ac:dyDescent="0.15">
      <c r="B32" s="101">
        <v>45457</v>
      </c>
      <c r="C32" s="125">
        <v>34710.67</v>
      </c>
      <c r="E32" s="141"/>
      <c r="F32" s="141"/>
    </row>
    <row r="33" spans="2:6" hidden="1" outlineLevel="1" x14ac:dyDescent="0.15">
      <c r="B33" s="101">
        <v>45456</v>
      </c>
      <c r="C33" s="125">
        <v>34600.19</v>
      </c>
      <c r="E33" s="141"/>
      <c r="F33" s="141"/>
    </row>
    <row r="34" spans="2:6" hidden="1" outlineLevel="1" x14ac:dyDescent="0.15">
      <c r="B34" s="101">
        <v>45455</v>
      </c>
      <c r="C34" s="125">
        <v>34487.879999999997</v>
      </c>
      <c r="E34" s="141"/>
      <c r="F34" s="141"/>
    </row>
    <row r="35" spans="2:6" hidden="1" outlineLevel="1" x14ac:dyDescent="0.15">
      <c r="B35" s="101">
        <v>45454</v>
      </c>
      <c r="C35" s="125">
        <v>34402</v>
      </c>
      <c r="E35" s="141"/>
      <c r="F35" s="141"/>
    </row>
    <row r="36" spans="2:6" hidden="1" outlineLevel="1" x14ac:dyDescent="0.15">
      <c r="B36" s="101">
        <v>45453</v>
      </c>
      <c r="C36" s="125">
        <v>34385.839999999997</v>
      </c>
      <c r="E36" s="141"/>
      <c r="F36" s="141"/>
    </row>
    <row r="37" spans="2:6" hidden="1" outlineLevel="1" x14ac:dyDescent="0.15">
      <c r="B37" s="101">
        <v>45450</v>
      </c>
      <c r="C37" s="125">
        <v>34431.61</v>
      </c>
      <c r="E37" s="141"/>
      <c r="F37" s="141"/>
    </row>
    <row r="38" spans="2:6" hidden="1" outlineLevel="1" x14ac:dyDescent="0.15">
      <c r="B38" s="101">
        <v>45449</v>
      </c>
      <c r="C38" s="125">
        <v>33738.58</v>
      </c>
      <c r="E38" s="141"/>
      <c r="F38" s="141"/>
    </row>
    <row r="39" spans="2:6" hidden="1" outlineLevel="1" x14ac:dyDescent="0.15">
      <c r="B39" s="101">
        <v>45448</v>
      </c>
      <c r="C39" s="125">
        <v>33441.4</v>
      </c>
      <c r="E39" s="141"/>
      <c r="F39" s="141"/>
    </row>
    <row r="40" spans="2:6" hidden="1" outlineLevel="1" x14ac:dyDescent="0.15">
      <c r="B40" s="101">
        <v>45447</v>
      </c>
      <c r="C40" s="125">
        <v>32353.5</v>
      </c>
      <c r="E40" s="141"/>
      <c r="F40" s="141"/>
    </row>
    <row r="41" spans="2:6" hidden="1" outlineLevel="1" x14ac:dyDescent="0.15">
      <c r="B41" s="101">
        <v>45446</v>
      </c>
      <c r="C41" s="125">
        <v>34369.129999999997</v>
      </c>
      <c r="E41" s="141"/>
      <c r="F41" s="141"/>
    </row>
    <row r="42" spans="2:6" hidden="1" outlineLevel="1" x14ac:dyDescent="0.15">
      <c r="B42" s="101">
        <v>45443</v>
      </c>
      <c r="C42" s="125">
        <v>33285.9</v>
      </c>
      <c r="E42" s="141"/>
      <c r="F42" s="141"/>
    </row>
    <row r="43" spans="2:6" hidden="1" outlineLevel="1" x14ac:dyDescent="0.15">
      <c r="B43" s="101">
        <v>45442</v>
      </c>
      <c r="C43" s="125">
        <v>33190.35</v>
      </c>
      <c r="E43" s="141"/>
      <c r="F43" s="141"/>
    </row>
    <row r="44" spans="2:6" hidden="1" outlineLevel="1" x14ac:dyDescent="0.15">
      <c r="B44" s="101">
        <v>45441</v>
      </c>
      <c r="C44" s="125">
        <v>33509.230000000003</v>
      </c>
      <c r="E44" s="141"/>
      <c r="F44" s="141"/>
    </row>
    <row r="45" spans="2:6" hidden="1" outlineLevel="1" x14ac:dyDescent="0.15">
      <c r="B45" s="101">
        <v>45440</v>
      </c>
      <c r="C45" s="125">
        <v>33780.01</v>
      </c>
      <c r="E45" s="141"/>
      <c r="F45" s="141"/>
    </row>
    <row r="46" spans="2:6" hidden="1" outlineLevel="1" x14ac:dyDescent="0.15">
      <c r="B46" s="101">
        <v>45439</v>
      </c>
      <c r="C46" s="125">
        <v>33845.39</v>
      </c>
      <c r="E46" s="141"/>
      <c r="F46" s="141"/>
    </row>
    <row r="47" spans="2:6" hidden="1" outlineLevel="1" x14ac:dyDescent="0.15">
      <c r="B47" s="101">
        <v>45436</v>
      </c>
      <c r="C47" s="125">
        <v>33881.75</v>
      </c>
      <c r="E47" s="141"/>
      <c r="F47" s="141"/>
    </row>
    <row r="48" spans="2:6" hidden="1" outlineLevel="1" x14ac:dyDescent="0.15">
      <c r="B48" s="101">
        <v>45435</v>
      </c>
      <c r="C48" s="125">
        <v>33895.660000000003</v>
      </c>
      <c r="E48" s="141"/>
      <c r="F48" s="141"/>
    </row>
    <row r="49" spans="2:6" hidden="1" outlineLevel="1" x14ac:dyDescent="0.15">
      <c r="B49" s="101">
        <v>45434</v>
      </c>
      <c r="C49" s="125">
        <v>33349.839999999997</v>
      </c>
      <c r="E49" s="141"/>
      <c r="F49" s="141"/>
    </row>
    <row r="50" spans="2:6" hidden="1" outlineLevel="1" x14ac:dyDescent="0.15">
      <c r="B50" s="101">
        <v>45433</v>
      </c>
      <c r="C50" s="125">
        <v>33230.839999999997</v>
      </c>
      <c r="E50" s="141"/>
      <c r="F50" s="141"/>
    </row>
    <row r="51" spans="2:6" hidden="1" outlineLevel="1" x14ac:dyDescent="0.15">
      <c r="B51" s="101">
        <v>45430</v>
      </c>
      <c r="C51" s="125">
        <v>33190.97</v>
      </c>
      <c r="E51" s="141"/>
      <c r="F51" s="141"/>
    </row>
    <row r="52" spans="2:6" hidden="1" outlineLevel="1" x14ac:dyDescent="0.15">
      <c r="B52" s="101">
        <v>45429</v>
      </c>
      <c r="C52" s="125">
        <v>33138.019999999997</v>
      </c>
      <c r="E52" s="141"/>
      <c r="F52" s="141"/>
    </row>
    <row r="53" spans="2:6" hidden="1" outlineLevel="1" x14ac:dyDescent="0.15">
      <c r="B53" s="101">
        <v>45428</v>
      </c>
      <c r="C53" s="125">
        <v>33046.160000000003</v>
      </c>
      <c r="E53" s="141"/>
      <c r="F53" s="141"/>
    </row>
    <row r="54" spans="2:6" hidden="1" outlineLevel="1" x14ac:dyDescent="0.15">
      <c r="B54" s="101">
        <v>45427</v>
      </c>
      <c r="C54" s="125">
        <v>32736.91</v>
      </c>
      <c r="E54" s="141"/>
      <c r="F54" s="141"/>
    </row>
    <row r="55" spans="2:6" hidden="1" outlineLevel="1" x14ac:dyDescent="0.15">
      <c r="B55" s="101">
        <v>45426</v>
      </c>
      <c r="C55" s="125">
        <v>32762.37</v>
      </c>
      <c r="E55" s="141"/>
      <c r="F55" s="141"/>
    </row>
    <row r="56" spans="2:6" hidden="1" outlineLevel="1" x14ac:dyDescent="0.15">
      <c r="B56" s="101">
        <v>45425</v>
      </c>
      <c r="C56" s="125">
        <v>32594.61</v>
      </c>
      <c r="E56" s="141"/>
      <c r="F56" s="141"/>
    </row>
    <row r="57" spans="2:6" hidden="1" outlineLevel="1" x14ac:dyDescent="0.15">
      <c r="B57" s="101">
        <v>45422</v>
      </c>
      <c r="C57" s="125">
        <v>32522.55</v>
      </c>
      <c r="E57" s="141"/>
      <c r="F57" s="141"/>
    </row>
    <row r="58" spans="2:6" hidden="1" outlineLevel="1" x14ac:dyDescent="0.15">
      <c r="B58" s="101">
        <v>45421</v>
      </c>
      <c r="C58" s="125">
        <v>32329.72</v>
      </c>
      <c r="E58" s="141"/>
      <c r="F58" s="141"/>
    </row>
    <row r="59" spans="2:6" hidden="1" outlineLevel="1" x14ac:dyDescent="0.15">
      <c r="B59" s="101">
        <v>45420</v>
      </c>
      <c r="C59" s="125">
        <v>32837.65</v>
      </c>
      <c r="E59" s="141"/>
      <c r="F59" s="141"/>
    </row>
    <row r="60" spans="2:6" hidden="1" outlineLevel="1" x14ac:dyDescent="0.15">
      <c r="B60" s="101">
        <v>45419</v>
      </c>
      <c r="C60" s="125">
        <v>32837.71</v>
      </c>
      <c r="E60" s="141"/>
      <c r="F60" s="141"/>
    </row>
    <row r="61" spans="2:6" hidden="1" outlineLevel="1" x14ac:dyDescent="0.15">
      <c r="B61" s="101">
        <v>45418</v>
      </c>
      <c r="C61" s="125">
        <v>33037.730000000003</v>
      </c>
      <c r="E61" s="141"/>
      <c r="F61" s="141"/>
    </row>
    <row r="62" spans="2:6" hidden="1" outlineLevel="1" x14ac:dyDescent="0.15">
      <c r="B62" s="101">
        <v>45415</v>
      </c>
      <c r="C62" s="125">
        <v>33086.51</v>
      </c>
      <c r="E62" s="141"/>
      <c r="F62" s="141"/>
    </row>
    <row r="63" spans="2:6" hidden="1" outlineLevel="1" x14ac:dyDescent="0.15">
      <c r="B63" s="101">
        <v>45414</v>
      </c>
      <c r="C63" s="125">
        <v>33340.199999999997</v>
      </c>
      <c r="E63" s="141"/>
      <c r="F63" s="141"/>
    </row>
    <row r="64" spans="2:6" hidden="1" outlineLevel="1" x14ac:dyDescent="0.15">
      <c r="B64" s="101">
        <v>45412</v>
      </c>
      <c r="C64" s="125">
        <v>33276.410000000003</v>
      </c>
      <c r="E64" s="141"/>
      <c r="F64" s="141"/>
    </row>
    <row r="65" spans="2:6" hidden="1" outlineLevel="1" x14ac:dyDescent="0.15">
      <c r="B65" s="101">
        <v>45411</v>
      </c>
      <c r="C65" s="125">
        <v>33333.120000000003</v>
      </c>
      <c r="E65" s="141"/>
      <c r="F65" s="141"/>
    </row>
    <row r="66" spans="2:6" hidden="1" outlineLevel="1" x14ac:dyDescent="0.15">
      <c r="B66" s="101">
        <v>45408</v>
      </c>
      <c r="C66" s="125">
        <v>33004.19</v>
      </c>
      <c r="E66" s="141"/>
      <c r="F66" s="141"/>
    </row>
    <row r="67" spans="2:6" hidden="1" outlineLevel="1" x14ac:dyDescent="0.15">
      <c r="B67" s="101">
        <v>45407</v>
      </c>
      <c r="C67" s="125">
        <v>33225.64</v>
      </c>
      <c r="E67" s="141"/>
      <c r="F67" s="141"/>
    </row>
    <row r="68" spans="2:6" hidden="1" outlineLevel="1" x14ac:dyDescent="0.15">
      <c r="B68" s="101">
        <v>45406</v>
      </c>
      <c r="C68" s="125">
        <v>32978.370000000003</v>
      </c>
      <c r="E68" s="141"/>
      <c r="F68" s="141"/>
    </row>
    <row r="69" spans="2:6" hidden="1" outlineLevel="1" x14ac:dyDescent="0.15">
      <c r="B69" s="101">
        <v>45405</v>
      </c>
      <c r="C69" s="125">
        <v>32927.730000000003</v>
      </c>
      <c r="E69" s="141"/>
      <c r="F69" s="141"/>
    </row>
    <row r="70" spans="2:6" hidden="1" outlineLevel="1" x14ac:dyDescent="0.15">
      <c r="B70" s="101">
        <v>45404</v>
      </c>
      <c r="C70" s="125">
        <v>32881.22</v>
      </c>
      <c r="E70" s="141"/>
      <c r="F70" s="141"/>
    </row>
    <row r="71" spans="2:6" hidden="1" outlineLevel="1" x14ac:dyDescent="0.15">
      <c r="B71" s="101">
        <v>45401</v>
      </c>
      <c r="C71" s="125">
        <v>32602.42</v>
      </c>
      <c r="E71" s="141"/>
      <c r="F71" s="141"/>
    </row>
    <row r="72" spans="2:6" hidden="1" outlineLevel="1" x14ac:dyDescent="0.15">
      <c r="B72" s="101">
        <v>45400</v>
      </c>
      <c r="C72" s="125">
        <v>32379.9</v>
      </c>
      <c r="E72" s="141"/>
      <c r="F72" s="141"/>
    </row>
    <row r="73" spans="2:6" hidden="1" outlineLevel="1" x14ac:dyDescent="0.15">
      <c r="B73" s="101">
        <v>45398</v>
      </c>
      <c r="C73" s="125">
        <v>32603.74</v>
      </c>
      <c r="E73" s="141"/>
      <c r="F73" s="141"/>
    </row>
    <row r="74" spans="2:6" hidden="1" outlineLevel="1" x14ac:dyDescent="0.15">
      <c r="B74" s="101">
        <v>45397</v>
      </c>
      <c r="C74" s="125">
        <v>32787.15</v>
      </c>
      <c r="E74" s="141"/>
      <c r="F74" s="141"/>
    </row>
    <row r="75" spans="2:6" hidden="1" outlineLevel="1" x14ac:dyDescent="0.15">
      <c r="B75" s="101">
        <v>45394</v>
      </c>
      <c r="C75" s="125">
        <v>33150.589999999997</v>
      </c>
      <c r="E75" s="141"/>
      <c r="F75" s="141"/>
    </row>
    <row r="76" spans="2:6" hidden="1" outlineLevel="1" x14ac:dyDescent="0.15">
      <c r="B76" s="101">
        <v>45392</v>
      </c>
      <c r="C76" s="125">
        <v>33495.65</v>
      </c>
      <c r="E76" s="141"/>
      <c r="F76" s="141"/>
    </row>
    <row r="77" spans="2:6" hidden="1" outlineLevel="1" x14ac:dyDescent="0.15">
      <c r="B77" s="101">
        <v>45391</v>
      </c>
      <c r="C77" s="125">
        <v>33332.19</v>
      </c>
      <c r="E77" s="141"/>
      <c r="F77" s="141"/>
    </row>
    <row r="78" spans="2:6" hidden="1" outlineLevel="1" x14ac:dyDescent="0.15">
      <c r="B78" s="101">
        <v>45390</v>
      </c>
      <c r="C78" s="125">
        <v>33366.870000000003</v>
      </c>
      <c r="E78" s="141"/>
      <c r="F78" s="141"/>
    </row>
    <row r="79" spans="2:6" hidden="1" outlineLevel="1" x14ac:dyDescent="0.15">
      <c r="B79" s="101">
        <v>45387</v>
      </c>
      <c r="C79" s="125">
        <v>33142.19</v>
      </c>
      <c r="E79" s="141"/>
      <c r="F79" s="141"/>
    </row>
    <row r="80" spans="2:6" hidden="1" outlineLevel="1" x14ac:dyDescent="0.15">
      <c r="B80" s="101">
        <v>45386</v>
      </c>
      <c r="C80" s="125">
        <v>33143.589999999997</v>
      </c>
      <c r="E80" s="141"/>
      <c r="F80" s="141"/>
    </row>
    <row r="81" spans="2:6" hidden="1" outlineLevel="1" x14ac:dyDescent="0.15">
      <c r="B81" s="101">
        <v>45385</v>
      </c>
      <c r="C81" s="125">
        <v>33025.82</v>
      </c>
      <c r="E81" s="141"/>
      <c r="F81" s="141"/>
    </row>
    <row r="82" spans="2:6" hidden="1" outlineLevel="1" x14ac:dyDescent="0.15">
      <c r="B82" s="101">
        <v>45384</v>
      </c>
      <c r="C82" s="125">
        <v>33053.33</v>
      </c>
      <c r="E82" s="141"/>
      <c r="F82" s="141"/>
    </row>
    <row r="83" spans="2:6" hidden="1" outlineLevel="1" x14ac:dyDescent="0.15">
      <c r="B83" s="101">
        <v>45383</v>
      </c>
      <c r="C83" s="125">
        <v>33066.129999999997</v>
      </c>
      <c r="E83" s="141"/>
      <c r="F83" s="141"/>
    </row>
    <row r="84" spans="2:6" hidden="1" outlineLevel="1" x14ac:dyDescent="0.15">
      <c r="B84" s="101">
        <v>45379</v>
      </c>
      <c r="C84" s="125">
        <v>32867.230000000003</v>
      </c>
      <c r="E84" s="141"/>
      <c r="F84" s="141"/>
    </row>
    <row r="85" spans="2:6" hidden="1" outlineLevel="1" x14ac:dyDescent="0.15">
      <c r="B85" s="101">
        <v>45378</v>
      </c>
      <c r="C85" s="125">
        <v>32568.01</v>
      </c>
      <c r="E85" s="141"/>
      <c r="F85" s="141"/>
    </row>
    <row r="86" spans="2:6" hidden="1" outlineLevel="1" x14ac:dyDescent="0.15">
      <c r="B86" s="101">
        <v>45377</v>
      </c>
      <c r="C86" s="125">
        <v>32392.94</v>
      </c>
      <c r="E86" s="141"/>
      <c r="F86" s="141"/>
    </row>
    <row r="87" spans="2:6" hidden="1" outlineLevel="1" x14ac:dyDescent="0.15">
      <c r="B87" s="101">
        <v>45373</v>
      </c>
      <c r="C87" s="125">
        <v>32528.43</v>
      </c>
      <c r="E87" s="141"/>
      <c r="F87" s="141"/>
    </row>
    <row r="88" spans="2:6" hidden="1" outlineLevel="1" x14ac:dyDescent="0.15">
      <c r="B88" s="101">
        <v>45372</v>
      </c>
      <c r="C88" s="125">
        <v>32403.599999999999</v>
      </c>
      <c r="E88" s="141"/>
      <c r="F88" s="141"/>
    </row>
    <row r="89" spans="2:6" hidden="1" outlineLevel="1" x14ac:dyDescent="0.15">
      <c r="B89" s="101">
        <v>45371</v>
      </c>
      <c r="C89" s="125">
        <v>32149.17</v>
      </c>
      <c r="E89" s="141"/>
      <c r="F89" s="141"/>
    </row>
    <row r="90" spans="2:6" hidden="1" outlineLevel="1" x14ac:dyDescent="0.15">
      <c r="B90" s="101">
        <v>45370</v>
      </c>
      <c r="C90" s="125">
        <v>32117.3</v>
      </c>
      <c r="E90" s="141"/>
      <c r="F90" s="141"/>
    </row>
    <row r="91" spans="2:6" hidden="1" outlineLevel="1" x14ac:dyDescent="0.15">
      <c r="B91" s="101">
        <v>45369</v>
      </c>
      <c r="C91" s="125">
        <v>32468</v>
      </c>
      <c r="E91" s="141"/>
      <c r="F91" s="141"/>
    </row>
    <row r="92" spans="2:6" hidden="1" outlineLevel="1" x14ac:dyDescent="0.15">
      <c r="B92" s="101">
        <v>45366</v>
      </c>
      <c r="C92" s="125">
        <v>32420.41</v>
      </c>
      <c r="E92" s="141"/>
      <c r="F92" s="141"/>
    </row>
    <row r="93" spans="2:6" hidden="1" outlineLevel="1" x14ac:dyDescent="0.15">
      <c r="B93" s="101">
        <v>45365</v>
      </c>
      <c r="C93" s="125">
        <v>32601.49</v>
      </c>
      <c r="E93" s="141"/>
      <c r="F93" s="141"/>
    </row>
    <row r="94" spans="2:6" hidden="1" outlineLevel="1" x14ac:dyDescent="0.15">
      <c r="B94" s="101">
        <v>45364</v>
      </c>
      <c r="C94" s="125">
        <v>32382.22</v>
      </c>
      <c r="E94" s="141"/>
      <c r="F94" s="141"/>
    </row>
    <row r="95" spans="2:6" hidden="1" outlineLevel="1" x14ac:dyDescent="0.15">
      <c r="B95" s="101">
        <v>45363</v>
      </c>
      <c r="C95" s="125">
        <v>32879.74</v>
      </c>
      <c r="E95" s="141"/>
      <c r="F95" s="141"/>
    </row>
    <row r="96" spans="2:6" hidden="1" outlineLevel="1" x14ac:dyDescent="0.15">
      <c r="B96" s="101">
        <v>45362</v>
      </c>
      <c r="C96" s="125">
        <v>32875.25</v>
      </c>
      <c r="E96" s="141"/>
      <c r="F96" s="141"/>
    </row>
    <row r="97" spans="2:6" hidden="1" outlineLevel="1" x14ac:dyDescent="0.15">
      <c r="B97" s="101">
        <v>45358</v>
      </c>
      <c r="C97" s="125">
        <v>33112.15</v>
      </c>
      <c r="E97" s="141"/>
      <c r="F97" s="141"/>
    </row>
    <row r="98" spans="2:6" hidden="1" outlineLevel="1" x14ac:dyDescent="0.15">
      <c r="B98" s="101">
        <v>45357</v>
      </c>
      <c r="C98" s="125">
        <v>33083.42</v>
      </c>
      <c r="E98" s="141"/>
      <c r="F98" s="141"/>
    </row>
    <row r="99" spans="2:6" hidden="1" outlineLevel="1" x14ac:dyDescent="0.15">
      <c r="B99" s="101">
        <v>45356</v>
      </c>
      <c r="C99" s="125">
        <v>32910.07</v>
      </c>
      <c r="E99" s="141"/>
      <c r="F99" s="141"/>
    </row>
    <row r="100" spans="2:6" hidden="1" outlineLevel="1" x14ac:dyDescent="0.15">
      <c r="B100" s="101">
        <v>45355</v>
      </c>
      <c r="C100" s="125">
        <v>32982.68</v>
      </c>
      <c r="E100" s="141"/>
      <c r="F100" s="141"/>
    </row>
    <row r="101" spans="2:6" hidden="1" outlineLevel="1" x14ac:dyDescent="0.15">
      <c r="B101" s="101">
        <v>45353</v>
      </c>
      <c r="C101" s="125">
        <v>32942.629999999997</v>
      </c>
      <c r="E101" s="141"/>
      <c r="F101" s="141"/>
    </row>
    <row r="102" spans="2:6" hidden="1" outlineLevel="1" x14ac:dyDescent="0.15">
      <c r="B102" s="101">
        <v>45352</v>
      </c>
      <c r="C102" s="125">
        <v>32884.29</v>
      </c>
      <c r="E102" s="141"/>
      <c r="F102" s="141"/>
    </row>
    <row r="103" spans="2:6" hidden="1" outlineLevel="1" x14ac:dyDescent="0.15">
      <c r="B103" s="101">
        <v>45351</v>
      </c>
      <c r="C103" s="125">
        <v>32360.25</v>
      </c>
      <c r="E103" s="141"/>
      <c r="F103" s="141"/>
    </row>
    <row r="104" spans="2:6" hidden="1" outlineLevel="1" x14ac:dyDescent="0.15">
      <c r="B104" s="101">
        <v>45350</v>
      </c>
      <c r="C104" s="125">
        <v>32313.7</v>
      </c>
      <c r="E104" s="141"/>
      <c r="F104" s="141"/>
    </row>
    <row r="105" spans="2:6" hidden="1" outlineLevel="1" x14ac:dyDescent="0.15">
      <c r="B105" s="101">
        <v>45349</v>
      </c>
      <c r="C105" s="125">
        <v>32677.61</v>
      </c>
      <c r="E105" s="141"/>
      <c r="F105" s="141"/>
    </row>
    <row r="106" spans="2:6" hidden="1" outlineLevel="1" x14ac:dyDescent="0.15">
      <c r="B106" s="101">
        <v>45348</v>
      </c>
      <c r="C106" s="125">
        <v>32565.29</v>
      </c>
      <c r="E106" s="141"/>
      <c r="F106" s="141"/>
    </row>
    <row r="107" spans="2:6" hidden="1" outlineLevel="1" x14ac:dyDescent="0.15">
      <c r="B107" s="101">
        <v>45345</v>
      </c>
      <c r="C107" s="125">
        <v>32698.69</v>
      </c>
      <c r="E107" s="141"/>
      <c r="F107" s="141"/>
    </row>
    <row r="108" spans="2:6" hidden="1" outlineLevel="1" x14ac:dyDescent="0.15">
      <c r="B108" s="101">
        <v>45344</v>
      </c>
      <c r="C108" s="125">
        <v>32705.7</v>
      </c>
      <c r="E108" s="141"/>
      <c r="F108" s="141"/>
    </row>
    <row r="109" spans="2:6" hidden="1" outlineLevel="1" x14ac:dyDescent="0.15">
      <c r="B109" s="101">
        <v>45343</v>
      </c>
      <c r="C109" s="125">
        <v>32466.65</v>
      </c>
      <c r="E109" s="141"/>
      <c r="F109" s="141"/>
    </row>
    <row r="110" spans="2:6" hidden="1" outlineLevel="1" x14ac:dyDescent="0.15">
      <c r="B110" s="101">
        <v>45342</v>
      </c>
      <c r="C110" s="125">
        <v>32675.53</v>
      </c>
      <c r="E110" s="141"/>
      <c r="F110" s="141"/>
    </row>
    <row r="111" spans="2:6" hidden="1" outlineLevel="1" x14ac:dyDescent="0.15">
      <c r="B111" s="101">
        <v>45341</v>
      </c>
      <c r="C111" s="125">
        <v>32561.34</v>
      </c>
      <c r="E111" s="141"/>
      <c r="F111" s="141"/>
    </row>
    <row r="112" spans="2:6" hidden="1" outlineLevel="1" x14ac:dyDescent="0.15">
      <c r="B112" s="101">
        <v>45338</v>
      </c>
      <c r="C112" s="125">
        <v>32441.32</v>
      </c>
      <c r="E112" s="141"/>
      <c r="F112" s="141"/>
    </row>
    <row r="113" spans="2:6" hidden="1" outlineLevel="1" x14ac:dyDescent="0.15">
      <c r="B113" s="101">
        <v>45337</v>
      </c>
      <c r="C113" s="125">
        <v>32244.79</v>
      </c>
      <c r="E113" s="141"/>
      <c r="F113" s="141"/>
    </row>
    <row r="114" spans="2:6" hidden="1" outlineLevel="1" x14ac:dyDescent="0.15">
      <c r="B114" s="101">
        <v>45336</v>
      </c>
      <c r="C114" s="125">
        <v>32133.040000000001</v>
      </c>
      <c r="E114" s="141"/>
      <c r="F114" s="141"/>
    </row>
    <row r="115" spans="2:6" hidden="1" outlineLevel="1" x14ac:dyDescent="0.15">
      <c r="B115" s="101">
        <v>45335</v>
      </c>
      <c r="C115" s="125">
        <v>31990.61</v>
      </c>
      <c r="E115" s="141"/>
      <c r="F115" s="141"/>
    </row>
    <row r="116" spans="2:6" hidden="1" outlineLevel="1" x14ac:dyDescent="0.15">
      <c r="B116" s="101">
        <v>45334</v>
      </c>
      <c r="C116" s="125">
        <v>31803.52</v>
      </c>
      <c r="E116" s="141"/>
      <c r="F116" s="141"/>
    </row>
    <row r="117" spans="2:6" hidden="1" outlineLevel="1" x14ac:dyDescent="0.15">
      <c r="B117" s="101">
        <v>45331</v>
      </c>
      <c r="C117" s="125">
        <v>32048.38</v>
      </c>
      <c r="E117" s="141"/>
      <c r="F117" s="141"/>
    </row>
    <row r="118" spans="2:6" hidden="1" outlineLevel="1" x14ac:dyDescent="0.15">
      <c r="B118" s="101">
        <v>45330</v>
      </c>
      <c r="C118" s="125">
        <v>31950.32</v>
      </c>
      <c r="E118" s="141"/>
      <c r="F118" s="141"/>
    </row>
    <row r="119" spans="2:6" hidden="1" outlineLevel="1" x14ac:dyDescent="0.15">
      <c r="B119" s="101">
        <v>45329</v>
      </c>
      <c r="C119" s="125">
        <v>32244.22</v>
      </c>
      <c r="E119" s="141"/>
      <c r="F119" s="141"/>
    </row>
    <row r="120" spans="2:6" hidden="1" outlineLevel="1" x14ac:dyDescent="0.15">
      <c r="B120" s="101">
        <v>45328</v>
      </c>
      <c r="C120" s="125">
        <v>32242.59</v>
      </c>
      <c r="E120" s="141"/>
      <c r="F120" s="141"/>
    </row>
    <row r="121" spans="2:6" hidden="1" outlineLevel="1" x14ac:dyDescent="0.15">
      <c r="B121" s="101">
        <v>45327</v>
      </c>
      <c r="C121" s="125">
        <v>32007.18</v>
      </c>
      <c r="E121" s="141"/>
      <c r="F121" s="141"/>
    </row>
    <row r="122" spans="2:6" hidden="1" outlineLevel="1" x14ac:dyDescent="0.15">
      <c r="B122" s="101">
        <v>45324</v>
      </c>
      <c r="C122" s="125">
        <v>32127.9</v>
      </c>
      <c r="E122" s="141"/>
      <c r="F122" s="141"/>
    </row>
    <row r="123" spans="2:6" hidden="1" outlineLevel="1" x14ac:dyDescent="0.15">
      <c r="B123" s="101">
        <v>45323</v>
      </c>
      <c r="C123" s="125">
        <v>31898.06</v>
      </c>
      <c r="E123" s="141"/>
      <c r="F123" s="141"/>
    </row>
    <row r="124" spans="2:6" hidden="1" outlineLevel="1" x14ac:dyDescent="0.15">
      <c r="B124" s="101">
        <v>45322</v>
      </c>
      <c r="C124" s="125">
        <v>31939.59</v>
      </c>
      <c r="E124" s="141"/>
      <c r="F124" s="141"/>
    </row>
    <row r="125" spans="2:6" hidden="1" outlineLevel="1" x14ac:dyDescent="0.15">
      <c r="B125" s="101">
        <v>45321</v>
      </c>
      <c r="C125" s="125">
        <v>31640.240000000002</v>
      </c>
      <c r="E125" s="141"/>
      <c r="F125" s="141"/>
    </row>
    <row r="126" spans="2:6" hidden="1" outlineLevel="1" x14ac:dyDescent="0.15">
      <c r="B126" s="101">
        <v>45320</v>
      </c>
      <c r="C126" s="125">
        <v>31957.05</v>
      </c>
      <c r="E126" s="141"/>
      <c r="F126" s="141"/>
    </row>
    <row r="127" spans="2:6" hidden="1" outlineLevel="1" x14ac:dyDescent="0.15">
      <c r="B127" s="101">
        <v>45316</v>
      </c>
      <c r="C127" s="125">
        <v>31391.07</v>
      </c>
      <c r="E127" s="141"/>
      <c r="F127" s="141"/>
    </row>
    <row r="128" spans="2:6" hidden="1" outlineLevel="1" x14ac:dyDescent="0.15">
      <c r="B128" s="101">
        <v>45315</v>
      </c>
      <c r="C128" s="125">
        <v>31540.07</v>
      </c>
      <c r="E128" s="141"/>
      <c r="F128" s="141"/>
    </row>
    <row r="129" spans="2:6" hidden="1" outlineLevel="1" x14ac:dyDescent="0.15">
      <c r="B129" s="101">
        <v>45314</v>
      </c>
      <c r="C129" s="125">
        <v>31223.3</v>
      </c>
      <c r="E129" s="141"/>
      <c r="F129" s="141"/>
    </row>
    <row r="130" spans="2:6" hidden="1" outlineLevel="1" x14ac:dyDescent="0.15">
      <c r="B130" s="101">
        <v>45311</v>
      </c>
      <c r="C130" s="125">
        <v>31712.86</v>
      </c>
      <c r="E130" s="141"/>
      <c r="F130" s="141"/>
    </row>
    <row r="131" spans="2:6" hidden="1" outlineLevel="1" x14ac:dyDescent="0.15">
      <c r="B131" s="101">
        <v>45310</v>
      </c>
      <c r="C131" s="125">
        <v>31787.24</v>
      </c>
      <c r="E131" s="141"/>
      <c r="F131" s="141"/>
    </row>
    <row r="132" spans="2:6" hidden="1" outlineLevel="1" x14ac:dyDescent="0.15">
      <c r="B132" s="101">
        <v>45309</v>
      </c>
      <c r="C132" s="125">
        <v>31538.400000000001</v>
      </c>
      <c r="E132" s="141"/>
      <c r="F132" s="141"/>
    </row>
    <row r="133" spans="2:6" hidden="1" outlineLevel="1" x14ac:dyDescent="0.15">
      <c r="B133" s="101">
        <v>45308</v>
      </c>
      <c r="C133" s="125">
        <v>31699.64</v>
      </c>
      <c r="E133" s="141"/>
      <c r="F133" s="141"/>
    </row>
    <row r="134" spans="2:6" hidden="1" outlineLevel="1" x14ac:dyDescent="0.15">
      <c r="B134" s="101">
        <v>45307</v>
      </c>
      <c r="C134" s="125">
        <v>32376.1</v>
      </c>
      <c r="E134" s="141"/>
      <c r="F134" s="141"/>
    </row>
    <row r="135" spans="2:6" hidden="1" outlineLevel="1" x14ac:dyDescent="0.15">
      <c r="B135" s="101">
        <v>45306</v>
      </c>
      <c r="C135" s="125">
        <v>32471.8</v>
      </c>
      <c r="E135" s="141"/>
      <c r="F135" s="141"/>
    </row>
    <row r="136" spans="2:6" hidden="1" outlineLevel="1" x14ac:dyDescent="0.15">
      <c r="B136" s="101">
        <v>45303</v>
      </c>
      <c r="C136" s="125">
        <v>32173.66</v>
      </c>
      <c r="E136" s="141"/>
      <c r="F136" s="141"/>
    </row>
    <row r="137" spans="2:6" hidden="1" outlineLevel="1" x14ac:dyDescent="0.15">
      <c r="B137" s="101">
        <v>45302</v>
      </c>
      <c r="C137" s="125">
        <v>31810.18</v>
      </c>
      <c r="E137" s="141"/>
      <c r="F137" s="141"/>
    </row>
    <row r="138" spans="2:6" hidden="1" outlineLevel="1" x14ac:dyDescent="0.15">
      <c r="B138" s="101">
        <v>45301</v>
      </c>
      <c r="C138" s="125">
        <v>31768.3</v>
      </c>
      <c r="E138" s="141"/>
      <c r="F138" s="141"/>
    </row>
    <row r="139" spans="2:6" hidden="1" outlineLevel="1" x14ac:dyDescent="0.15">
      <c r="B139" s="101">
        <v>45300</v>
      </c>
      <c r="C139" s="125">
        <v>31659.81</v>
      </c>
      <c r="E139" s="141"/>
      <c r="F139" s="141"/>
    </row>
    <row r="140" spans="2:6" hidden="1" outlineLevel="1" x14ac:dyDescent="0.15">
      <c r="B140" s="101">
        <v>45299</v>
      </c>
      <c r="C140" s="125">
        <v>31613.01</v>
      </c>
      <c r="E140" s="141"/>
      <c r="F140" s="141"/>
    </row>
    <row r="141" spans="2:6" hidden="1" outlineLevel="1" x14ac:dyDescent="0.15">
      <c r="B141" s="101">
        <v>45296</v>
      </c>
      <c r="C141" s="125">
        <v>31903.69</v>
      </c>
      <c r="E141" s="141"/>
      <c r="F141" s="141"/>
    </row>
    <row r="142" spans="2:6" hidden="1" outlineLevel="1" x14ac:dyDescent="0.15">
      <c r="B142" s="101">
        <v>45295</v>
      </c>
      <c r="C142" s="125">
        <v>31826.97</v>
      </c>
      <c r="E142" s="141"/>
      <c r="F142" s="141"/>
    </row>
    <row r="143" spans="2:6" hidden="1" outlineLevel="1" x14ac:dyDescent="0.15">
      <c r="B143" s="101">
        <v>45294</v>
      </c>
      <c r="C143" s="125">
        <v>31619.360000000001</v>
      </c>
      <c r="E143" s="141"/>
      <c r="F143" s="141"/>
    </row>
    <row r="144" spans="2:6" hidden="1" outlineLevel="1" x14ac:dyDescent="0.15">
      <c r="B144" s="101">
        <v>45293</v>
      </c>
      <c r="C144" s="125">
        <v>31837.56</v>
      </c>
      <c r="E144" s="141"/>
      <c r="F144" s="141"/>
    </row>
    <row r="145" spans="2:6" hidden="1" outlineLevel="1" x14ac:dyDescent="0.15">
      <c r="B145" s="101">
        <v>45292</v>
      </c>
      <c r="C145" s="125">
        <v>31949.360000000001</v>
      </c>
      <c r="E145" s="141"/>
      <c r="F145" s="141"/>
    </row>
    <row r="146" spans="2:6" hidden="1" outlineLevel="1" x14ac:dyDescent="0.15">
      <c r="B146" s="101">
        <v>45289</v>
      </c>
      <c r="C146" s="125">
        <v>31933.93</v>
      </c>
      <c r="E146" s="141"/>
      <c r="F146" s="141"/>
    </row>
    <row r="147" spans="2:6" hidden="1" outlineLevel="1" x14ac:dyDescent="0.15">
      <c r="B147" s="101">
        <v>45288</v>
      </c>
      <c r="C147" s="125">
        <v>32003.47</v>
      </c>
      <c r="E147" s="141"/>
      <c r="F147" s="141"/>
    </row>
    <row r="148" spans="2:6" hidden="1" outlineLevel="1" x14ac:dyDescent="0.15">
      <c r="B148" s="101">
        <v>45287</v>
      </c>
      <c r="C148" s="125">
        <v>31821.31</v>
      </c>
      <c r="E148" s="141"/>
      <c r="F148" s="141"/>
    </row>
    <row r="149" spans="2:6" hidden="1" outlineLevel="1" x14ac:dyDescent="0.15">
      <c r="B149" s="101">
        <v>45286</v>
      </c>
      <c r="C149" s="125">
        <v>31507.69</v>
      </c>
      <c r="E149" s="141"/>
      <c r="F149" s="141"/>
    </row>
    <row r="150" spans="2:6" hidden="1" outlineLevel="1" x14ac:dyDescent="0.15">
      <c r="B150" s="101">
        <v>45282</v>
      </c>
      <c r="C150" s="125">
        <v>31372.6</v>
      </c>
      <c r="E150" s="141"/>
      <c r="F150" s="141"/>
    </row>
    <row r="151" spans="2:6" hidden="1" outlineLevel="1" x14ac:dyDescent="0.15">
      <c r="B151" s="101">
        <v>45281</v>
      </c>
      <c r="C151" s="125">
        <v>31233.93</v>
      </c>
      <c r="E151" s="141"/>
      <c r="F151" s="141"/>
    </row>
    <row r="152" spans="2:6" hidden="1" outlineLevel="1" x14ac:dyDescent="0.15">
      <c r="B152" s="101">
        <v>45280</v>
      </c>
      <c r="C152" s="125">
        <v>31079.759999999998</v>
      </c>
      <c r="E152" s="141"/>
      <c r="F152" s="141"/>
    </row>
    <row r="153" spans="2:6" hidden="1" outlineLevel="1" x14ac:dyDescent="0.15">
      <c r="B153" s="101">
        <v>45279</v>
      </c>
      <c r="C153" s="125">
        <v>31525</v>
      </c>
      <c r="E153" s="141"/>
      <c r="F153" s="141"/>
    </row>
    <row r="154" spans="2:6" hidden="1" outlineLevel="1" x14ac:dyDescent="0.15">
      <c r="B154" s="101">
        <v>45278</v>
      </c>
      <c r="C154" s="125">
        <v>31474.35</v>
      </c>
      <c r="E154" s="141"/>
      <c r="F154" s="141"/>
    </row>
    <row r="155" spans="2:6" hidden="1" outlineLevel="1" x14ac:dyDescent="0.15">
      <c r="B155" s="101">
        <v>45275</v>
      </c>
      <c r="C155" s="125">
        <v>31530.19</v>
      </c>
      <c r="E155" s="141"/>
      <c r="F155" s="141"/>
    </row>
    <row r="156" spans="2:6" hidden="1" outlineLevel="1" x14ac:dyDescent="0.15">
      <c r="B156" s="101">
        <v>45274</v>
      </c>
      <c r="C156" s="125">
        <v>31127.599999999999</v>
      </c>
      <c r="E156" s="141"/>
      <c r="F156" s="141"/>
    </row>
    <row r="157" spans="2:6" hidden="1" outlineLevel="1" x14ac:dyDescent="0.15">
      <c r="B157" s="101">
        <v>45273</v>
      </c>
      <c r="C157" s="125">
        <v>30750.95</v>
      </c>
      <c r="E157" s="141"/>
      <c r="F157" s="141"/>
    </row>
    <row r="158" spans="2:6" hidden="1" outlineLevel="1" x14ac:dyDescent="0.15">
      <c r="B158" s="101">
        <v>45272</v>
      </c>
      <c r="C158" s="125">
        <v>30721.59</v>
      </c>
      <c r="E158" s="141"/>
      <c r="F158" s="141"/>
    </row>
    <row r="159" spans="2:6" hidden="1" outlineLevel="1" x14ac:dyDescent="0.15">
      <c r="B159" s="101">
        <v>45271</v>
      </c>
      <c r="C159" s="125">
        <v>30854.9</v>
      </c>
      <c r="E159" s="141"/>
      <c r="F159" s="141"/>
    </row>
    <row r="160" spans="2:6" hidden="1" outlineLevel="1" x14ac:dyDescent="0.15">
      <c r="B160" s="101">
        <v>45268</v>
      </c>
      <c r="C160" s="125">
        <v>30814.15</v>
      </c>
      <c r="E160" s="141"/>
      <c r="F160" s="141"/>
    </row>
    <row r="161" spans="2:6" hidden="1" outlineLevel="1" x14ac:dyDescent="0.15">
      <c r="B161" s="101">
        <v>45267</v>
      </c>
      <c r="C161" s="125">
        <v>30713.86</v>
      </c>
      <c r="E161" s="141"/>
      <c r="F161" s="141"/>
    </row>
    <row r="162" spans="2:6" hidden="1" outlineLevel="1" x14ac:dyDescent="0.15">
      <c r="B162" s="101">
        <v>45266</v>
      </c>
      <c r="C162" s="125">
        <v>30767.599999999999</v>
      </c>
      <c r="E162" s="141"/>
      <c r="F162" s="141"/>
    </row>
    <row r="163" spans="2:6" hidden="1" outlineLevel="1" x14ac:dyDescent="0.15">
      <c r="B163" s="101">
        <v>45265</v>
      </c>
      <c r="C163" s="125">
        <v>30646.19</v>
      </c>
      <c r="E163" s="141"/>
      <c r="F163" s="141"/>
    </row>
    <row r="164" spans="2:6" hidden="1" outlineLevel="1" x14ac:dyDescent="0.15">
      <c r="B164" s="101">
        <v>45264</v>
      </c>
      <c r="C164" s="125">
        <v>30398.91</v>
      </c>
      <c r="E164" s="141"/>
      <c r="F164" s="141"/>
    </row>
    <row r="165" spans="2:6" hidden="1" outlineLevel="1" x14ac:dyDescent="0.15">
      <c r="B165" s="101">
        <v>45261</v>
      </c>
      <c r="C165" s="125">
        <v>29783.34</v>
      </c>
      <c r="E165" s="141"/>
      <c r="F165" s="141"/>
    </row>
    <row r="166" spans="2:6" hidden="1" outlineLevel="1" x14ac:dyDescent="0.15">
      <c r="B166" s="101">
        <v>45260</v>
      </c>
      <c r="C166" s="125">
        <v>29585.360000000001</v>
      </c>
      <c r="E166" s="141"/>
      <c r="F166" s="141"/>
    </row>
    <row r="167" spans="2:6" hidden="1" outlineLevel="1" x14ac:dyDescent="0.15">
      <c r="B167" s="101">
        <v>45259</v>
      </c>
      <c r="C167" s="125">
        <v>29531.63</v>
      </c>
      <c r="E167" s="141"/>
      <c r="F167" s="141"/>
    </row>
    <row r="168" spans="2:6" hidden="1" outlineLevel="1" x14ac:dyDescent="0.15">
      <c r="B168" s="101">
        <v>45258</v>
      </c>
      <c r="C168" s="125">
        <v>29227.61</v>
      </c>
      <c r="E168" s="141"/>
      <c r="F168" s="141"/>
    </row>
    <row r="169" spans="2:6" hidden="1" outlineLevel="1" x14ac:dyDescent="0.15">
      <c r="B169" s="101">
        <v>45254</v>
      </c>
      <c r="C169" s="125">
        <v>29087.95</v>
      </c>
      <c r="E169" s="141"/>
      <c r="F169" s="141"/>
    </row>
    <row r="170" spans="2:6" hidden="1" outlineLevel="1" x14ac:dyDescent="0.15">
      <c r="B170" s="101">
        <v>45253</v>
      </c>
      <c r="C170" s="125">
        <v>29098.74</v>
      </c>
      <c r="E170" s="141"/>
      <c r="F170" s="141"/>
    </row>
    <row r="171" spans="2:6" hidden="1" outlineLevel="1" x14ac:dyDescent="0.15">
      <c r="B171" s="101">
        <v>45252</v>
      </c>
      <c r="C171" s="125">
        <v>29113.18</v>
      </c>
      <c r="E171" s="141"/>
      <c r="F171" s="141"/>
    </row>
    <row r="172" spans="2:6" hidden="1" outlineLevel="1" x14ac:dyDescent="0.15">
      <c r="B172" s="101">
        <v>45251</v>
      </c>
      <c r="C172" s="125">
        <v>29071.360000000001</v>
      </c>
      <c r="E172" s="141"/>
      <c r="F172" s="141"/>
    </row>
    <row r="173" spans="2:6" hidden="1" outlineLevel="1" x14ac:dyDescent="0.15">
      <c r="B173" s="101">
        <v>45250</v>
      </c>
      <c r="C173" s="125">
        <v>28939.98</v>
      </c>
      <c r="E173" s="141"/>
      <c r="F173" s="141"/>
    </row>
    <row r="174" spans="2:6" hidden="1" outlineLevel="1" x14ac:dyDescent="0.15">
      <c r="B174" s="101">
        <v>45247</v>
      </c>
      <c r="C174" s="125">
        <v>28995.52</v>
      </c>
      <c r="E174" s="141"/>
      <c r="F174" s="141"/>
    </row>
    <row r="175" spans="2:6" hidden="1" outlineLevel="1" x14ac:dyDescent="0.15">
      <c r="B175" s="101">
        <v>45246</v>
      </c>
      <c r="C175" s="125">
        <v>29044.66</v>
      </c>
      <c r="E175" s="141"/>
      <c r="F175" s="141"/>
    </row>
    <row r="176" spans="2:6" hidden="1" outlineLevel="1" x14ac:dyDescent="0.15">
      <c r="B176" s="101">
        <v>45245</v>
      </c>
      <c r="C176" s="125">
        <v>28906.7</v>
      </c>
      <c r="E176" s="141"/>
      <c r="F176" s="141"/>
    </row>
    <row r="177" spans="2:6" hidden="1" outlineLevel="1" x14ac:dyDescent="0.15">
      <c r="B177" s="101">
        <v>45243</v>
      </c>
      <c r="C177" s="125">
        <v>28565.95</v>
      </c>
      <c r="E177" s="141"/>
      <c r="F177" s="141"/>
    </row>
    <row r="178" spans="2:6" hidden="1" outlineLevel="1" x14ac:dyDescent="0.15">
      <c r="B178" s="101">
        <v>45242</v>
      </c>
      <c r="C178" s="125">
        <v>28686.47</v>
      </c>
      <c r="E178" s="141"/>
      <c r="F178" s="141"/>
    </row>
    <row r="179" spans="2:6" hidden="1" outlineLevel="1" x14ac:dyDescent="0.15">
      <c r="B179" s="101">
        <v>45240</v>
      </c>
      <c r="C179" s="125">
        <v>28539.24</v>
      </c>
      <c r="E179" s="141"/>
      <c r="F179" s="141"/>
    </row>
    <row r="180" spans="2:6" hidden="1" outlineLevel="1" x14ac:dyDescent="0.15">
      <c r="B180" s="101">
        <v>45239</v>
      </c>
      <c r="C180" s="125">
        <v>28495.08</v>
      </c>
      <c r="E180" s="141"/>
      <c r="F180" s="141"/>
    </row>
    <row r="181" spans="2:6" hidden="1" outlineLevel="1" x14ac:dyDescent="0.15">
      <c r="B181" s="101">
        <v>45238</v>
      </c>
      <c r="C181" s="125">
        <v>28565.86</v>
      </c>
      <c r="E181" s="141"/>
      <c r="F181" s="141"/>
    </row>
    <row r="182" spans="2:6" hidden="1" outlineLevel="1" x14ac:dyDescent="0.15">
      <c r="B182" s="101">
        <v>45237</v>
      </c>
      <c r="C182" s="125">
        <v>28511.81</v>
      </c>
      <c r="E182" s="141"/>
      <c r="F182" s="141"/>
    </row>
    <row r="183" spans="2:6" hidden="1" outlineLevel="1" x14ac:dyDescent="0.15">
      <c r="B183" s="101">
        <v>45236</v>
      </c>
      <c r="C183" s="125">
        <v>28519.25</v>
      </c>
      <c r="E183" s="141"/>
      <c r="F183" s="141"/>
    </row>
    <row r="184" spans="2:6" hidden="1" outlineLevel="1" x14ac:dyDescent="0.15">
      <c r="B184" s="101">
        <v>45233</v>
      </c>
      <c r="C184" s="125">
        <v>28253.09</v>
      </c>
      <c r="E184" s="141"/>
      <c r="F184" s="141"/>
    </row>
    <row r="185" spans="2:6" hidden="1" outlineLevel="1" x14ac:dyDescent="0.15">
      <c r="B185" s="101">
        <v>45232</v>
      </c>
      <c r="C185" s="125">
        <v>28105.75</v>
      </c>
      <c r="E185" s="141"/>
      <c r="F185" s="141"/>
    </row>
    <row r="186" spans="2:6" hidden="1" outlineLevel="1" x14ac:dyDescent="0.15">
      <c r="B186" s="101">
        <v>45231</v>
      </c>
      <c r="C186" s="125">
        <v>27886.240000000002</v>
      </c>
      <c r="E186" s="141"/>
      <c r="F186" s="141"/>
    </row>
    <row r="187" spans="2:6" hidden="1" outlineLevel="1" x14ac:dyDescent="0.15">
      <c r="B187" s="101">
        <v>45230</v>
      </c>
      <c r="C187" s="125">
        <v>28017.360000000001</v>
      </c>
      <c r="E187" s="141"/>
      <c r="F187" s="141"/>
    </row>
    <row r="188" spans="2:6" hidden="1" outlineLevel="1" x14ac:dyDescent="0.15">
      <c r="B188" s="101">
        <v>45229</v>
      </c>
      <c r="C188" s="125">
        <v>28107.42</v>
      </c>
      <c r="E188" s="141"/>
      <c r="F188" s="141"/>
    </row>
    <row r="189" spans="2:6" hidden="1" outlineLevel="1" x14ac:dyDescent="0.15">
      <c r="B189" s="101">
        <v>45226</v>
      </c>
      <c r="C189" s="125">
        <v>27969.919999999998</v>
      </c>
      <c r="E189" s="141"/>
      <c r="F189" s="141"/>
    </row>
    <row r="190" spans="2:6" hidden="1" outlineLevel="1" x14ac:dyDescent="0.15">
      <c r="B190" s="101">
        <v>45225</v>
      </c>
      <c r="C190" s="125">
        <v>27690.29</v>
      </c>
      <c r="E190" s="141"/>
      <c r="F190" s="141"/>
    </row>
    <row r="191" spans="2:6" hidden="1" outlineLevel="1" x14ac:dyDescent="0.15">
      <c r="B191" s="101">
        <v>45224</v>
      </c>
      <c r="C191" s="125">
        <v>28079.26</v>
      </c>
      <c r="E191" s="141"/>
      <c r="F191" s="141"/>
    </row>
    <row r="192" spans="2:6" hidden="1" outlineLevel="1" x14ac:dyDescent="0.15">
      <c r="B192" s="101">
        <v>45222</v>
      </c>
      <c r="C192" s="125">
        <v>28291.96</v>
      </c>
      <c r="E192" s="141"/>
      <c r="F192" s="141"/>
    </row>
    <row r="193" spans="2:6" hidden="1" outlineLevel="1" x14ac:dyDescent="0.15">
      <c r="B193" s="101">
        <v>45219</v>
      </c>
      <c r="C193" s="125">
        <v>28674.78</v>
      </c>
      <c r="E193" s="141"/>
      <c r="F193" s="141"/>
    </row>
    <row r="194" spans="2:6" hidden="1" outlineLevel="1" x14ac:dyDescent="0.15">
      <c r="B194" s="101">
        <v>45218</v>
      </c>
      <c r="C194" s="125">
        <v>28790.880000000001</v>
      </c>
      <c r="E194" s="141"/>
      <c r="F194" s="141"/>
    </row>
    <row r="195" spans="2:6" hidden="1" outlineLevel="1" x14ac:dyDescent="0.15">
      <c r="B195" s="101">
        <v>45217</v>
      </c>
      <c r="C195" s="125">
        <v>28855.87</v>
      </c>
      <c r="E195" s="141"/>
      <c r="F195" s="141"/>
    </row>
    <row r="196" spans="2:6" hidden="1" outlineLevel="1" x14ac:dyDescent="0.15">
      <c r="B196" s="101">
        <v>45216</v>
      </c>
      <c r="C196" s="125">
        <v>29061.8</v>
      </c>
      <c r="E196" s="141"/>
      <c r="F196" s="141"/>
    </row>
    <row r="197" spans="2:6" hidden="1" outlineLevel="1" x14ac:dyDescent="0.15">
      <c r="B197" s="101">
        <v>45215</v>
      </c>
      <c r="C197" s="125">
        <v>28944.87</v>
      </c>
      <c r="E197" s="141"/>
      <c r="F197" s="141"/>
    </row>
    <row r="198" spans="2:6" hidden="1" outlineLevel="1" x14ac:dyDescent="0.15">
      <c r="B198" s="101">
        <v>45212</v>
      </c>
      <c r="C198" s="125">
        <v>28973.14</v>
      </c>
      <c r="E198" s="141"/>
      <c r="F198" s="141"/>
    </row>
    <row r="199" spans="2:6" hidden="1" outlineLevel="1" x14ac:dyDescent="0.15">
      <c r="B199" s="101">
        <v>45211</v>
      </c>
      <c r="C199" s="125">
        <v>29036.17</v>
      </c>
      <c r="E199" s="141"/>
      <c r="F199" s="141"/>
    </row>
    <row r="200" spans="2:6" hidden="1" outlineLevel="1" x14ac:dyDescent="0.15">
      <c r="B200" s="101">
        <v>45210</v>
      </c>
      <c r="C200" s="125">
        <v>29061.61</v>
      </c>
      <c r="E200" s="141"/>
      <c r="F200" s="141"/>
    </row>
    <row r="201" spans="2:6" hidden="1" outlineLevel="1" x14ac:dyDescent="0.15">
      <c r="B201" s="101">
        <v>45209</v>
      </c>
      <c r="C201" s="125">
        <v>28883.35</v>
      </c>
      <c r="E201" s="141"/>
      <c r="F201" s="141"/>
    </row>
    <row r="202" spans="2:6" hidden="1" outlineLevel="1" x14ac:dyDescent="0.15">
      <c r="B202" s="101">
        <v>45208</v>
      </c>
      <c r="C202" s="125">
        <v>28622.98</v>
      </c>
      <c r="E202" s="141"/>
      <c r="F202" s="141"/>
    </row>
    <row r="203" spans="2:6" hidden="1" outlineLevel="1" x14ac:dyDescent="0.15">
      <c r="B203" s="101">
        <v>45205</v>
      </c>
      <c r="C203" s="125">
        <v>28830.080000000002</v>
      </c>
      <c r="E203" s="141"/>
      <c r="F203" s="141"/>
    </row>
    <row r="204" spans="2:6" hidden="1" outlineLevel="1" x14ac:dyDescent="0.15">
      <c r="B204" s="101">
        <v>45204</v>
      </c>
      <c r="C204" s="125">
        <v>28671.97</v>
      </c>
      <c r="E204" s="141"/>
      <c r="F204" s="141"/>
    </row>
    <row r="205" spans="2:6" hidden="1" outlineLevel="1" x14ac:dyDescent="0.15">
      <c r="B205" s="101">
        <v>45203</v>
      </c>
      <c r="C205" s="125">
        <v>28511.13</v>
      </c>
      <c r="E205" s="141"/>
      <c r="F205" s="141"/>
    </row>
    <row r="206" spans="2:6" hidden="1" outlineLevel="1" x14ac:dyDescent="0.15">
      <c r="B206" s="101">
        <v>45202</v>
      </c>
      <c r="C206" s="125">
        <v>28647.040000000001</v>
      </c>
      <c r="E206" s="141"/>
      <c r="F206" s="141"/>
    </row>
    <row r="207" spans="2:6" hidden="1" outlineLevel="1" x14ac:dyDescent="0.15">
      <c r="B207" s="101">
        <v>45198</v>
      </c>
      <c r="C207" s="125">
        <v>28807.77</v>
      </c>
      <c r="E207" s="141"/>
      <c r="F207" s="141"/>
    </row>
    <row r="208" spans="2:6" hidden="1" outlineLevel="1" x14ac:dyDescent="0.15">
      <c r="B208" s="101">
        <v>45197</v>
      </c>
      <c r="C208" s="125">
        <v>28639.439999999999</v>
      </c>
      <c r="E208" s="141"/>
      <c r="F208" s="141"/>
    </row>
    <row r="209" spans="2:6" hidden="1" outlineLevel="1" x14ac:dyDescent="0.15">
      <c r="B209" s="101">
        <v>45196</v>
      </c>
      <c r="C209" s="125">
        <v>28922.43</v>
      </c>
      <c r="E209" s="141"/>
      <c r="F209" s="141"/>
    </row>
    <row r="210" spans="2:6" hidden="1" outlineLevel="1" x14ac:dyDescent="0.15">
      <c r="B210" s="101">
        <v>45195</v>
      </c>
      <c r="C210" s="125">
        <v>28846.47</v>
      </c>
      <c r="E210" s="141"/>
      <c r="F210" s="141"/>
    </row>
    <row r="211" spans="2:6" hidden="1" outlineLevel="1" x14ac:dyDescent="0.15">
      <c r="B211" s="101">
        <v>45194</v>
      </c>
      <c r="C211" s="125">
        <v>28860.9</v>
      </c>
      <c r="E211" s="141"/>
      <c r="F211" s="141"/>
    </row>
    <row r="212" spans="2:6" hidden="1" outlineLevel="1" x14ac:dyDescent="0.15">
      <c r="B212" s="101">
        <v>45191</v>
      </c>
      <c r="C212" s="125">
        <v>28860.46</v>
      </c>
      <c r="E212" s="141"/>
      <c r="F212" s="141"/>
    </row>
    <row r="213" spans="2:6" hidden="1" outlineLevel="1" x14ac:dyDescent="0.15">
      <c r="B213" s="101">
        <v>45190</v>
      </c>
      <c r="C213" s="125">
        <v>28960.36</v>
      </c>
      <c r="E213" s="141"/>
      <c r="F213" s="141"/>
    </row>
    <row r="214" spans="2:6" hidden="1" outlineLevel="1" x14ac:dyDescent="0.15">
      <c r="B214" s="101">
        <v>45189</v>
      </c>
      <c r="C214" s="125">
        <v>29193.69</v>
      </c>
      <c r="E214" s="141"/>
      <c r="F214" s="141"/>
    </row>
    <row r="215" spans="2:6" hidden="1" outlineLevel="1" x14ac:dyDescent="0.15">
      <c r="B215" s="101">
        <v>45187</v>
      </c>
      <c r="C215" s="125">
        <v>29533.91</v>
      </c>
      <c r="E215" s="141"/>
      <c r="F215" s="141"/>
    </row>
    <row r="216" spans="2:6" hidden="1" outlineLevel="1" x14ac:dyDescent="0.15">
      <c r="B216" s="101">
        <v>45184</v>
      </c>
      <c r="C216" s="125">
        <v>29620.53</v>
      </c>
      <c r="E216" s="141"/>
      <c r="F216" s="141"/>
    </row>
    <row r="217" spans="2:6" hidden="1" outlineLevel="1" x14ac:dyDescent="0.15">
      <c r="B217" s="101">
        <v>45183</v>
      </c>
      <c r="C217" s="125">
        <v>29489.61</v>
      </c>
      <c r="E217" s="141"/>
      <c r="F217" s="141"/>
    </row>
    <row r="218" spans="2:6" hidden="1" outlineLevel="1" x14ac:dyDescent="0.15">
      <c r="B218" s="101">
        <v>45182</v>
      </c>
      <c r="C218" s="125">
        <v>29441.040000000001</v>
      </c>
      <c r="E218" s="141"/>
      <c r="F218" s="141"/>
    </row>
    <row r="219" spans="2:6" hidden="1" outlineLevel="1" x14ac:dyDescent="0.15">
      <c r="B219" s="101">
        <v>45181</v>
      </c>
      <c r="C219" s="125">
        <v>29328.37</v>
      </c>
      <c r="E219" s="141"/>
      <c r="F219" s="141"/>
    </row>
    <row r="220" spans="2:6" hidden="1" outlineLevel="1" x14ac:dyDescent="0.15">
      <c r="B220" s="101">
        <v>45180</v>
      </c>
      <c r="C220" s="125">
        <v>29333</v>
      </c>
      <c r="E220" s="141"/>
      <c r="F220" s="141"/>
    </row>
    <row r="221" spans="2:6" hidden="1" outlineLevel="1" x14ac:dyDescent="0.15">
      <c r="B221" s="101">
        <v>45177</v>
      </c>
      <c r="C221" s="125">
        <v>29074.22</v>
      </c>
      <c r="E221" s="141"/>
      <c r="F221" s="141"/>
    </row>
    <row r="222" spans="2:6" hidden="1" outlineLevel="1" x14ac:dyDescent="0.15">
      <c r="B222" s="101">
        <v>45176</v>
      </c>
      <c r="C222" s="125">
        <v>28937.96</v>
      </c>
      <c r="E222" s="141"/>
      <c r="F222" s="141"/>
    </row>
    <row r="223" spans="2:6" hidden="1" outlineLevel="1" x14ac:dyDescent="0.15">
      <c r="B223" s="101">
        <v>45175</v>
      </c>
      <c r="C223" s="125">
        <v>28767.78</v>
      </c>
      <c r="E223" s="141"/>
      <c r="F223" s="141"/>
    </row>
    <row r="224" spans="2:6" hidden="1" outlineLevel="1" x14ac:dyDescent="0.15">
      <c r="B224" s="101">
        <v>45174</v>
      </c>
      <c r="C224" s="125">
        <v>28714.78</v>
      </c>
      <c r="E224" s="141"/>
      <c r="F224" s="141"/>
    </row>
    <row r="225" spans="2:6" hidden="1" outlineLevel="1" x14ac:dyDescent="0.15">
      <c r="B225" s="101">
        <v>45173</v>
      </c>
      <c r="C225" s="125">
        <v>28647.16</v>
      </c>
      <c r="E225" s="141"/>
      <c r="F225" s="141"/>
    </row>
    <row r="226" spans="2:6" hidden="1" outlineLevel="1" x14ac:dyDescent="0.15">
      <c r="B226" s="101">
        <v>45170</v>
      </c>
      <c r="C226" s="125">
        <v>28509.94</v>
      </c>
      <c r="E226" s="141"/>
      <c r="F226" s="141"/>
    </row>
    <row r="227" spans="2:6" hidden="1" outlineLevel="1" x14ac:dyDescent="0.15">
      <c r="B227" s="101">
        <v>45169</v>
      </c>
      <c r="C227" s="125">
        <v>28243.74</v>
      </c>
      <c r="E227" s="141"/>
      <c r="F227" s="141"/>
    </row>
    <row r="228" spans="2:6" hidden="1" outlineLevel="1" x14ac:dyDescent="0.15">
      <c r="B228" s="101">
        <v>45168</v>
      </c>
      <c r="C228" s="125">
        <v>28381.13</v>
      </c>
      <c r="E228" s="141"/>
      <c r="F228" s="141"/>
    </row>
    <row r="229" spans="2:6" hidden="1" outlineLevel="1" x14ac:dyDescent="0.15">
      <c r="B229" s="101">
        <v>45167</v>
      </c>
      <c r="C229" s="125">
        <v>28374.03</v>
      </c>
      <c r="E229" s="141"/>
      <c r="F229" s="141"/>
    </row>
    <row r="230" spans="2:6" hidden="1" outlineLevel="1" x14ac:dyDescent="0.15">
      <c r="B230" s="101">
        <v>45166</v>
      </c>
      <c r="C230" s="125">
        <v>28320.400000000001</v>
      </c>
      <c r="E230" s="141"/>
      <c r="F230" s="141"/>
    </row>
    <row r="231" spans="2:6" hidden="1" outlineLevel="1" x14ac:dyDescent="0.15">
      <c r="B231" s="101">
        <v>45163</v>
      </c>
      <c r="C231" s="125">
        <v>28261.32</v>
      </c>
      <c r="E231" s="141"/>
      <c r="F231" s="141"/>
    </row>
    <row r="232" spans="2:6" hidden="1" outlineLevel="1" x14ac:dyDescent="0.15">
      <c r="B232" s="101">
        <v>45162</v>
      </c>
      <c r="C232" s="125">
        <v>28438.68</v>
      </c>
      <c r="E232" s="141"/>
      <c r="F232" s="141"/>
    </row>
    <row r="233" spans="2:6" hidden="1" outlineLevel="1" x14ac:dyDescent="0.15">
      <c r="B233" s="101">
        <v>45161</v>
      </c>
      <c r="C233" s="125">
        <v>28522.76</v>
      </c>
      <c r="E233" s="141"/>
      <c r="F233" s="141"/>
    </row>
    <row r="234" spans="2:6" hidden="1" outlineLevel="1" x14ac:dyDescent="0.15">
      <c r="B234" s="101">
        <v>45160</v>
      </c>
      <c r="C234" s="125">
        <v>28453.01</v>
      </c>
      <c r="E234" s="141"/>
      <c r="F234" s="141"/>
    </row>
    <row r="235" spans="2:6" hidden="1" outlineLevel="1" x14ac:dyDescent="0.15">
      <c r="B235" s="101">
        <v>45159</v>
      </c>
      <c r="C235" s="125">
        <v>28448.83</v>
      </c>
      <c r="E235" s="141"/>
      <c r="F235" s="141"/>
    </row>
    <row r="236" spans="2:6" hidden="1" outlineLevel="1" x14ac:dyDescent="0.15">
      <c r="B236" s="101">
        <v>45156</v>
      </c>
      <c r="C236" s="125">
        <v>28316.31</v>
      </c>
      <c r="E236" s="141"/>
      <c r="F236" s="141"/>
    </row>
    <row r="237" spans="2:6" hidden="1" outlineLevel="1" x14ac:dyDescent="0.15">
      <c r="B237" s="101">
        <v>45155</v>
      </c>
      <c r="C237" s="125">
        <v>28393.16</v>
      </c>
      <c r="E237" s="141"/>
      <c r="F237" s="141"/>
    </row>
    <row r="238" spans="2:6" hidden="1" outlineLevel="1" x14ac:dyDescent="0.15">
      <c r="B238" s="101">
        <v>45154</v>
      </c>
      <c r="C238" s="125">
        <v>28539.38</v>
      </c>
      <c r="E238" s="141"/>
      <c r="F238" s="141"/>
    </row>
    <row r="239" spans="2:6" hidden="1" outlineLevel="1" x14ac:dyDescent="0.15">
      <c r="B239" s="101">
        <v>45152</v>
      </c>
      <c r="C239" s="125">
        <v>28494.78</v>
      </c>
      <c r="E239" s="141"/>
      <c r="F239" s="141"/>
    </row>
    <row r="240" spans="2:6" hidden="1" outlineLevel="1" x14ac:dyDescent="0.15">
      <c r="B240" s="101">
        <v>45149</v>
      </c>
      <c r="C240" s="125">
        <v>28482.45</v>
      </c>
      <c r="E240" s="141"/>
      <c r="F240" s="141"/>
    </row>
    <row r="241" spans="2:6" hidden="1" outlineLevel="1" x14ac:dyDescent="0.15">
      <c r="B241" s="101">
        <v>45148</v>
      </c>
      <c r="C241" s="125">
        <v>28638.92</v>
      </c>
      <c r="E241" s="141"/>
      <c r="F241" s="141"/>
    </row>
    <row r="242" spans="2:6" hidden="1" outlineLevel="1" x14ac:dyDescent="0.15">
      <c r="B242" s="101">
        <v>45147</v>
      </c>
      <c r="C242" s="125">
        <v>28769.97</v>
      </c>
      <c r="E242" s="141"/>
      <c r="F242" s="141"/>
    </row>
    <row r="243" spans="2:6" hidden="1" outlineLevel="1" x14ac:dyDescent="0.15">
      <c r="B243" s="101">
        <v>45146</v>
      </c>
      <c r="C243" s="125">
        <v>28661.08</v>
      </c>
      <c r="E243" s="141"/>
      <c r="F243" s="141"/>
    </row>
    <row r="244" spans="2:6" hidden="1" outlineLevel="1" x14ac:dyDescent="0.15">
      <c r="B244" s="101">
        <v>45145</v>
      </c>
      <c r="C244" s="125">
        <v>28699.8</v>
      </c>
      <c r="E244" s="141"/>
      <c r="F244" s="141"/>
    </row>
    <row r="245" spans="2:6" hidden="1" outlineLevel="1" x14ac:dyDescent="0.15">
      <c r="B245" s="101">
        <v>45142</v>
      </c>
      <c r="C245" s="125">
        <v>28582.25</v>
      </c>
      <c r="E245" s="141"/>
      <c r="F245" s="141"/>
    </row>
    <row r="246" spans="2:6" hidden="1" outlineLevel="1" x14ac:dyDescent="0.15">
      <c r="B246" s="101">
        <v>45141</v>
      </c>
      <c r="C246" s="125">
        <v>28383.279999999999</v>
      </c>
      <c r="E246" s="141"/>
      <c r="F246" s="141"/>
    </row>
    <row r="247" spans="2:6" hidden="1" outlineLevel="1" x14ac:dyDescent="0.15">
      <c r="B247" s="101">
        <v>45140</v>
      </c>
      <c r="C247" s="125">
        <v>28589.81</v>
      </c>
      <c r="E247" s="141"/>
      <c r="F247" s="141"/>
    </row>
    <row r="248" spans="2:6" hidden="1" outlineLevel="1" x14ac:dyDescent="0.15">
      <c r="B248" s="101">
        <v>45139</v>
      </c>
      <c r="C248" s="125">
        <v>28880.78</v>
      </c>
      <c r="E248" s="141"/>
      <c r="F248" s="141"/>
    </row>
    <row r="249" spans="2:6" hidden="1" outlineLevel="1" x14ac:dyDescent="0.15">
      <c r="B249" s="101">
        <v>45138</v>
      </c>
      <c r="C249" s="125">
        <v>28910.43</v>
      </c>
      <c r="E249" s="141"/>
      <c r="F249" s="141"/>
    </row>
    <row r="250" spans="2:6" hidden="1" outlineLevel="1" x14ac:dyDescent="0.15">
      <c r="B250" s="101">
        <v>45135</v>
      </c>
      <c r="C250" s="125">
        <v>28752.69</v>
      </c>
      <c r="E250" s="141"/>
      <c r="F250" s="141"/>
    </row>
    <row r="251" spans="2:6" hidden="1" outlineLevel="1" x14ac:dyDescent="0.15">
      <c r="B251" s="101">
        <v>45134</v>
      </c>
      <c r="C251" s="125">
        <v>28769.02</v>
      </c>
      <c r="E251" s="141"/>
      <c r="F251" s="141"/>
    </row>
    <row r="252" spans="2:6" hidden="1" outlineLevel="1" x14ac:dyDescent="0.15">
      <c r="B252" s="101">
        <v>45133</v>
      </c>
      <c r="C252" s="125">
        <v>28939.3</v>
      </c>
      <c r="E252" s="141"/>
      <c r="F252" s="141"/>
    </row>
    <row r="253" spans="2:6" hidden="1" outlineLevel="1" x14ac:dyDescent="0.15">
      <c r="B253" s="101">
        <v>45132</v>
      </c>
      <c r="C253" s="125">
        <v>28796.35</v>
      </c>
      <c r="E253" s="141"/>
      <c r="F253" s="141"/>
    </row>
    <row r="254" spans="2:6" hidden="1" outlineLevel="1" x14ac:dyDescent="0.15">
      <c r="B254" s="101">
        <v>45131</v>
      </c>
      <c r="C254" s="125">
        <v>28784.26</v>
      </c>
      <c r="E254" s="141"/>
      <c r="F254" s="141"/>
    </row>
    <row r="255" spans="2:6" hidden="1" outlineLevel="1" x14ac:dyDescent="0.15">
      <c r="B255" s="101">
        <v>45128</v>
      </c>
      <c r="C255" s="125">
        <v>28890.53</v>
      </c>
      <c r="E255" s="141"/>
      <c r="F255" s="141"/>
    </row>
    <row r="256" spans="2:6" hidden="1" outlineLevel="1" x14ac:dyDescent="0.15">
      <c r="B256" s="101">
        <v>45127</v>
      </c>
      <c r="C256" s="125">
        <v>29231.71</v>
      </c>
      <c r="E256" s="141"/>
      <c r="F256" s="141"/>
    </row>
    <row r="257" spans="2:6" hidden="1" outlineLevel="1" x14ac:dyDescent="0.15">
      <c r="B257" s="101">
        <v>45126</v>
      </c>
      <c r="C257" s="125">
        <v>29011.55</v>
      </c>
      <c r="E257" s="141"/>
      <c r="F257" s="141"/>
    </row>
    <row r="258" spans="2:6" hidden="1" outlineLevel="1" x14ac:dyDescent="0.15">
      <c r="B258" s="101">
        <v>45125</v>
      </c>
      <c r="C258" s="125">
        <v>28888.85</v>
      </c>
      <c r="E258" s="141"/>
      <c r="F258" s="141"/>
    </row>
    <row r="259" spans="2:6" hidden="1" outlineLevel="1" x14ac:dyDescent="0.15">
      <c r="B259" s="101">
        <v>45124</v>
      </c>
      <c r="C259" s="125">
        <v>28833.54</v>
      </c>
      <c r="E259" s="141"/>
      <c r="F259" s="141"/>
    </row>
    <row r="260" spans="2:6" hidden="1" outlineLevel="1" x14ac:dyDescent="0.15">
      <c r="B260" s="101">
        <v>45121</v>
      </c>
      <c r="C260" s="125">
        <v>28618.6</v>
      </c>
      <c r="E260" s="141"/>
      <c r="F260" s="141"/>
    </row>
    <row r="261" spans="2:6" hidden="1" outlineLevel="1" x14ac:dyDescent="0.15">
      <c r="B261" s="101">
        <v>45120</v>
      </c>
      <c r="C261" s="125">
        <v>28393.32</v>
      </c>
      <c r="E261" s="141"/>
      <c r="F261" s="141"/>
    </row>
    <row r="262" spans="2:6" hidden="1" outlineLevel="1" x14ac:dyDescent="0.15">
      <c r="B262" s="101">
        <v>45119</v>
      </c>
      <c r="C262" s="125">
        <v>28348.880000000001</v>
      </c>
      <c r="E262" s="141"/>
      <c r="F262" s="141"/>
    </row>
    <row r="263" spans="2:6" hidden="1" outlineLevel="1" x14ac:dyDescent="0.15">
      <c r="B263" s="101">
        <v>45118</v>
      </c>
      <c r="C263" s="125">
        <v>28429.42</v>
      </c>
      <c r="E263" s="141"/>
      <c r="F263" s="141"/>
    </row>
    <row r="264" spans="2:6" hidden="1" outlineLevel="1" x14ac:dyDescent="0.15">
      <c r="B264" s="101">
        <v>45117</v>
      </c>
      <c r="C264" s="125">
        <v>28304.66</v>
      </c>
      <c r="E264" s="141"/>
      <c r="F264" s="141"/>
    </row>
    <row r="265" spans="2:6" hidden="1" outlineLevel="1" x14ac:dyDescent="0.15">
      <c r="B265" s="101">
        <v>45114</v>
      </c>
      <c r="C265" s="125">
        <v>28269.43</v>
      </c>
      <c r="E265" s="141"/>
      <c r="F265" s="141"/>
    </row>
    <row r="266" spans="2:6" hidden="1" outlineLevel="1" x14ac:dyDescent="0.15">
      <c r="B266" s="101">
        <v>45113</v>
      </c>
      <c r="C266" s="125">
        <v>28510.39</v>
      </c>
      <c r="E266" s="141"/>
      <c r="F266" s="141"/>
    </row>
    <row r="267" spans="2:6" hidden="1" outlineLevel="1" x14ac:dyDescent="0.15">
      <c r="B267" s="101">
        <v>45112</v>
      </c>
      <c r="C267" s="125">
        <v>28365.96</v>
      </c>
      <c r="E267" s="141"/>
      <c r="F267" s="141"/>
    </row>
    <row r="268" spans="2:6" hidden="1" outlineLevel="1" x14ac:dyDescent="0.15">
      <c r="B268" s="101">
        <v>45111</v>
      </c>
      <c r="C268" s="125">
        <v>28352.01</v>
      </c>
      <c r="E268" s="141"/>
      <c r="F268" s="141"/>
    </row>
    <row r="269" spans="2:6" hidden="1" outlineLevel="1" x14ac:dyDescent="0.15">
      <c r="B269" s="101">
        <v>45110</v>
      </c>
      <c r="C269" s="125">
        <v>28254.9</v>
      </c>
      <c r="E269" s="141"/>
      <c r="F269" s="141"/>
    </row>
    <row r="270" spans="2:6" hidden="1" outlineLevel="1" x14ac:dyDescent="0.15">
      <c r="B270" s="101">
        <v>45107</v>
      </c>
      <c r="C270" s="125">
        <v>28059.65</v>
      </c>
      <c r="E270" s="141"/>
      <c r="F270" s="141"/>
    </row>
    <row r="271" spans="2:6" hidden="1" outlineLevel="1" x14ac:dyDescent="0.15">
      <c r="B271" s="101">
        <v>45105</v>
      </c>
      <c r="C271" s="125">
        <v>27739.64</v>
      </c>
      <c r="E271" s="141"/>
      <c r="F271" s="141"/>
    </row>
    <row r="272" spans="2:6" hidden="1" outlineLevel="1" x14ac:dyDescent="0.15">
      <c r="B272" s="101">
        <v>45104</v>
      </c>
      <c r="C272" s="125">
        <v>27513.45</v>
      </c>
      <c r="E272" s="141"/>
      <c r="F272" s="141"/>
    </row>
    <row r="273" spans="2:6" hidden="1" outlineLevel="1" x14ac:dyDescent="0.15">
      <c r="B273" s="101">
        <v>45103</v>
      </c>
      <c r="C273" s="125">
        <v>27328.91</v>
      </c>
      <c r="E273" s="141"/>
      <c r="F273" s="141"/>
    </row>
    <row r="274" spans="2:6" hidden="1" outlineLevel="1" x14ac:dyDescent="0.15">
      <c r="B274" s="101">
        <v>45100</v>
      </c>
      <c r="C274" s="125">
        <v>27291.39</v>
      </c>
      <c r="E274" s="141"/>
      <c r="F274" s="141"/>
    </row>
    <row r="275" spans="2:6" hidden="1" outlineLevel="1" x14ac:dyDescent="0.15">
      <c r="B275" s="101">
        <v>45099</v>
      </c>
      <c r="C275" s="125">
        <v>27445.97</v>
      </c>
      <c r="E275" s="141"/>
      <c r="F275" s="141"/>
    </row>
    <row r="276" spans="2:6" hidden="1" outlineLevel="1" x14ac:dyDescent="0.15">
      <c r="B276" s="101">
        <v>45098</v>
      </c>
      <c r="C276" s="125">
        <v>27571.14</v>
      </c>
      <c r="E276" s="141"/>
      <c r="F276" s="141"/>
    </row>
    <row r="277" spans="2:6" hidden="1" outlineLevel="1" x14ac:dyDescent="0.15">
      <c r="B277" s="101">
        <v>45097</v>
      </c>
      <c r="C277" s="125">
        <v>27512.41</v>
      </c>
      <c r="E277" s="141"/>
      <c r="F277" s="141"/>
    </row>
    <row r="278" spans="2:6" hidden="1" outlineLevel="1" x14ac:dyDescent="0.15">
      <c r="B278" s="101">
        <v>45096</v>
      </c>
      <c r="C278" s="125">
        <v>27422.87</v>
      </c>
      <c r="E278" s="141"/>
      <c r="F278" s="141"/>
    </row>
    <row r="279" spans="2:6" hidden="1" outlineLevel="1" x14ac:dyDescent="0.15">
      <c r="B279" s="101">
        <v>45093</v>
      </c>
      <c r="C279" s="125">
        <v>27519.439999999999</v>
      </c>
      <c r="E279" s="141"/>
      <c r="F279" s="141"/>
    </row>
    <row r="280" spans="2:6" hidden="1" outlineLevel="1" x14ac:dyDescent="0.15">
      <c r="B280" s="101">
        <v>45092</v>
      </c>
      <c r="C280" s="125">
        <v>27317.25</v>
      </c>
      <c r="E280" s="141"/>
      <c r="F280" s="141"/>
    </row>
    <row r="281" spans="2:6" hidden="1" outlineLevel="1" x14ac:dyDescent="0.15">
      <c r="B281" s="101">
        <v>45091</v>
      </c>
      <c r="C281" s="125">
        <v>27408.12</v>
      </c>
      <c r="E281" s="141"/>
      <c r="F281" s="141"/>
    </row>
    <row r="282" spans="2:6" hidden="1" outlineLevel="1" x14ac:dyDescent="0.15">
      <c r="B282" s="101">
        <v>45090</v>
      </c>
      <c r="C282" s="125">
        <v>27350.09</v>
      </c>
      <c r="E282" s="141"/>
      <c r="F282" s="141"/>
    </row>
    <row r="283" spans="2:6" hidden="1" outlineLevel="1" x14ac:dyDescent="0.15">
      <c r="B283" s="101">
        <v>45089</v>
      </c>
      <c r="C283" s="125">
        <v>27182.55</v>
      </c>
      <c r="E283" s="141"/>
      <c r="F283" s="141"/>
    </row>
    <row r="284" spans="2:6" hidden="1" outlineLevel="1" x14ac:dyDescent="0.15">
      <c r="B284" s="101">
        <v>45086</v>
      </c>
      <c r="C284" s="125">
        <v>27126.86</v>
      </c>
      <c r="E284" s="141"/>
      <c r="F284" s="141"/>
    </row>
    <row r="285" spans="2:6" hidden="1" outlineLevel="1" x14ac:dyDescent="0.15">
      <c r="B285" s="101">
        <v>45085</v>
      </c>
      <c r="C285" s="125">
        <v>27227.59</v>
      </c>
      <c r="E285" s="141"/>
      <c r="F285" s="141"/>
    </row>
    <row r="286" spans="2:6" hidden="1" outlineLevel="1" x14ac:dyDescent="0.15">
      <c r="B286" s="101">
        <v>45084</v>
      </c>
      <c r="C286" s="125">
        <v>27361.85</v>
      </c>
      <c r="E286" s="141"/>
      <c r="F286" s="141"/>
    </row>
    <row r="287" spans="2:6" hidden="1" outlineLevel="1" x14ac:dyDescent="0.15">
      <c r="B287" s="101">
        <v>45083</v>
      </c>
      <c r="C287" s="125">
        <v>27175.7</v>
      </c>
      <c r="E287" s="141"/>
      <c r="F287" s="141"/>
    </row>
    <row r="288" spans="2:6" hidden="1" outlineLevel="1" x14ac:dyDescent="0.15">
      <c r="B288" s="101">
        <v>45082</v>
      </c>
      <c r="C288" s="125">
        <v>27168.13</v>
      </c>
      <c r="E288" s="141"/>
      <c r="F288" s="141"/>
    </row>
    <row r="289" spans="2:6" hidden="1" outlineLevel="1" x14ac:dyDescent="0.15">
      <c r="B289" s="101">
        <v>45079</v>
      </c>
      <c r="C289" s="125">
        <v>27080.87</v>
      </c>
      <c r="E289" s="141"/>
      <c r="F289" s="141"/>
    </row>
    <row r="290" spans="2:6" hidden="1" outlineLevel="1" x14ac:dyDescent="0.15">
      <c r="B290" s="101">
        <v>45078</v>
      </c>
      <c r="C290" s="125">
        <v>26989.35</v>
      </c>
      <c r="E290" s="141"/>
      <c r="F290" s="141"/>
    </row>
    <row r="291" spans="2:6" hidden="1" outlineLevel="1" x14ac:dyDescent="0.15">
      <c r="B291" s="101">
        <v>45077</v>
      </c>
      <c r="C291" s="125">
        <v>27057.439999999999</v>
      </c>
      <c r="E291" s="141"/>
      <c r="F291" s="141"/>
    </row>
    <row r="292" spans="2:6" hidden="1" outlineLevel="1" x14ac:dyDescent="0.15">
      <c r="B292" s="101">
        <v>45076</v>
      </c>
      <c r="C292" s="125">
        <v>27188.18</v>
      </c>
      <c r="E292" s="141"/>
      <c r="F292" s="141"/>
    </row>
    <row r="293" spans="2:6" hidden="1" outlineLevel="1" x14ac:dyDescent="0.15">
      <c r="B293" s="101">
        <v>45075</v>
      </c>
      <c r="C293" s="125">
        <v>27136.82</v>
      </c>
      <c r="E293" s="141"/>
      <c r="F293" s="141"/>
    </row>
    <row r="294" spans="2:6" hidden="1" outlineLevel="1" x14ac:dyDescent="0.15">
      <c r="B294" s="101">
        <v>45072</v>
      </c>
      <c r="C294" s="125">
        <v>26991.87</v>
      </c>
      <c r="E294" s="141"/>
      <c r="F294" s="141"/>
    </row>
    <row r="295" spans="2:6" hidden="1" outlineLevel="1" x14ac:dyDescent="0.15">
      <c r="B295" s="101">
        <v>45071</v>
      </c>
      <c r="C295" s="125">
        <v>26731.86</v>
      </c>
      <c r="E295" s="141"/>
      <c r="F295" s="141"/>
    </row>
    <row r="296" spans="2:6" hidden="1" outlineLevel="1" x14ac:dyDescent="0.15">
      <c r="B296" s="101">
        <v>45070</v>
      </c>
      <c r="C296" s="125">
        <v>26679.72</v>
      </c>
      <c r="E296" s="141"/>
      <c r="F296" s="141"/>
    </row>
    <row r="297" spans="2:6" hidden="1" outlineLevel="1" x14ac:dyDescent="0.15">
      <c r="B297" s="101">
        <v>45069</v>
      </c>
      <c r="C297" s="125">
        <v>26771.1</v>
      </c>
      <c r="E297" s="141"/>
      <c r="F297" s="141"/>
    </row>
    <row r="298" spans="2:6" hidden="1" outlineLevel="1" x14ac:dyDescent="0.15">
      <c r="B298" s="101">
        <v>45068</v>
      </c>
      <c r="C298" s="125">
        <v>26722.03</v>
      </c>
      <c r="E298" s="141"/>
      <c r="F298" s="141"/>
    </row>
    <row r="299" spans="2:6" hidden="1" outlineLevel="1" x14ac:dyDescent="0.15">
      <c r="B299" s="101">
        <v>45065</v>
      </c>
      <c r="C299" s="125">
        <v>26560.1</v>
      </c>
      <c r="E299" s="141"/>
      <c r="F299" s="141"/>
    </row>
    <row r="300" spans="2:6" hidden="1" outlineLevel="1" x14ac:dyDescent="0.15">
      <c r="B300" s="101">
        <v>45064</v>
      </c>
      <c r="C300" s="125">
        <v>26451.26</v>
      </c>
      <c r="E300" s="141"/>
      <c r="F300" s="141"/>
    </row>
    <row r="301" spans="2:6" hidden="1" outlineLevel="1" x14ac:dyDescent="0.15">
      <c r="B301" s="101">
        <v>45063</v>
      </c>
      <c r="C301" s="125">
        <v>26526.82</v>
      </c>
      <c r="E301" s="141"/>
      <c r="F301" s="141"/>
    </row>
    <row r="302" spans="2:6" hidden="1" outlineLevel="1" x14ac:dyDescent="0.15">
      <c r="B302" s="101">
        <v>45062</v>
      </c>
      <c r="C302" s="125">
        <v>26679.67</v>
      </c>
      <c r="E302" s="141"/>
      <c r="F302" s="141"/>
    </row>
    <row r="303" spans="2:6" hidden="1" outlineLevel="1" x14ac:dyDescent="0.15">
      <c r="B303" s="101">
        <v>45061</v>
      </c>
      <c r="C303" s="125">
        <v>26789.02</v>
      </c>
      <c r="E303" s="141"/>
      <c r="F303" s="141"/>
    </row>
    <row r="304" spans="2:6" hidden="1" outlineLevel="1" x14ac:dyDescent="0.15">
      <c r="B304" s="101">
        <v>45058</v>
      </c>
      <c r="C304" s="125">
        <v>26666.67</v>
      </c>
      <c r="E304" s="141"/>
      <c r="F304" s="141"/>
    </row>
    <row r="305" spans="2:6" hidden="1" outlineLevel="1" x14ac:dyDescent="0.15">
      <c r="B305" s="101">
        <v>45057</v>
      </c>
      <c r="C305" s="125">
        <v>26640.77</v>
      </c>
      <c r="E305" s="141"/>
      <c r="F305" s="141"/>
    </row>
    <row r="306" spans="2:6" hidden="1" outlineLevel="1" x14ac:dyDescent="0.15">
      <c r="B306" s="101">
        <v>45056</v>
      </c>
      <c r="C306" s="125">
        <v>26667.11</v>
      </c>
      <c r="E306" s="141"/>
      <c r="F306" s="141"/>
    </row>
    <row r="307" spans="2:6" hidden="1" outlineLevel="1" x14ac:dyDescent="0.15">
      <c r="B307" s="101">
        <v>45055</v>
      </c>
      <c r="C307" s="125">
        <v>26595.52</v>
      </c>
      <c r="E307" s="141"/>
      <c r="F307" s="141"/>
    </row>
    <row r="308" spans="2:6" hidden="1" outlineLevel="1" x14ac:dyDescent="0.15">
      <c r="B308" s="101">
        <v>45054</v>
      </c>
      <c r="C308" s="125">
        <v>26593.29</v>
      </c>
      <c r="E308" s="141"/>
      <c r="F308" s="141"/>
    </row>
    <row r="309" spans="2:6" hidden="1" outlineLevel="1" x14ac:dyDescent="0.15">
      <c r="B309" s="101">
        <v>45051</v>
      </c>
      <c r="C309" s="125">
        <v>26308.78</v>
      </c>
      <c r="E309" s="141"/>
      <c r="F309" s="141"/>
    </row>
    <row r="310" spans="2:6" hidden="1" outlineLevel="1" x14ac:dyDescent="0.15">
      <c r="B310" s="101">
        <v>45050</v>
      </c>
      <c r="C310" s="125">
        <v>26580.77</v>
      </c>
      <c r="E310" s="141"/>
      <c r="F310" s="141"/>
    </row>
    <row r="311" spans="2:6" hidden="1" outlineLevel="1" x14ac:dyDescent="0.15">
      <c r="B311" s="101">
        <v>45049</v>
      </c>
      <c r="C311" s="125">
        <v>26339.14</v>
      </c>
      <c r="E311" s="141"/>
      <c r="F311" s="141"/>
    </row>
    <row r="312" spans="2:6" hidden="1" outlineLevel="1" x14ac:dyDescent="0.15">
      <c r="B312" s="101">
        <v>45048</v>
      </c>
      <c r="C312" s="125">
        <v>26423.3</v>
      </c>
      <c r="E312" s="141"/>
      <c r="F312" s="141"/>
    </row>
    <row r="313" spans="2:6" hidden="1" outlineLevel="1" x14ac:dyDescent="0.15">
      <c r="B313" s="101">
        <v>45044</v>
      </c>
      <c r="C313" s="125">
        <v>26302.92</v>
      </c>
      <c r="E313" s="141"/>
      <c r="F313" s="141"/>
    </row>
    <row r="314" spans="2:6" hidden="1" outlineLevel="1" x14ac:dyDescent="0.15">
      <c r="B314" s="101">
        <v>45043</v>
      </c>
      <c r="C314" s="125">
        <v>26078.38</v>
      </c>
      <c r="E314" s="141"/>
      <c r="F314" s="141"/>
    </row>
    <row r="315" spans="2:6" hidden="1" outlineLevel="1" x14ac:dyDescent="0.15">
      <c r="B315" s="101">
        <v>45042</v>
      </c>
      <c r="C315" s="125">
        <v>25930.7</v>
      </c>
      <c r="E315" s="141"/>
      <c r="F315" s="141"/>
    </row>
    <row r="316" spans="2:6" hidden="1" outlineLevel="1" x14ac:dyDescent="0.15">
      <c r="B316" s="101">
        <v>45041</v>
      </c>
      <c r="C316" s="125">
        <v>25866.09</v>
      </c>
      <c r="E316" s="141"/>
      <c r="F316" s="141"/>
    </row>
    <row r="317" spans="2:6" hidden="1" outlineLevel="1" x14ac:dyDescent="0.15">
      <c r="B317" s="101">
        <v>45040</v>
      </c>
      <c r="C317" s="125">
        <v>25828.46</v>
      </c>
      <c r="E317" s="141"/>
      <c r="F317" s="141"/>
    </row>
    <row r="318" spans="2:6" hidden="1" outlineLevel="1" x14ac:dyDescent="0.15">
      <c r="B318" s="101">
        <v>45037</v>
      </c>
      <c r="C318" s="125">
        <v>25654.78</v>
      </c>
      <c r="E318" s="141"/>
      <c r="F318" s="141"/>
    </row>
    <row r="319" spans="2:6" hidden="1" outlineLevel="1" x14ac:dyDescent="0.15">
      <c r="B319" s="101">
        <v>45036</v>
      </c>
      <c r="C319" s="125">
        <v>25654.16</v>
      </c>
      <c r="E319" s="141"/>
      <c r="F319" s="141"/>
    </row>
    <row r="320" spans="2:6" hidden="1" outlineLevel="1" x14ac:dyDescent="0.15">
      <c r="B320" s="101">
        <v>45035</v>
      </c>
      <c r="C320" s="125">
        <v>25645.82</v>
      </c>
      <c r="E320" s="141"/>
      <c r="F320" s="141"/>
    </row>
    <row r="321" spans="2:6" hidden="1" outlineLevel="1" x14ac:dyDescent="0.15">
      <c r="B321" s="101">
        <v>45034</v>
      </c>
      <c r="C321" s="125">
        <v>25706.09</v>
      </c>
      <c r="E321" s="141"/>
      <c r="F321" s="141"/>
    </row>
    <row r="322" spans="2:6" hidden="1" outlineLevel="1" x14ac:dyDescent="0.15">
      <c r="B322" s="101">
        <v>45033</v>
      </c>
      <c r="C322" s="125">
        <v>25774.07</v>
      </c>
      <c r="E322" s="141"/>
      <c r="F322" s="141"/>
    </row>
    <row r="323" spans="2:6" hidden="1" outlineLevel="1" x14ac:dyDescent="0.15">
      <c r="B323" s="101">
        <v>45029</v>
      </c>
      <c r="C323" s="125">
        <v>25950.39</v>
      </c>
      <c r="E323" s="141"/>
      <c r="F323" s="141"/>
    </row>
    <row r="324" spans="2:6" hidden="1" outlineLevel="1" x14ac:dyDescent="0.15">
      <c r="B324" s="101">
        <v>45028</v>
      </c>
      <c r="C324" s="125">
        <v>25924.89</v>
      </c>
      <c r="E324" s="141"/>
      <c r="F324" s="141"/>
    </row>
    <row r="325" spans="2:6" hidden="1" outlineLevel="1" x14ac:dyDescent="0.15">
      <c r="B325" s="101">
        <v>45027</v>
      </c>
      <c r="C325" s="125">
        <v>25793.77</v>
      </c>
      <c r="E325" s="141"/>
      <c r="F325" s="141"/>
    </row>
    <row r="326" spans="2:6" hidden="1" outlineLevel="1" x14ac:dyDescent="0.15">
      <c r="B326" s="101">
        <v>45026</v>
      </c>
      <c r="C326" s="125">
        <v>25650.73</v>
      </c>
      <c r="E326" s="141"/>
      <c r="F326" s="141"/>
    </row>
    <row r="327" spans="2:6" hidden="1" outlineLevel="1" x14ac:dyDescent="0.15">
      <c r="B327" s="101">
        <v>45022</v>
      </c>
      <c r="C327" s="125">
        <v>25614.55</v>
      </c>
      <c r="E327" s="141"/>
      <c r="F327" s="141"/>
    </row>
    <row r="328" spans="2:6" hidden="1" outlineLevel="1" x14ac:dyDescent="0.15">
      <c r="B328" s="101">
        <v>45021</v>
      </c>
      <c r="C328" s="125">
        <v>25553.279999999999</v>
      </c>
      <c r="E328" s="141"/>
      <c r="F328" s="141"/>
    </row>
    <row r="329" spans="2:6" hidden="1" outlineLevel="1" x14ac:dyDescent="0.15">
      <c r="B329" s="101">
        <v>45019</v>
      </c>
      <c r="C329" s="125">
        <v>25321.85</v>
      </c>
      <c r="E329" s="141"/>
      <c r="F329" s="141"/>
    </row>
    <row r="330" spans="2:6" hidden="1" outlineLevel="1" x14ac:dyDescent="0.15">
      <c r="B330" s="101">
        <v>45016</v>
      </c>
      <c r="C330" s="125">
        <v>25266.06</v>
      </c>
      <c r="E330" s="141"/>
      <c r="F330" s="141"/>
    </row>
    <row r="331" spans="2:6" hidden="1" outlineLevel="1" x14ac:dyDescent="0.15">
      <c r="B331" s="101">
        <v>45014</v>
      </c>
      <c r="C331" s="125">
        <v>24859.93</v>
      </c>
      <c r="E331" s="141"/>
      <c r="F331" s="141"/>
    </row>
    <row r="332" spans="2:6" hidden="1" outlineLevel="1" x14ac:dyDescent="0.15">
      <c r="B332" s="101">
        <v>45013</v>
      </c>
      <c r="C332" s="125">
        <v>24672.17</v>
      </c>
      <c r="E332" s="141"/>
      <c r="F332" s="141"/>
    </row>
    <row r="333" spans="2:6" hidden="1" outlineLevel="1" x14ac:dyDescent="0.15">
      <c r="B333" s="101">
        <v>45012</v>
      </c>
      <c r="C333" s="125">
        <v>24721.71</v>
      </c>
      <c r="E333" s="141"/>
      <c r="F333" s="141"/>
    </row>
    <row r="334" spans="2:6" hidden="1" outlineLevel="1" x14ac:dyDescent="0.15">
      <c r="B334" s="101">
        <v>45009</v>
      </c>
      <c r="C334" s="125">
        <v>24662.53</v>
      </c>
      <c r="E334" s="141"/>
      <c r="F334" s="141"/>
    </row>
    <row r="335" spans="2:6" hidden="1" outlineLevel="1" x14ac:dyDescent="0.15">
      <c r="B335" s="101">
        <v>45008</v>
      </c>
      <c r="C335" s="125">
        <v>24854.39</v>
      </c>
      <c r="E335" s="141"/>
      <c r="F335" s="141"/>
    </row>
    <row r="336" spans="2:6" hidden="1" outlineLevel="1" x14ac:dyDescent="0.15">
      <c r="B336" s="101">
        <v>45007</v>
      </c>
      <c r="C336" s="125">
        <v>24963.55</v>
      </c>
      <c r="E336" s="141"/>
      <c r="F336" s="141"/>
    </row>
    <row r="337" spans="2:6" hidden="1" outlineLevel="1" x14ac:dyDescent="0.15">
      <c r="B337" s="101">
        <v>45006</v>
      </c>
      <c r="C337" s="125">
        <v>24898.97</v>
      </c>
      <c r="E337" s="141"/>
      <c r="F337" s="141"/>
    </row>
    <row r="338" spans="2:6" hidden="1" outlineLevel="1" x14ac:dyDescent="0.15">
      <c r="B338" s="101">
        <v>45005</v>
      </c>
      <c r="C338" s="125">
        <v>24725.599999999999</v>
      </c>
      <c r="E338" s="141"/>
      <c r="F338" s="141"/>
    </row>
    <row r="339" spans="2:6" hidden="1" outlineLevel="1" x14ac:dyDescent="0.15">
      <c r="B339" s="101">
        <v>45002</v>
      </c>
      <c r="C339" s="125">
        <v>24888.1</v>
      </c>
      <c r="E339" s="141"/>
      <c r="F339" s="141"/>
    </row>
    <row r="340" spans="2:6" hidden="1" outlineLevel="1" x14ac:dyDescent="0.15">
      <c r="B340" s="101">
        <v>45001</v>
      </c>
      <c r="C340" s="125">
        <v>24721.52</v>
      </c>
      <c r="E340" s="141"/>
      <c r="F340" s="141"/>
    </row>
    <row r="341" spans="2:6" hidden="1" outlineLevel="1" x14ac:dyDescent="0.15">
      <c r="B341" s="101">
        <v>45000</v>
      </c>
      <c r="C341" s="125">
        <v>24701.599999999999</v>
      </c>
      <c r="E341" s="141"/>
      <c r="F341" s="141"/>
    </row>
    <row r="342" spans="2:6" hidden="1" outlineLevel="1" x14ac:dyDescent="0.15">
      <c r="B342" s="101">
        <v>44999</v>
      </c>
      <c r="C342" s="125">
        <v>24805.11</v>
      </c>
      <c r="E342" s="141"/>
      <c r="F342" s="141"/>
    </row>
    <row r="343" spans="2:6" hidden="1" outlineLevel="1" x14ac:dyDescent="0.15">
      <c r="B343" s="101">
        <v>44998</v>
      </c>
      <c r="C343" s="125">
        <v>24966.68</v>
      </c>
      <c r="E343" s="141"/>
      <c r="F343" s="141"/>
    </row>
    <row r="344" spans="2:6" hidden="1" outlineLevel="1" x14ac:dyDescent="0.15">
      <c r="B344" s="101">
        <v>44995</v>
      </c>
      <c r="C344" s="125">
        <v>25343.09</v>
      </c>
      <c r="E344" s="141"/>
      <c r="F344" s="141"/>
    </row>
    <row r="345" spans="2:6" hidden="1" outlineLevel="1" x14ac:dyDescent="0.15">
      <c r="B345" s="101">
        <v>44994</v>
      </c>
      <c r="C345" s="125">
        <v>25600.240000000002</v>
      </c>
      <c r="E345" s="141"/>
      <c r="F345" s="141"/>
    </row>
    <row r="346" spans="2:6" hidden="1" outlineLevel="1" x14ac:dyDescent="0.15">
      <c r="B346" s="101">
        <v>44993</v>
      </c>
      <c r="C346" s="125">
        <v>25840.12</v>
      </c>
      <c r="E346" s="141"/>
      <c r="F346" s="141"/>
    </row>
    <row r="347" spans="2:6" hidden="1" outlineLevel="1" x14ac:dyDescent="0.15">
      <c r="B347" s="101">
        <v>44991</v>
      </c>
      <c r="C347" s="125">
        <v>25777.599999999999</v>
      </c>
      <c r="E347" s="141"/>
      <c r="F347" s="141"/>
    </row>
    <row r="348" spans="2:6" hidden="1" outlineLevel="1" x14ac:dyDescent="0.15">
      <c r="B348" s="101">
        <v>44988</v>
      </c>
      <c r="C348" s="125">
        <v>25607.14</v>
      </c>
      <c r="E348" s="141"/>
      <c r="F348" s="141"/>
    </row>
    <row r="349" spans="2:6" hidden="1" outlineLevel="1" x14ac:dyDescent="0.15">
      <c r="B349" s="101">
        <v>44987</v>
      </c>
      <c r="C349" s="125">
        <v>25210.65</v>
      </c>
      <c r="E349" s="141"/>
      <c r="F349" s="141"/>
    </row>
    <row r="350" spans="2:6" hidden="1" outlineLevel="1" x14ac:dyDescent="0.15">
      <c r="B350" s="101">
        <v>44986</v>
      </c>
      <c r="C350" s="125">
        <v>25398.400000000001</v>
      </c>
      <c r="E350" s="141"/>
      <c r="F350" s="141"/>
    </row>
    <row r="351" spans="2:6" hidden="1" outlineLevel="1" x14ac:dyDescent="0.15">
      <c r="B351" s="101">
        <v>44985</v>
      </c>
      <c r="C351" s="125">
        <v>25184.47</v>
      </c>
      <c r="E351" s="141"/>
      <c r="F351" s="141"/>
    </row>
    <row r="352" spans="2:6" hidden="1" outlineLevel="1" x14ac:dyDescent="0.15">
      <c r="B352" s="101">
        <v>44984</v>
      </c>
      <c r="C352" s="125">
        <v>25313.7</v>
      </c>
      <c r="E352" s="141"/>
      <c r="F352" s="141"/>
    </row>
    <row r="353" spans="2:6" hidden="1" outlineLevel="1" x14ac:dyDescent="0.15">
      <c r="B353" s="101">
        <v>44981</v>
      </c>
      <c r="C353" s="125">
        <v>25420.07</v>
      </c>
      <c r="E353" s="141"/>
      <c r="F353" s="141"/>
    </row>
    <row r="354" spans="2:6" hidden="1" outlineLevel="1" x14ac:dyDescent="0.15">
      <c r="B354" s="101">
        <v>44980</v>
      </c>
      <c r="C354" s="125">
        <v>25485.97</v>
      </c>
      <c r="E354" s="141"/>
      <c r="F354" s="141"/>
    </row>
    <row r="355" spans="2:6" hidden="1" outlineLevel="1" x14ac:dyDescent="0.15">
      <c r="B355" s="101">
        <v>44979</v>
      </c>
      <c r="C355" s="125">
        <v>25548.67</v>
      </c>
      <c r="E355" s="141"/>
      <c r="F355" s="141"/>
    </row>
    <row r="356" spans="2:6" hidden="1" outlineLevel="1" x14ac:dyDescent="0.15">
      <c r="B356" s="101">
        <v>44978</v>
      </c>
      <c r="C356" s="125">
        <v>25945.08</v>
      </c>
      <c r="E356" s="141"/>
      <c r="F356" s="141"/>
    </row>
    <row r="357" spans="2:6" hidden="1" outlineLevel="1" x14ac:dyDescent="0.15">
      <c r="B357" s="101">
        <v>44977</v>
      </c>
      <c r="C357" s="125">
        <v>25971.19</v>
      </c>
      <c r="E357" s="141"/>
      <c r="F357" s="141"/>
    </row>
    <row r="358" spans="2:6" hidden="1" outlineLevel="1" x14ac:dyDescent="0.15">
      <c r="B358" s="101">
        <v>44974</v>
      </c>
      <c r="C358" s="125">
        <v>26116.12</v>
      </c>
      <c r="E358" s="141"/>
      <c r="F358" s="141"/>
    </row>
    <row r="359" spans="2:6" hidden="1" outlineLevel="1" x14ac:dyDescent="0.15">
      <c r="B359" s="101">
        <v>44973</v>
      </c>
      <c r="C359" s="125">
        <v>26249.52</v>
      </c>
      <c r="E359" s="141"/>
      <c r="F359" s="141"/>
    </row>
    <row r="360" spans="2:6" hidden="1" outlineLevel="1" x14ac:dyDescent="0.15">
      <c r="B360" s="101">
        <v>44972</v>
      </c>
      <c r="C360" s="125">
        <v>26220.43</v>
      </c>
      <c r="E360" s="141"/>
      <c r="F360" s="141"/>
    </row>
    <row r="361" spans="2:6" hidden="1" outlineLevel="1" x14ac:dyDescent="0.15">
      <c r="B361" s="101">
        <v>44971</v>
      </c>
      <c r="C361" s="125">
        <v>26077.93</v>
      </c>
      <c r="E361" s="141"/>
      <c r="F361" s="141"/>
    </row>
    <row r="362" spans="2:6" hidden="1" outlineLevel="1" x14ac:dyDescent="0.15">
      <c r="B362" s="101">
        <v>44970</v>
      </c>
      <c r="C362" s="125">
        <v>25846.7</v>
      </c>
      <c r="E362" s="141"/>
      <c r="F362" s="141"/>
    </row>
    <row r="363" spans="2:6" hidden="1" outlineLevel="1" x14ac:dyDescent="0.15">
      <c r="B363" s="101">
        <v>44967</v>
      </c>
      <c r="C363" s="125">
        <v>25971.23</v>
      </c>
      <c r="E363" s="141"/>
      <c r="F363" s="141"/>
    </row>
    <row r="364" spans="2:6" hidden="1" outlineLevel="1" x14ac:dyDescent="0.15">
      <c r="B364" s="101">
        <v>44966</v>
      </c>
      <c r="C364" s="125">
        <v>26024.94</v>
      </c>
      <c r="E364" s="141"/>
      <c r="F364" s="141"/>
    </row>
    <row r="365" spans="2:6" hidden="1" outlineLevel="1" x14ac:dyDescent="0.15">
      <c r="B365" s="101">
        <v>44965</v>
      </c>
      <c r="C365" s="125">
        <v>25993.34</v>
      </c>
      <c r="E365" s="141"/>
      <c r="F365" s="141"/>
    </row>
    <row r="366" spans="2:6" hidden="1" outlineLevel="1" x14ac:dyDescent="0.15">
      <c r="B366" s="101">
        <v>44964</v>
      </c>
      <c r="C366" s="125">
        <v>25772.19</v>
      </c>
      <c r="E366" s="141"/>
      <c r="F366" s="141"/>
    </row>
    <row r="367" spans="2:6" hidden="1" outlineLevel="1" x14ac:dyDescent="0.15">
      <c r="B367" s="101">
        <v>44963</v>
      </c>
      <c r="C367" s="125">
        <v>25834.87</v>
      </c>
      <c r="E367" s="141"/>
      <c r="F367" s="141"/>
    </row>
    <row r="368" spans="2:6" hidden="1" outlineLevel="1" x14ac:dyDescent="0.15">
      <c r="B368" s="101">
        <v>44960</v>
      </c>
      <c r="C368" s="125">
        <v>25965</v>
      </c>
      <c r="E368" s="141"/>
      <c r="F368" s="141"/>
    </row>
    <row r="369" spans="2:6" hidden="1" outlineLevel="1" x14ac:dyDescent="0.15">
      <c r="B369" s="101">
        <v>44959</v>
      </c>
      <c r="C369" s="125">
        <v>25610.65</v>
      </c>
      <c r="E369" s="141"/>
      <c r="F369" s="141"/>
    </row>
    <row r="370" spans="2:6" hidden="1" outlineLevel="1" x14ac:dyDescent="0.15">
      <c r="B370" s="101">
        <v>44958</v>
      </c>
      <c r="C370" s="125">
        <v>25619.24</v>
      </c>
      <c r="E370" s="141"/>
      <c r="F370" s="141"/>
    </row>
    <row r="371" spans="2:6" hidden="1" outlineLevel="1" x14ac:dyDescent="0.15">
      <c r="B371" s="101">
        <v>44957</v>
      </c>
      <c r="C371" s="125">
        <v>25685.94</v>
      </c>
      <c r="E371" s="141"/>
      <c r="F371" s="141"/>
    </row>
    <row r="372" spans="2:6" hidden="1" outlineLevel="1" x14ac:dyDescent="0.15">
      <c r="B372" s="101">
        <v>44956</v>
      </c>
      <c r="C372" s="125">
        <v>25666.69</v>
      </c>
      <c r="E372" s="141"/>
      <c r="F372" s="141"/>
    </row>
    <row r="373" spans="2:6" hidden="1" outlineLevel="1" x14ac:dyDescent="0.15">
      <c r="B373" s="101">
        <v>44953</v>
      </c>
      <c r="C373" s="125">
        <v>25601.88</v>
      </c>
      <c r="E373" s="141"/>
      <c r="F373" s="141"/>
    </row>
    <row r="374" spans="2:6" hidden="1" outlineLevel="1" x14ac:dyDescent="0.15">
      <c r="B374" s="101">
        <v>44951</v>
      </c>
      <c r="C374" s="125">
        <v>26020.13</v>
      </c>
      <c r="E374" s="141"/>
      <c r="F374" s="141"/>
    </row>
    <row r="375" spans="2:6" hidden="1" outlineLevel="1" x14ac:dyDescent="0.15">
      <c r="B375" s="101">
        <v>44950</v>
      </c>
      <c r="C375" s="125">
        <v>26349.279999999999</v>
      </c>
      <c r="E375" s="141"/>
      <c r="F375" s="141"/>
    </row>
    <row r="376" spans="2:6" hidden="1" outlineLevel="1" x14ac:dyDescent="0.15">
      <c r="B376" s="101">
        <v>44949</v>
      </c>
      <c r="C376" s="125">
        <v>26349.14</v>
      </c>
      <c r="E376" s="141"/>
      <c r="F376" s="141"/>
    </row>
    <row r="377" spans="2:6" hidden="1" outlineLevel="1" x14ac:dyDescent="0.15">
      <c r="B377" s="101">
        <v>44946</v>
      </c>
      <c r="C377" s="125">
        <v>26216.94</v>
      </c>
      <c r="E377" s="141"/>
      <c r="F377" s="141"/>
    </row>
    <row r="378" spans="2:6" hidden="1" outlineLevel="1" x14ac:dyDescent="0.15">
      <c r="B378" s="101">
        <v>44945</v>
      </c>
      <c r="C378" s="125">
        <v>26333.57</v>
      </c>
      <c r="E378" s="141"/>
      <c r="F378" s="141"/>
    </row>
    <row r="379" spans="2:6" hidden="1" outlineLevel="1" x14ac:dyDescent="0.15">
      <c r="B379" s="101">
        <v>44944</v>
      </c>
      <c r="C379" s="125">
        <v>26413.71</v>
      </c>
      <c r="E379" s="141"/>
      <c r="F379" s="141"/>
    </row>
    <row r="380" spans="2:6" hidden="1" outlineLevel="1" x14ac:dyDescent="0.15">
      <c r="B380" s="101">
        <v>44943</v>
      </c>
      <c r="C380" s="125">
        <v>26250.81</v>
      </c>
      <c r="E380" s="141"/>
      <c r="F380" s="141"/>
    </row>
    <row r="381" spans="2:6" hidden="1" outlineLevel="1" x14ac:dyDescent="0.15">
      <c r="B381" s="101">
        <v>44942</v>
      </c>
      <c r="C381" s="125">
        <v>26020.39</v>
      </c>
      <c r="E381" s="141"/>
      <c r="F381" s="141"/>
    </row>
    <row r="382" spans="2:6" hidden="1" outlineLevel="1" x14ac:dyDescent="0.15">
      <c r="B382" s="101">
        <v>44939</v>
      </c>
      <c r="C382" s="125">
        <v>26110.2</v>
      </c>
      <c r="E382" s="141"/>
      <c r="F382" s="141"/>
    </row>
    <row r="383" spans="2:6" hidden="1" outlineLevel="1" x14ac:dyDescent="0.15">
      <c r="B383" s="101">
        <v>44938</v>
      </c>
      <c r="C383" s="125">
        <v>25967.07</v>
      </c>
      <c r="E383" s="141"/>
      <c r="F383" s="141"/>
    </row>
    <row r="384" spans="2:6" hidden="1" outlineLevel="1" x14ac:dyDescent="0.15">
      <c r="B384" s="101">
        <v>44937</v>
      </c>
      <c r="C384" s="125">
        <v>26021.599999999999</v>
      </c>
      <c r="E384" s="141"/>
      <c r="F384" s="141"/>
    </row>
    <row r="385" spans="2:6" hidden="1" outlineLevel="1" x14ac:dyDescent="0.15">
      <c r="B385" s="101">
        <v>44936</v>
      </c>
      <c r="C385" s="125">
        <v>26048.47</v>
      </c>
      <c r="E385" s="141"/>
      <c r="F385" s="141"/>
    </row>
    <row r="386" spans="2:6" hidden="1" outlineLevel="1" x14ac:dyDescent="0.15">
      <c r="B386" s="101">
        <v>44935</v>
      </c>
      <c r="C386" s="125">
        <v>26320.41</v>
      </c>
      <c r="E386" s="141"/>
      <c r="F386" s="141"/>
    </row>
    <row r="387" spans="2:6" hidden="1" outlineLevel="1" x14ac:dyDescent="0.15">
      <c r="B387" s="101">
        <v>44932</v>
      </c>
      <c r="C387" s="125">
        <v>25968.95</v>
      </c>
      <c r="E387" s="141"/>
      <c r="F387" s="141"/>
    </row>
    <row r="388" spans="2:6" hidden="1" outlineLevel="1" x14ac:dyDescent="0.15">
      <c r="B388" s="101">
        <v>44931</v>
      </c>
      <c r="C388" s="125">
        <v>26161.85</v>
      </c>
      <c r="E388" s="141"/>
      <c r="F388" s="141"/>
    </row>
    <row r="389" spans="2:6" hidden="1" outlineLevel="1" x14ac:dyDescent="0.15">
      <c r="B389" s="101">
        <v>44930</v>
      </c>
      <c r="C389" s="125">
        <v>26235.73</v>
      </c>
      <c r="E389" s="141"/>
      <c r="F389" s="141"/>
    </row>
    <row r="390" spans="2:6" hidden="1" outlineLevel="1" x14ac:dyDescent="0.15">
      <c r="B390" s="101">
        <v>44929</v>
      </c>
      <c r="C390" s="125">
        <v>26511.45</v>
      </c>
      <c r="E390" s="141"/>
      <c r="F390" s="141"/>
    </row>
    <row r="391" spans="2:6" hidden="1" outlineLevel="1" x14ac:dyDescent="0.15">
      <c r="B391" s="101">
        <v>44928</v>
      </c>
      <c r="C391" s="125">
        <v>26460.41</v>
      </c>
      <c r="E391" s="141"/>
      <c r="F391" s="141"/>
    </row>
    <row r="392" spans="2:6" hidden="1" outlineLevel="1" x14ac:dyDescent="0.15">
      <c r="B392" s="101">
        <v>44925</v>
      </c>
      <c r="C392" s="125">
        <v>26326.37</v>
      </c>
      <c r="E392" s="141"/>
      <c r="F392" s="141"/>
    </row>
    <row r="393" spans="2:6" hidden="1" outlineLevel="1" x14ac:dyDescent="0.15">
      <c r="B393" s="101">
        <v>44924</v>
      </c>
      <c r="C393" s="125">
        <v>26451.02</v>
      </c>
      <c r="E393" s="141"/>
      <c r="F393" s="141"/>
    </row>
    <row r="394" spans="2:6" hidden="1" outlineLevel="1" x14ac:dyDescent="0.15">
      <c r="B394" s="101">
        <v>44923</v>
      </c>
      <c r="C394" s="125">
        <v>26351.4</v>
      </c>
      <c r="E394" s="141"/>
      <c r="F394" s="141"/>
    </row>
    <row r="395" spans="2:6" hidden="1" outlineLevel="1" x14ac:dyDescent="0.15">
      <c r="B395" s="101">
        <v>44922</v>
      </c>
      <c r="C395" s="125">
        <v>26365.65</v>
      </c>
      <c r="E395" s="141"/>
      <c r="F395" s="141"/>
    </row>
    <row r="396" spans="2:6" hidden="1" outlineLevel="1" x14ac:dyDescent="0.15">
      <c r="B396" s="101">
        <v>44921</v>
      </c>
      <c r="C396" s="125">
        <v>26194.52</v>
      </c>
      <c r="E396" s="141"/>
      <c r="F396" s="141"/>
    </row>
    <row r="397" spans="2:6" hidden="1" outlineLevel="1" x14ac:dyDescent="0.15">
      <c r="B397" s="101">
        <v>44918</v>
      </c>
      <c r="C397" s="125">
        <v>25892.35</v>
      </c>
      <c r="E397" s="141"/>
      <c r="F397" s="141"/>
    </row>
    <row r="398" spans="2:6" hidden="1" outlineLevel="1" x14ac:dyDescent="0.15">
      <c r="B398" s="101">
        <v>44917</v>
      </c>
      <c r="C398" s="125">
        <v>26358.44</v>
      </c>
      <c r="E398" s="141"/>
      <c r="F398" s="141"/>
    </row>
    <row r="399" spans="2:6" hidden="1" outlineLevel="1" x14ac:dyDescent="0.15">
      <c r="B399" s="101">
        <v>44916</v>
      </c>
      <c r="C399" s="125">
        <v>26462.77</v>
      </c>
      <c r="E399" s="141"/>
      <c r="F399" s="141"/>
    </row>
    <row r="400" spans="2:6" hidden="1" outlineLevel="1" x14ac:dyDescent="0.15">
      <c r="B400" s="101">
        <v>44915</v>
      </c>
      <c r="C400" s="125">
        <v>26733.51</v>
      </c>
      <c r="E400" s="141"/>
      <c r="F400" s="141"/>
    </row>
    <row r="401" spans="2:6" hidden="1" outlineLevel="1" x14ac:dyDescent="0.15">
      <c r="B401" s="101">
        <v>44914</v>
      </c>
      <c r="C401" s="125">
        <v>26784.68</v>
      </c>
      <c r="E401" s="141"/>
      <c r="F401" s="141"/>
    </row>
    <row r="402" spans="2:6" hidden="1" outlineLevel="1" x14ac:dyDescent="0.15">
      <c r="B402" s="101">
        <v>44911</v>
      </c>
      <c r="C402" s="125">
        <v>26564.46</v>
      </c>
      <c r="E402" s="141"/>
      <c r="F402" s="141"/>
    </row>
    <row r="403" spans="2:6" hidden="1" outlineLevel="1" x14ac:dyDescent="0.15">
      <c r="B403" s="101">
        <v>44910</v>
      </c>
      <c r="C403" s="125">
        <v>26776.560000000001</v>
      </c>
      <c r="E403" s="141"/>
      <c r="F403" s="141"/>
    </row>
    <row r="404" spans="2:6" hidden="1" outlineLevel="1" x14ac:dyDescent="0.15">
      <c r="B404" s="101">
        <v>44909</v>
      </c>
      <c r="C404" s="125">
        <v>27133.4</v>
      </c>
      <c r="E404" s="141"/>
      <c r="F404" s="141"/>
    </row>
    <row r="405" spans="2:6" hidden="1" outlineLevel="1" x14ac:dyDescent="0.15">
      <c r="B405" s="101">
        <v>44908</v>
      </c>
      <c r="C405" s="125">
        <v>27057.35</v>
      </c>
      <c r="E405" s="141"/>
      <c r="F405" s="141"/>
    </row>
    <row r="406" spans="2:6" hidden="1" outlineLevel="1" x14ac:dyDescent="0.15">
      <c r="B406" s="101">
        <v>44907</v>
      </c>
      <c r="C406" s="125">
        <v>26896.21</v>
      </c>
      <c r="E406" s="141"/>
      <c r="F406" s="141"/>
    </row>
    <row r="407" spans="2:6" hidden="1" outlineLevel="1" x14ac:dyDescent="0.15">
      <c r="B407" s="101">
        <v>44904</v>
      </c>
      <c r="C407" s="125">
        <v>26895.35</v>
      </c>
      <c r="E407" s="141"/>
      <c r="F407" s="141"/>
    </row>
    <row r="408" spans="2:6" hidden="1" outlineLevel="1" x14ac:dyDescent="0.15">
      <c r="B408" s="101">
        <v>44903</v>
      </c>
      <c r="C408" s="125">
        <v>27059.31</v>
      </c>
      <c r="E408" s="141"/>
      <c r="F408" s="141"/>
    </row>
    <row r="409" spans="2:6" hidden="1" outlineLevel="1" x14ac:dyDescent="0.15">
      <c r="B409" s="101">
        <v>44902</v>
      </c>
      <c r="C409" s="125">
        <v>26988.31</v>
      </c>
      <c r="E409" s="141"/>
      <c r="F409" s="141"/>
    </row>
    <row r="410" spans="2:6" hidden="1" outlineLevel="1" x14ac:dyDescent="0.15">
      <c r="B410" s="101">
        <v>44901</v>
      </c>
      <c r="C410" s="125">
        <v>27107.87</v>
      </c>
      <c r="E410" s="141"/>
      <c r="F410" s="141"/>
    </row>
    <row r="411" spans="2:6" hidden="1" outlineLevel="1" x14ac:dyDescent="0.15">
      <c r="B411" s="101">
        <v>44900</v>
      </c>
      <c r="C411" s="125">
        <v>27192.639999999999</v>
      </c>
      <c r="E411" s="141"/>
      <c r="F411" s="141"/>
    </row>
    <row r="412" spans="2:6" hidden="1" outlineLevel="1" x14ac:dyDescent="0.15">
      <c r="B412" s="101">
        <v>44897</v>
      </c>
      <c r="C412" s="125">
        <v>27185.439999999999</v>
      </c>
      <c r="E412" s="141"/>
      <c r="F412" s="141"/>
    </row>
    <row r="413" spans="2:6" hidden="1" outlineLevel="1" x14ac:dyDescent="0.15">
      <c r="B413" s="101">
        <v>44896</v>
      </c>
      <c r="C413" s="125">
        <v>27354.74</v>
      </c>
      <c r="E413" s="141"/>
      <c r="F413" s="141"/>
    </row>
    <row r="414" spans="2:6" hidden="1" outlineLevel="1" x14ac:dyDescent="0.15">
      <c r="B414" s="101">
        <v>44895</v>
      </c>
      <c r="C414" s="125">
        <v>27276.01</v>
      </c>
      <c r="E414" s="141"/>
      <c r="F414" s="141"/>
    </row>
    <row r="415" spans="2:6" hidden="1" outlineLevel="1" x14ac:dyDescent="0.15">
      <c r="B415" s="101">
        <v>44894</v>
      </c>
      <c r="C415" s="125">
        <v>27071.98</v>
      </c>
      <c r="E415" s="141"/>
      <c r="F415" s="141"/>
    </row>
    <row r="416" spans="2:6" hidden="1" outlineLevel="1" x14ac:dyDescent="0.15">
      <c r="B416" s="101">
        <v>44893</v>
      </c>
      <c r="C416" s="125">
        <v>26991.599999999999</v>
      </c>
      <c r="E416" s="141"/>
      <c r="F416" s="141"/>
    </row>
    <row r="417" spans="2:6" hidden="1" outlineLevel="1" x14ac:dyDescent="0.15">
      <c r="B417" s="101">
        <v>44890</v>
      </c>
      <c r="C417" s="125">
        <v>26918.89</v>
      </c>
      <c r="E417" s="141"/>
      <c r="F417" s="141"/>
    </row>
    <row r="418" spans="2:6" hidden="1" outlineLevel="1" x14ac:dyDescent="0.15">
      <c r="B418" s="101">
        <v>44889</v>
      </c>
      <c r="C418" s="125">
        <v>26877.24</v>
      </c>
      <c r="E418" s="141"/>
      <c r="F418" s="141"/>
    </row>
    <row r="419" spans="2:6" hidden="1" outlineLevel="1" x14ac:dyDescent="0.15">
      <c r="B419" s="101">
        <v>44888</v>
      </c>
      <c r="C419" s="125">
        <v>26561.89</v>
      </c>
      <c r="E419" s="141"/>
      <c r="F419" s="141"/>
    </row>
    <row r="420" spans="2:6" hidden="1" outlineLevel="1" x14ac:dyDescent="0.15">
      <c r="B420" s="101">
        <v>44887</v>
      </c>
      <c r="C420" s="125">
        <v>26528.400000000001</v>
      </c>
      <c r="E420" s="141"/>
      <c r="F420" s="141"/>
    </row>
    <row r="421" spans="2:6" hidden="1" outlineLevel="1" x14ac:dyDescent="0.15">
      <c r="B421" s="101">
        <v>44886</v>
      </c>
      <c r="C421" s="125">
        <v>26405.9</v>
      </c>
      <c r="E421" s="141"/>
      <c r="F421" s="141"/>
    </row>
    <row r="422" spans="2:6" hidden="1" outlineLevel="1" x14ac:dyDescent="0.15">
      <c r="B422" s="101">
        <v>44883</v>
      </c>
      <c r="C422" s="125">
        <v>26620.61</v>
      </c>
      <c r="E422" s="141"/>
      <c r="F422" s="141"/>
    </row>
    <row r="423" spans="2:6" hidden="1" outlineLevel="1" x14ac:dyDescent="0.15">
      <c r="B423" s="101">
        <v>44882</v>
      </c>
      <c r="C423" s="125">
        <v>26673.32</v>
      </c>
      <c r="E423" s="141"/>
      <c r="F423" s="141"/>
    </row>
    <row r="424" spans="2:6" hidden="1" outlineLevel="1" x14ac:dyDescent="0.15">
      <c r="B424" s="101">
        <v>44881</v>
      </c>
      <c r="C424" s="125">
        <v>26768.95</v>
      </c>
      <c r="E424" s="141"/>
      <c r="F424" s="141"/>
    </row>
    <row r="425" spans="2:6" hidden="1" outlineLevel="1" x14ac:dyDescent="0.15">
      <c r="B425" s="101">
        <v>44880</v>
      </c>
      <c r="C425" s="125">
        <v>26759.85</v>
      </c>
      <c r="E425" s="141"/>
      <c r="F425" s="141"/>
    </row>
    <row r="426" spans="2:6" hidden="1" outlineLevel="1" x14ac:dyDescent="0.15">
      <c r="B426" s="101">
        <v>44879</v>
      </c>
      <c r="C426" s="125">
        <v>26651.93</v>
      </c>
      <c r="E426" s="141"/>
      <c r="F426" s="141"/>
    </row>
    <row r="427" spans="2:6" hidden="1" outlineLevel="1" x14ac:dyDescent="0.15">
      <c r="B427" s="101">
        <v>44876</v>
      </c>
      <c r="C427" s="125">
        <v>26681.759999999998</v>
      </c>
      <c r="E427" s="141"/>
      <c r="F427" s="141"/>
    </row>
    <row r="428" spans="2:6" hidden="1" outlineLevel="1" x14ac:dyDescent="0.15">
      <c r="B428" s="101">
        <v>44875</v>
      </c>
      <c r="C428" s="125">
        <v>26214.31</v>
      </c>
      <c r="E428" s="141"/>
      <c r="F428" s="141"/>
    </row>
    <row r="429" spans="2:6" hidden="1" outlineLevel="1" x14ac:dyDescent="0.15">
      <c r="B429" s="101">
        <v>44874</v>
      </c>
      <c r="C429" s="125">
        <v>26401.58</v>
      </c>
      <c r="E429" s="141"/>
      <c r="F429" s="141"/>
    </row>
    <row r="430" spans="2:6" hidden="1" outlineLevel="1" x14ac:dyDescent="0.15">
      <c r="B430" s="101">
        <v>44872</v>
      </c>
      <c r="C430" s="125">
        <v>26464.44</v>
      </c>
      <c r="E430" s="141"/>
      <c r="F430" s="141"/>
    </row>
    <row r="431" spans="2:6" hidden="1" outlineLevel="1" x14ac:dyDescent="0.15">
      <c r="B431" s="101">
        <v>44869</v>
      </c>
      <c r="C431" s="125">
        <v>26339.9</v>
      </c>
      <c r="E431" s="141"/>
      <c r="F431" s="141"/>
    </row>
    <row r="432" spans="2:6" hidden="1" outlineLevel="1" x14ac:dyDescent="0.15">
      <c r="B432" s="101">
        <v>44868</v>
      </c>
      <c r="C432" s="125">
        <v>26246.23</v>
      </c>
      <c r="E432" s="141"/>
      <c r="F432" s="141"/>
    </row>
    <row r="433" spans="2:6" hidden="1" outlineLevel="1" x14ac:dyDescent="0.15">
      <c r="B433" s="101">
        <v>44867</v>
      </c>
      <c r="C433" s="125">
        <v>26290.01</v>
      </c>
      <c r="E433" s="141"/>
      <c r="F433" s="141"/>
    </row>
    <row r="434" spans="2:6" hidden="1" outlineLevel="1" x14ac:dyDescent="0.15">
      <c r="B434" s="101">
        <v>44866</v>
      </c>
      <c r="C434" s="125">
        <v>26380.97</v>
      </c>
      <c r="E434" s="141"/>
      <c r="F434" s="141"/>
    </row>
    <row r="435" spans="2:6" hidden="1" outlineLevel="1" x14ac:dyDescent="0.15">
      <c r="B435" s="101">
        <v>44865</v>
      </c>
      <c r="C435" s="125">
        <v>26182.36</v>
      </c>
      <c r="E435" s="141"/>
      <c r="F435" s="141"/>
    </row>
    <row r="436" spans="2:6" hidden="1" outlineLevel="1" x14ac:dyDescent="0.15">
      <c r="B436" s="101">
        <v>44862</v>
      </c>
      <c r="C436" s="125">
        <v>25852.720000000001</v>
      </c>
      <c r="E436" s="141"/>
      <c r="F436" s="141"/>
    </row>
    <row r="437" spans="2:6" hidden="1" outlineLevel="1" x14ac:dyDescent="0.15">
      <c r="B437" s="101">
        <v>44861</v>
      </c>
      <c r="C437" s="125">
        <v>25780.23</v>
      </c>
      <c r="E437" s="141"/>
      <c r="F437" s="141"/>
    </row>
    <row r="438" spans="2:6" hidden="1" outlineLevel="1" x14ac:dyDescent="0.15">
      <c r="B438" s="101">
        <v>44859</v>
      </c>
      <c r="C438" s="125">
        <v>25643.34</v>
      </c>
      <c r="E438" s="141"/>
      <c r="F438" s="141"/>
    </row>
    <row r="439" spans="2:6" hidden="1" outlineLevel="1" x14ac:dyDescent="0.15">
      <c r="B439" s="101">
        <v>44858</v>
      </c>
      <c r="C439" s="125">
        <v>25751.45</v>
      </c>
      <c r="E439" s="141"/>
      <c r="F439" s="141"/>
    </row>
    <row r="440" spans="2:6" hidden="1" outlineLevel="1" x14ac:dyDescent="0.15">
      <c r="B440" s="101">
        <v>44855</v>
      </c>
      <c r="C440" s="125">
        <v>25527.09</v>
      </c>
      <c r="E440" s="141"/>
      <c r="F440" s="141"/>
    </row>
    <row r="441" spans="2:6" hidden="1" outlineLevel="1" x14ac:dyDescent="0.15">
      <c r="B441" s="101">
        <v>44854</v>
      </c>
      <c r="C441" s="125">
        <v>25509.14</v>
      </c>
      <c r="E441" s="141"/>
      <c r="F441" s="141"/>
    </row>
    <row r="442" spans="2:6" hidden="1" outlineLevel="1" x14ac:dyDescent="0.15">
      <c r="B442" s="101">
        <v>44853</v>
      </c>
      <c r="C442" s="125">
        <v>25434.1</v>
      </c>
      <c r="E442" s="141"/>
      <c r="F442" s="141"/>
    </row>
    <row r="443" spans="2:6" hidden="1" outlineLevel="1" x14ac:dyDescent="0.15">
      <c r="B443" s="101">
        <v>44852</v>
      </c>
      <c r="C443" s="125">
        <v>25393.89</v>
      </c>
      <c r="E443" s="141"/>
      <c r="F443" s="141"/>
    </row>
    <row r="444" spans="2:6" hidden="1" outlineLevel="1" x14ac:dyDescent="0.15">
      <c r="B444" s="101">
        <v>44851</v>
      </c>
      <c r="C444" s="125">
        <v>25139.55</v>
      </c>
      <c r="E444" s="141"/>
      <c r="F444" s="141"/>
    </row>
    <row r="445" spans="2:6" hidden="1" outlineLevel="1" x14ac:dyDescent="0.15">
      <c r="B445" s="101">
        <v>44848</v>
      </c>
      <c r="C445" s="125">
        <v>24953.75</v>
      </c>
      <c r="E445" s="141"/>
      <c r="F445" s="141"/>
    </row>
    <row r="446" spans="2:6" hidden="1" outlineLevel="1" x14ac:dyDescent="0.15">
      <c r="B446" s="101">
        <v>44847</v>
      </c>
      <c r="C446" s="125">
        <v>24704.95</v>
      </c>
      <c r="E446" s="141"/>
      <c r="F446" s="141"/>
    </row>
    <row r="447" spans="2:6" hidden="1" outlineLevel="1" x14ac:dyDescent="0.15">
      <c r="B447" s="101">
        <v>44846</v>
      </c>
      <c r="C447" s="125">
        <v>24863.58</v>
      </c>
      <c r="E447" s="141"/>
      <c r="F447" s="141"/>
    </row>
    <row r="448" spans="2:6" hidden="1" outlineLevel="1" x14ac:dyDescent="0.15">
      <c r="B448" s="101">
        <v>44845</v>
      </c>
      <c r="C448" s="125">
        <v>24660.2</v>
      </c>
      <c r="E448" s="141"/>
      <c r="F448" s="141"/>
    </row>
    <row r="449" spans="2:6" hidden="1" outlineLevel="1" x14ac:dyDescent="0.15">
      <c r="B449" s="101">
        <v>44844</v>
      </c>
      <c r="C449" s="125">
        <v>25034.02</v>
      </c>
      <c r="E449" s="141"/>
      <c r="F449" s="141"/>
    </row>
    <row r="450" spans="2:6" hidden="1" outlineLevel="1" x14ac:dyDescent="0.15">
      <c r="B450" s="101">
        <v>44841</v>
      </c>
      <c r="C450" s="125">
        <v>25140.99</v>
      </c>
      <c r="E450" s="141"/>
      <c r="F450" s="141"/>
    </row>
    <row r="451" spans="2:6" hidden="1" outlineLevel="1" x14ac:dyDescent="0.15">
      <c r="B451" s="101">
        <v>44840</v>
      </c>
      <c r="C451" s="125">
        <v>25165.85</v>
      </c>
      <c r="E451" s="141"/>
      <c r="F451" s="141"/>
    </row>
    <row r="452" spans="2:6" hidden="1" outlineLevel="1" x14ac:dyDescent="0.15">
      <c r="B452" s="101">
        <v>44838</v>
      </c>
      <c r="C452" s="125">
        <v>25082.39</v>
      </c>
      <c r="E452" s="141"/>
      <c r="F452" s="141"/>
    </row>
    <row r="453" spans="2:6" hidden="1" outlineLevel="1" x14ac:dyDescent="0.15">
      <c r="B453" s="101">
        <v>44837</v>
      </c>
      <c r="C453" s="125">
        <v>24520.52</v>
      </c>
      <c r="E453" s="141"/>
      <c r="F453" s="141"/>
    </row>
    <row r="454" spans="2:6" hidden="1" outlineLevel="1" x14ac:dyDescent="0.15">
      <c r="B454" s="101">
        <v>44834</v>
      </c>
      <c r="C454" s="125">
        <v>24821.08</v>
      </c>
      <c r="E454" s="141"/>
      <c r="F454" s="141"/>
    </row>
    <row r="455" spans="2:6" hidden="1" outlineLevel="1" x14ac:dyDescent="0.15">
      <c r="B455" s="101">
        <v>44833</v>
      </c>
      <c r="C455" s="125">
        <v>24419.98</v>
      </c>
      <c r="E455" s="141"/>
      <c r="F455" s="141"/>
    </row>
    <row r="456" spans="2:6" hidden="1" outlineLevel="1" x14ac:dyDescent="0.15">
      <c r="B456" s="101">
        <v>44832</v>
      </c>
      <c r="C456" s="125">
        <v>24478.82</v>
      </c>
      <c r="E456" s="141"/>
      <c r="F456" s="141"/>
    </row>
    <row r="457" spans="2:6" hidden="1" outlineLevel="1" x14ac:dyDescent="0.15">
      <c r="B457" s="101">
        <v>44831</v>
      </c>
      <c r="C457" s="125">
        <v>24694.83</v>
      </c>
      <c r="E457" s="141"/>
      <c r="F457" s="141"/>
    </row>
    <row r="458" spans="2:6" hidden="1" outlineLevel="1" x14ac:dyDescent="0.15">
      <c r="B458" s="101">
        <v>44830</v>
      </c>
      <c r="C458" s="125">
        <v>24707.77</v>
      </c>
      <c r="E458" s="141"/>
      <c r="F458" s="141"/>
    </row>
    <row r="459" spans="2:6" hidden="1" outlineLevel="1" x14ac:dyDescent="0.15">
      <c r="B459" s="101">
        <v>44827</v>
      </c>
      <c r="C459" s="125">
        <v>25159.42</v>
      </c>
      <c r="E459" s="141"/>
      <c r="F459" s="141"/>
    </row>
    <row r="460" spans="2:6" hidden="1" outlineLevel="1" x14ac:dyDescent="0.15">
      <c r="B460" s="101">
        <v>44826</v>
      </c>
      <c r="C460" s="125">
        <v>25598.6</v>
      </c>
      <c r="E460" s="141"/>
      <c r="F460" s="141"/>
    </row>
    <row r="461" spans="2:6" hidden="1" outlineLevel="1" x14ac:dyDescent="0.15">
      <c r="B461" s="101">
        <v>44825</v>
      </c>
      <c r="C461" s="125">
        <v>25727.13</v>
      </c>
      <c r="E461" s="141"/>
      <c r="F461" s="141"/>
    </row>
    <row r="462" spans="2:6" hidden="1" outlineLevel="1" x14ac:dyDescent="0.15">
      <c r="B462" s="101">
        <v>44824</v>
      </c>
      <c r="C462" s="125">
        <v>25869.27</v>
      </c>
      <c r="E462" s="141"/>
      <c r="F462" s="141"/>
    </row>
    <row r="463" spans="2:6" hidden="1" outlineLevel="1" x14ac:dyDescent="0.15">
      <c r="B463" s="101">
        <v>44823</v>
      </c>
      <c r="C463" s="125">
        <v>25587.63</v>
      </c>
      <c r="E463" s="141"/>
      <c r="F463" s="141"/>
    </row>
    <row r="464" spans="2:6" hidden="1" outlineLevel="1" x14ac:dyDescent="0.15">
      <c r="B464" s="101">
        <v>44820</v>
      </c>
      <c r="C464" s="125">
        <v>25454.93</v>
      </c>
      <c r="E464" s="141"/>
      <c r="F464" s="141"/>
    </row>
    <row r="465" spans="2:6" hidden="1" outlineLevel="1" x14ac:dyDescent="0.15">
      <c r="B465" s="101">
        <v>44819</v>
      </c>
      <c r="C465" s="125">
        <v>25958.06</v>
      </c>
      <c r="E465" s="141"/>
      <c r="F465" s="141"/>
    </row>
    <row r="466" spans="2:6" hidden="1" outlineLevel="1" x14ac:dyDescent="0.15">
      <c r="B466" s="101">
        <v>44818</v>
      </c>
      <c r="C466" s="125">
        <v>26141.52</v>
      </c>
      <c r="E466" s="141"/>
      <c r="F466" s="141"/>
    </row>
    <row r="467" spans="2:6" hidden="1" outlineLevel="1" x14ac:dyDescent="0.15">
      <c r="B467" s="101">
        <v>44817</v>
      </c>
      <c r="C467" s="125">
        <v>26237.81</v>
      </c>
      <c r="E467" s="141"/>
      <c r="F467" s="141"/>
    </row>
    <row r="468" spans="2:6" hidden="1" outlineLevel="1" x14ac:dyDescent="0.15">
      <c r="B468" s="101">
        <v>44816</v>
      </c>
      <c r="C468" s="125">
        <v>26043.69</v>
      </c>
      <c r="E468" s="141"/>
      <c r="F468" s="141"/>
    </row>
    <row r="469" spans="2:6" hidden="1" outlineLevel="1" x14ac:dyDescent="0.15">
      <c r="B469" s="101">
        <v>44813</v>
      </c>
      <c r="C469" s="125">
        <v>25894.12</v>
      </c>
      <c r="E469" s="141"/>
      <c r="F469" s="141"/>
    </row>
    <row r="470" spans="2:6" hidden="1" outlineLevel="1" x14ac:dyDescent="0.15">
      <c r="B470" s="101">
        <v>44812</v>
      </c>
      <c r="C470" s="125">
        <v>25843.86</v>
      </c>
      <c r="E470" s="141"/>
      <c r="F470" s="141"/>
    </row>
    <row r="471" spans="2:6" hidden="1" outlineLevel="1" x14ac:dyDescent="0.15">
      <c r="B471" s="101">
        <v>44811</v>
      </c>
      <c r="C471" s="125">
        <v>25590.73</v>
      </c>
      <c r="E471" s="141"/>
      <c r="F471" s="141"/>
    </row>
    <row r="472" spans="2:6" hidden="1" outlineLevel="1" x14ac:dyDescent="0.15">
      <c r="B472" s="101">
        <v>44810</v>
      </c>
      <c r="C472" s="125">
        <v>25636.01</v>
      </c>
      <c r="E472" s="141"/>
      <c r="F472" s="141"/>
    </row>
    <row r="473" spans="2:6" hidden="1" outlineLevel="1" x14ac:dyDescent="0.15">
      <c r="B473" s="101">
        <v>44809</v>
      </c>
      <c r="C473" s="125">
        <v>25650.83</v>
      </c>
      <c r="E473" s="141"/>
      <c r="F473" s="141"/>
    </row>
    <row r="474" spans="2:6" hidden="1" outlineLevel="1" x14ac:dyDescent="0.15">
      <c r="B474" s="101">
        <v>44806</v>
      </c>
      <c r="C474" s="125">
        <v>25467.41</v>
      </c>
      <c r="E474" s="141"/>
      <c r="F474" s="141"/>
    </row>
    <row r="475" spans="2:6" hidden="1" outlineLevel="1" x14ac:dyDescent="0.15">
      <c r="B475" s="101">
        <v>44805</v>
      </c>
      <c r="C475" s="125">
        <v>25472.240000000002</v>
      </c>
      <c r="E475" s="141"/>
      <c r="F475" s="141"/>
    </row>
    <row r="476" spans="2:6" hidden="1" outlineLevel="1" x14ac:dyDescent="0.15">
      <c r="B476" s="101">
        <v>44803</v>
      </c>
      <c r="C476" s="125">
        <v>25786.59</v>
      </c>
      <c r="E476" s="141"/>
      <c r="F476" s="141"/>
    </row>
    <row r="477" spans="2:6" hidden="1" outlineLevel="1" x14ac:dyDescent="0.15">
      <c r="B477" s="101">
        <v>44802</v>
      </c>
      <c r="C477" s="125">
        <v>25138.400000000001</v>
      </c>
      <c r="E477" s="141"/>
      <c r="F477" s="141"/>
    </row>
    <row r="478" spans="2:6" hidden="1" outlineLevel="1" x14ac:dyDescent="0.15">
      <c r="B478" s="101">
        <v>44799</v>
      </c>
      <c r="C478" s="125">
        <v>25495.64</v>
      </c>
      <c r="E478" s="141"/>
      <c r="F478" s="141"/>
    </row>
    <row r="479" spans="2:6" hidden="1" outlineLevel="1" x14ac:dyDescent="0.15">
      <c r="B479" s="101">
        <v>44798</v>
      </c>
      <c r="C479" s="125">
        <v>25442.67</v>
      </c>
      <c r="E479" s="141"/>
      <c r="F479" s="141"/>
    </row>
    <row r="480" spans="2:6" hidden="1" outlineLevel="1" x14ac:dyDescent="0.15">
      <c r="B480" s="101">
        <v>44797</v>
      </c>
      <c r="C480" s="125">
        <v>25562.51</v>
      </c>
      <c r="E480" s="141"/>
      <c r="F480" s="141"/>
    </row>
    <row r="481" spans="2:6" hidden="1" outlineLevel="1" x14ac:dyDescent="0.15">
      <c r="B481" s="101">
        <v>44796</v>
      </c>
      <c r="C481" s="125">
        <v>25522.62</v>
      </c>
      <c r="E481" s="141"/>
      <c r="F481" s="141"/>
    </row>
    <row r="482" spans="2:6" hidden="1" outlineLevel="1" x14ac:dyDescent="0.15">
      <c r="B482" s="101">
        <v>44795</v>
      </c>
      <c r="C482" s="125">
        <v>25396.57</v>
      </c>
      <c r="E482" s="141"/>
      <c r="F482" s="141"/>
    </row>
    <row r="483" spans="2:6" hidden="1" outlineLevel="1" x14ac:dyDescent="0.15">
      <c r="B483" s="101">
        <v>44792</v>
      </c>
      <c r="C483" s="125">
        <v>25785.4</v>
      </c>
      <c r="E483" s="141"/>
      <c r="F483" s="141"/>
    </row>
    <row r="484" spans="2:6" hidden="1" outlineLevel="1" x14ac:dyDescent="0.15">
      <c r="B484" s="101">
        <v>44791</v>
      </c>
      <c r="C484" s="125">
        <v>26067.35</v>
      </c>
      <c r="E484" s="141"/>
      <c r="F484" s="141"/>
    </row>
    <row r="485" spans="2:6" hidden="1" outlineLevel="1" x14ac:dyDescent="0.15">
      <c r="B485" s="101">
        <v>44790</v>
      </c>
      <c r="C485" s="125">
        <v>26035.87</v>
      </c>
      <c r="E485" s="141"/>
      <c r="F485" s="141"/>
    </row>
    <row r="486" spans="2:6" hidden="1" outlineLevel="1" x14ac:dyDescent="0.15">
      <c r="B486" s="101">
        <v>44789</v>
      </c>
      <c r="C486" s="125">
        <v>25863.24</v>
      </c>
      <c r="E486" s="141"/>
      <c r="F486" s="141"/>
    </row>
    <row r="487" spans="2:6" hidden="1" outlineLevel="1" x14ac:dyDescent="0.15">
      <c r="B487" s="101">
        <v>44785</v>
      </c>
      <c r="C487" s="125">
        <v>25678.83</v>
      </c>
      <c r="E487" s="141"/>
      <c r="F487" s="141"/>
    </row>
    <row r="488" spans="2:6" hidden="1" outlineLevel="1" x14ac:dyDescent="0.15">
      <c r="B488" s="101">
        <v>44784</v>
      </c>
      <c r="C488" s="125">
        <v>25621.06</v>
      </c>
      <c r="E488" s="141"/>
      <c r="F488" s="141"/>
    </row>
    <row r="489" spans="2:6" hidden="1" outlineLevel="1" x14ac:dyDescent="0.15">
      <c r="B489" s="101">
        <v>44783</v>
      </c>
      <c r="C489" s="125">
        <v>25431.919999999998</v>
      </c>
      <c r="E489" s="141"/>
      <c r="F489" s="141"/>
    </row>
    <row r="490" spans="2:6" hidden="1" outlineLevel="1" x14ac:dyDescent="0.15">
      <c r="B490" s="101">
        <v>44781</v>
      </c>
      <c r="C490" s="125">
        <v>25413.25</v>
      </c>
      <c r="E490" s="141"/>
      <c r="F490" s="141"/>
    </row>
    <row r="491" spans="2:6" hidden="1" outlineLevel="1" x14ac:dyDescent="0.15">
      <c r="B491" s="101">
        <v>44778</v>
      </c>
      <c r="C491" s="125">
        <v>25215.93</v>
      </c>
      <c r="E491" s="141"/>
      <c r="F491" s="141"/>
    </row>
    <row r="492" spans="2:6" hidden="1" outlineLevel="1" x14ac:dyDescent="0.15">
      <c r="B492" s="101">
        <v>44777</v>
      </c>
      <c r="C492" s="125">
        <v>25193.41</v>
      </c>
      <c r="E492" s="141"/>
      <c r="F492" s="141"/>
    </row>
    <row r="493" spans="2:6" hidden="1" outlineLevel="1" x14ac:dyDescent="0.15">
      <c r="B493" s="101">
        <v>44776</v>
      </c>
      <c r="C493" s="125">
        <v>25202.38</v>
      </c>
      <c r="E493" s="141"/>
      <c r="F493" s="141"/>
    </row>
    <row r="494" spans="2:6" hidden="1" outlineLevel="1" x14ac:dyDescent="0.15">
      <c r="B494" s="101">
        <v>44775</v>
      </c>
      <c r="C494" s="125">
        <v>25137.82</v>
      </c>
      <c r="E494" s="141"/>
      <c r="F494" s="141"/>
    </row>
    <row r="495" spans="2:6" hidden="1" outlineLevel="1" x14ac:dyDescent="0.15">
      <c r="B495" s="101">
        <v>44774</v>
      </c>
      <c r="C495" s="125">
        <v>25128.57</v>
      </c>
      <c r="E495" s="141"/>
      <c r="F495" s="141"/>
    </row>
    <row r="496" spans="2:6" hidden="1" outlineLevel="1" x14ac:dyDescent="0.15">
      <c r="B496" s="101">
        <v>44771</v>
      </c>
      <c r="C496" s="125">
        <v>24862.7</v>
      </c>
      <c r="E496" s="141"/>
      <c r="F496" s="141"/>
    </row>
    <row r="497" spans="2:6" hidden="1" outlineLevel="1" x14ac:dyDescent="0.15">
      <c r="B497" s="101">
        <v>44770</v>
      </c>
      <c r="C497" s="125">
        <v>24531.38</v>
      </c>
      <c r="E497" s="141"/>
      <c r="F497" s="141"/>
    </row>
    <row r="498" spans="2:6" hidden="1" outlineLevel="1" x14ac:dyDescent="0.15">
      <c r="B498" s="101">
        <v>44769</v>
      </c>
      <c r="C498" s="125">
        <v>24114.41</v>
      </c>
      <c r="E498" s="141"/>
      <c r="F498" s="141"/>
    </row>
    <row r="499" spans="2:6" hidden="1" outlineLevel="1" x14ac:dyDescent="0.15">
      <c r="B499" s="101">
        <v>44768</v>
      </c>
      <c r="C499" s="125">
        <v>23882.26</v>
      </c>
      <c r="E499" s="141"/>
      <c r="F499" s="141"/>
    </row>
    <row r="500" spans="2:6" hidden="1" outlineLevel="1" x14ac:dyDescent="0.15">
      <c r="B500" s="101">
        <v>44767</v>
      </c>
      <c r="C500" s="125">
        <v>24095.46</v>
      </c>
      <c r="E500" s="141"/>
      <c r="F500" s="141"/>
    </row>
    <row r="501" spans="2:6" hidden="1" outlineLevel="1" x14ac:dyDescent="0.15">
      <c r="B501" s="101">
        <v>44764</v>
      </c>
      <c r="C501" s="125">
        <v>24223.56</v>
      </c>
      <c r="E501" s="141"/>
      <c r="F501" s="141"/>
    </row>
    <row r="502" spans="2:6" hidden="1" outlineLevel="1" x14ac:dyDescent="0.15">
      <c r="B502" s="101">
        <v>44763</v>
      </c>
      <c r="C502" s="125">
        <v>24058.17</v>
      </c>
      <c r="E502" s="141"/>
      <c r="F502" s="141"/>
    </row>
    <row r="503" spans="2:6" hidden="1" outlineLevel="1" x14ac:dyDescent="0.15">
      <c r="B503" s="101">
        <v>44762</v>
      </c>
      <c r="C503" s="125">
        <v>23920.880000000001</v>
      </c>
      <c r="E503" s="141"/>
      <c r="F503" s="141"/>
    </row>
    <row r="504" spans="2:6" hidden="1" outlineLevel="1" x14ac:dyDescent="0.15">
      <c r="B504" s="101">
        <v>44761</v>
      </c>
      <c r="C504" s="125">
        <v>23659.85</v>
      </c>
      <c r="E504" s="141"/>
      <c r="F504" s="141"/>
    </row>
    <row r="505" spans="2:6" hidden="1" outlineLevel="1" x14ac:dyDescent="0.15">
      <c r="B505" s="101">
        <v>44760</v>
      </c>
      <c r="C505" s="125">
        <v>23566.52</v>
      </c>
      <c r="E505" s="141"/>
      <c r="F505" s="141"/>
    </row>
    <row r="506" spans="2:6" hidden="1" outlineLevel="1" x14ac:dyDescent="0.15">
      <c r="B506" s="101">
        <v>44757</v>
      </c>
      <c r="C506" s="125">
        <v>23234.52</v>
      </c>
      <c r="E506" s="141"/>
      <c r="F506" s="141"/>
    </row>
    <row r="507" spans="2:6" hidden="1" outlineLevel="1" x14ac:dyDescent="0.15">
      <c r="B507" s="101">
        <v>44756</v>
      </c>
      <c r="C507" s="125">
        <v>23074.52</v>
      </c>
      <c r="E507" s="141"/>
      <c r="F507" s="141"/>
    </row>
    <row r="508" spans="2:6" hidden="1" outlineLevel="1" x14ac:dyDescent="0.15">
      <c r="B508" s="101">
        <v>44755</v>
      </c>
      <c r="C508" s="125">
        <v>23107.47</v>
      </c>
      <c r="E508" s="141"/>
      <c r="F508" s="141"/>
    </row>
    <row r="509" spans="2:6" hidden="1" outlineLevel="1" x14ac:dyDescent="0.15">
      <c r="B509" s="101">
        <v>44754</v>
      </c>
      <c r="C509" s="125">
        <v>23239.9</v>
      </c>
      <c r="E509" s="141"/>
      <c r="F509" s="141"/>
    </row>
    <row r="510" spans="2:6" hidden="1" outlineLevel="1" x14ac:dyDescent="0.15">
      <c r="B510" s="101">
        <v>44753</v>
      </c>
      <c r="C510" s="125">
        <v>23468.14</v>
      </c>
      <c r="E510" s="141"/>
      <c r="F510" s="141"/>
    </row>
    <row r="511" spans="2:6" hidden="1" outlineLevel="1" x14ac:dyDescent="0.15">
      <c r="B511" s="101">
        <v>44750</v>
      </c>
      <c r="C511" s="125">
        <v>23473.61</v>
      </c>
      <c r="E511" s="141"/>
      <c r="F511" s="141"/>
    </row>
    <row r="512" spans="2:6" hidden="1" outlineLevel="1" x14ac:dyDescent="0.15">
      <c r="B512" s="101">
        <v>44749</v>
      </c>
      <c r="C512" s="125">
        <v>23345.61</v>
      </c>
      <c r="E512" s="141"/>
      <c r="F512" s="141"/>
    </row>
    <row r="513" spans="2:6" hidden="1" outlineLevel="1" x14ac:dyDescent="0.15">
      <c r="B513" s="101">
        <v>44748</v>
      </c>
      <c r="C513" s="125">
        <v>23137.7</v>
      </c>
      <c r="E513" s="141"/>
      <c r="F513" s="141"/>
    </row>
    <row r="514" spans="2:6" hidden="1" outlineLevel="1" x14ac:dyDescent="0.15">
      <c r="B514" s="101">
        <v>44747</v>
      </c>
      <c r="C514" s="125">
        <v>22878.720000000001</v>
      </c>
      <c r="E514" s="141"/>
      <c r="F514" s="141"/>
    </row>
    <row r="515" spans="2:6" hidden="1" outlineLevel="1" x14ac:dyDescent="0.15">
      <c r="B515" s="101">
        <v>44746</v>
      </c>
      <c r="C515" s="125">
        <v>22914.2</v>
      </c>
      <c r="E515" s="141"/>
      <c r="F515" s="141"/>
    </row>
    <row r="516" spans="2:6" hidden="1" outlineLevel="1" x14ac:dyDescent="0.15">
      <c r="B516" s="101">
        <v>44743</v>
      </c>
      <c r="C516" s="125">
        <v>22788.18</v>
      </c>
      <c r="E516" s="141"/>
      <c r="F516" s="141"/>
    </row>
    <row r="517" spans="2:6" hidden="1" outlineLevel="1" x14ac:dyDescent="0.15">
      <c r="B517" s="101">
        <v>44742</v>
      </c>
      <c r="C517" s="125">
        <v>22828.93</v>
      </c>
      <c r="E517" s="141"/>
      <c r="F517" s="141"/>
    </row>
    <row r="518" spans="2:6" hidden="1" outlineLevel="1" x14ac:dyDescent="0.15">
      <c r="B518" s="101">
        <v>44741</v>
      </c>
      <c r="C518" s="125">
        <v>22848.35</v>
      </c>
      <c r="E518" s="141"/>
      <c r="F518" s="141"/>
    </row>
    <row r="519" spans="2:6" hidden="1" outlineLevel="1" x14ac:dyDescent="0.15">
      <c r="B519" s="101">
        <v>44740</v>
      </c>
      <c r="C519" s="125">
        <v>22922.240000000002</v>
      </c>
      <c r="E519" s="141"/>
      <c r="F519" s="141"/>
    </row>
    <row r="520" spans="2:6" hidden="1" outlineLevel="1" x14ac:dyDescent="0.15">
      <c r="B520" s="101">
        <v>44739</v>
      </c>
      <c r="C520" s="125">
        <v>22896.02</v>
      </c>
      <c r="E520" s="141"/>
      <c r="F520" s="141"/>
    </row>
    <row r="521" spans="2:6" hidden="1" outlineLevel="1" x14ac:dyDescent="0.15">
      <c r="B521" s="101">
        <v>44736</v>
      </c>
      <c r="C521" s="125">
        <v>22703.95</v>
      </c>
      <c r="E521" s="141"/>
      <c r="F521" s="141"/>
    </row>
    <row r="522" spans="2:6" hidden="1" outlineLevel="1" x14ac:dyDescent="0.15">
      <c r="B522" s="101">
        <v>44735</v>
      </c>
      <c r="C522" s="125">
        <v>22497.71</v>
      </c>
      <c r="E522" s="141"/>
      <c r="F522" s="141"/>
    </row>
    <row r="523" spans="2:6" hidden="1" outlineLevel="1" x14ac:dyDescent="0.15">
      <c r="B523" s="101">
        <v>44734</v>
      </c>
      <c r="C523" s="125">
        <v>22290.46</v>
      </c>
      <c r="E523" s="141"/>
      <c r="F523" s="141"/>
    </row>
    <row r="524" spans="2:6" hidden="1" outlineLevel="1" x14ac:dyDescent="0.15">
      <c r="B524" s="101">
        <v>44733</v>
      </c>
      <c r="C524" s="125">
        <v>22616.52</v>
      </c>
      <c r="E524" s="141"/>
      <c r="F524" s="141"/>
    </row>
    <row r="525" spans="2:6" hidden="1" outlineLevel="1" x14ac:dyDescent="0.15">
      <c r="B525" s="101">
        <v>44732</v>
      </c>
      <c r="C525" s="125">
        <v>22199.11</v>
      </c>
      <c r="E525" s="141"/>
      <c r="F525" s="141"/>
    </row>
    <row r="526" spans="2:6" hidden="1" outlineLevel="1" x14ac:dyDescent="0.15">
      <c r="B526" s="101">
        <v>44729</v>
      </c>
      <c r="C526" s="125">
        <v>22114.97</v>
      </c>
      <c r="E526" s="141"/>
      <c r="F526" s="141"/>
    </row>
    <row r="527" spans="2:6" hidden="1" outlineLevel="1" x14ac:dyDescent="0.15">
      <c r="B527" s="101">
        <v>44728</v>
      </c>
      <c r="C527" s="125">
        <v>22211.98</v>
      </c>
      <c r="E527" s="141"/>
      <c r="F527" s="141"/>
    </row>
    <row r="528" spans="2:6" hidden="1" outlineLevel="1" x14ac:dyDescent="0.15">
      <c r="B528" s="101">
        <v>44727</v>
      </c>
      <c r="C528" s="125">
        <v>22691.46</v>
      </c>
      <c r="E528" s="141"/>
      <c r="F528" s="141"/>
    </row>
    <row r="529" spans="2:6" hidden="1" outlineLevel="1" x14ac:dyDescent="0.15">
      <c r="B529" s="101">
        <v>44726</v>
      </c>
      <c r="C529" s="125">
        <v>22729.97</v>
      </c>
      <c r="E529" s="141"/>
      <c r="F529" s="141"/>
    </row>
    <row r="530" spans="2:6" hidden="1" outlineLevel="1" x14ac:dyDescent="0.15">
      <c r="B530" s="101">
        <v>44725</v>
      </c>
      <c r="C530" s="125">
        <v>22791.119999999999</v>
      </c>
      <c r="E530" s="141"/>
      <c r="F530" s="141"/>
    </row>
    <row r="531" spans="2:6" hidden="1" outlineLevel="1" x14ac:dyDescent="0.15">
      <c r="B531" s="101">
        <v>44722</v>
      </c>
      <c r="C531" s="125">
        <v>23408.59</v>
      </c>
      <c r="E531" s="141"/>
      <c r="F531" s="141"/>
    </row>
    <row r="532" spans="2:6" hidden="1" outlineLevel="1" x14ac:dyDescent="0.15">
      <c r="B532" s="101">
        <v>44721</v>
      </c>
      <c r="C532" s="125">
        <v>23807.84</v>
      </c>
      <c r="E532" s="141"/>
      <c r="F532" s="141"/>
    </row>
    <row r="533" spans="2:6" hidden="1" outlineLevel="1" x14ac:dyDescent="0.15">
      <c r="B533" s="101">
        <v>44720</v>
      </c>
      <c r="C533" s="125">
        <v>23628.32</v>
      </c>
      <c r="E533" s="141"/>
      <c r="F533" s="141"/>
    </row>
    <row r="534" spans="2:6" hidden="1" outlineLevel="1" x14ac:dyDescent="0.15">
      <c r="B534" s="101">
        <v>44719</v>
      </c>
      <c r="C534" s="125">
        <v>23715.1</v>
      </c>
      <c r="E534" s="141"/>
      <c r="F534" s="141"/>
    </row>
    <row r="535" spans="2:6" hidden="1" outlineLevel="1" x14ac:dyDescent="0.15">
      <c r="B535" s="101">
        <v>44718</v>
      </c>
      <c r="C535" s="125">
        <v>23936.44</v>
      </c>
      <c r="E535" s="141"/>
      <c r="F535" s="141"/>
    </row>
    <row r="536" spans="2:6" hidden="1" outlineLevel="1" x14ac:dyDescent="0.15">
      <c r="B536" s="101">
        <v>44715</v>
      </c>
      <c r="C536" s="125">
        <v>23957.71</v>
      </c>
      <c r="E536" s="141"/>
      <c r="F536" s="141"/>
    </row>
    <row r="537" spans="2:6" hidden="1" outlineLevel="1" x14ac:dyDescent="0.15">
      <c r="B537" s="101">
        <v>44714</v>
      </c>
      <c r="C537" s="125">
        <v>24020.89</v>
      </c>
      <c r="E537" s="141"/>
      <c r="F537" s="141"/>
    </row>
    <row r="538" spans="2:6" hidden="1" outlineLevel="1" x14ac:dyDescent="0.15">
      <c r="B538" s="101">
        <v>44713</v>
      </c>
      <c r="C538" s="125">
        <v>23868.85</v>
      </c>
      <c r="E538" s="141"/>
      <c r="F538" s="141"/>
    </row>
    <row r="539" spans="2:6" hidden="1" outlineLevel="1" x14ac:dyDescent="0.15">
      <c r="B539" s="101">
        <v>44712</v>
      </c>
      <c r="C539" s="125">
        <v>23958.1</v>
      </c>
      <c r="E539" s="141"/>
      <c r="F539" s="141"/>
    </row>
    <row r="540" spans="2:6" hidden="1" outlineLevel="1" x14ac:dyDescent="0.15">
      <c r="B540" s="101">
        <v>44711</v>
      </c>
      <c r="C540" s="125">
        <v>24031.25</v>
      </c>
      <c r="E540" s="141"/>
      <c r="F540" s="141"/>
    </row>
    <row r="541" spans="2:6" hidden="1" outlineLevel="1" x14ac:dyDescent="0.15">
      <c r="B541" s="101">
        <v>44708</v>
      </c>
      <c r="C541" s="125">
        <v>23585.61</v>
      </c>
      <c r="E541" s="141"/>
      <c r="F541" s="141"/>
    </row>
    <row r="542" spans="2:6" hidden="1" outlineLevel="1" x14ac:dyDescent="0.15">
      <c r="B542" s="101">
        <v>44707</v>
      </c>
      <c r="C542" s="125">
        <v>23322.66</v>
      </c>
      <c r="E542" s="141"/>
      <c r="F542" s="141"/>
    </row>
    <row r="543" spans="2:6" hidden="1" outlineLevel="1" x14ac:dyDescent="0.15">
      <c r="B543" s="101">
        <v>44706</v>
      </c>
      <c r="C543" s="125">
        <v>23096.63</v>
      </c>
      <c r="E543" s="141"/>
      <c r="F543" s="141"/>
    </row>
    <row r="544" spans="2:6" hidden="1" outlineLevel="1" x14ac:dyDescent="0.15">
      <c r="B544" s="101">
        <v>44705</v>
      </c>
      <c r="C544" s="125">
        <v>23223.25</v>
      </c>
      <c r="E544" s="141"/>
      <c r="F544" s="141"/>
    </row>
    <row r="545" spans="2:6" hidden="1" outlineLevel="1" x14ac:dyDescent="0.15">
      <c r="B545" s="101">
        <v>44704</v>
      </c>
      <c r="C545" s="125">
        <v>23352.22</v>
      </c>
      <c r="E545" s="141"/>
      <c r="F545" s="141"/>
    </row>
    <row r="546" spans="2:6" hidden="1" outlineLevel="1" x14ac:dyDescent="0.15">
      <c r="B546" s="101">
        <v>44701</v>
      </c>
      <c r="C546" s="125">
        <v>23426.36</v>
      </c>
      <c r="E546" s="141"/>
      <c r="F546" s="141"/>
    </row>
    <row r="547" spans="2:6" hidden="1" outlineLevel="1" x14ac:dyDescent="0.15">
      <c r="B547" s="101">
        <v>44700</v>
      </c>
      <c r="C547" s="125">
        <v>22768.49</v>
      </c>
      <c r="E547" s="141"/>
      <c r="F547" s="141"/>
    </row>
    <row r="548" spans="2:6" hidden="1" outlineLevel="1" x14ac:dyDescent="0.15">
      <c r="B548" s="101">
        <v>44699</v>
      </c>
      <c r="C548" s="125">
        <v>23389.07</v>
      </c>
      <c r="E548" s="141"/>
      <c r="F548" s="141"/>
    </row>
    <row r="549" spans="2:6" hidden="1" outlineLevel="1" x14ac:dyDescent="0.15">
      <c r="B549" s="101">
        <v>44698</v>
      </c>
      <c r="C549" s="125">
        <v>23416.46</v>
      </c>
      <c r="E549" s="141"/>
      <c r="F549" s="141"/>
    </row>
    <row r="550" spans="2:6" hidden="1" outlineLevel="1" x14ac:dyDescent="0.15">
      <c r="B550" s="101">
        <v>44697</v>
      </c>
      <c r="C550" s="125">
        <v>22815.88</v>
      </c>
      <c r="E550" s="141"/>
      <c r="F550" s="141"/>
    </row>
    <row r="551" spans="2:6" hidden="1" outlineLevel="1" x14ac:dyDescent="0.15">
      <c r="B551" s="101">
        <v>44694</v>
      </c>
      <c r="C551" s="125">
        <v>22729.279999999999</v>
      </c>
      <c r="E551" s="141"/>
      <c r="F551" s="141"/>
    </row>
    <row r="552" spans="2:6" hidden="1" outlineLevel="1" x14ac:dyDescent="0.15">
      <c r="B552" s="101">
        <v>44693</v>
      </c>
      <c r="C552" s="125">
        <v>22766.52</v>
      </c>
      <c r="E552" s="141"/>
      <c r="F552" s="141"/>
    </row>
    <row r="553" spans="2:6" hidden="1" outlineLevel="1" x14ac:dyDescent="0.15">
      <c r="B553" s="101">
        <v>44692</v>
      </c>
      <c r="C553" s="125">
        <v>23260.85</v>
      </c>
      <c r="E553" s="141"/>
      <c r="F553" s="141"/>
    </row>
    <row r="554" spans="2:6" hidden="1" outlineLevel="1" x14ac:dyDescent="0.15">
      <c r="B554" s="101">
        <v>44691</v>
      </c>
      <c r="C554" s="125">
        <v>23365.81</v>
      </c>
      <c r="E554" s="141"/>
      <c r="F554" s="141"/>
    </row>
    <row r="555" spans="2:6" hidden="1" outlineLevel="1" x14ac:dyDescent="0.15">
      <c r="B555" s="101">
        <v>44690</v>
      </c>
      <c r="C555" s="125">
        <v>23454.71</v>
      </c>
      <c r="E555" s="141"/>
      <c r="F555" s="141"/>
    </row>
    <row r="556" spans="2:6" hidden="1" outlineLevel="1" x14ac:dyDescent="0.15">
      <c r="B556" s="101">
        <v>44687</v>
      </c>
      <c r="C556" s="125">
        <v>23612.16</v>
      </c>
      <c r="E556" s="141"/>
      <c r="F556" s="141"/>
    </row>
    <row r="557" spans="2:6" hidden="1" outlineLevel="1" x14ac:dyDescent="0.15">
      <c r="B557" s="101">
        <v>44686</v>
      </c>
      <c r="C557" s="125">
        <v>24002.58</v>
      </c>
      <c r="E557" s="141"/>
      <c r="F557" s="141"/>
    </row>
    <row r="558" spans="2:6" hidden="1" outlineLevel="1" x14ac:dyDescent="0.15">
      <c r="B558" s="101">
        <v>44685</v>
      </c>
      <c r="C558" s="125">
        <v>23995.35</v>
      </c>
      <c r="E558" s="141"/>
      <c r="F558" s="141"/>
    </row>
    <row r="559" spans="2:6" hidden="1" outlineLevel="1" x14ac:dyDescent="0.15">
      <c r="B559" s="101">
        <v>44683</v>
      </c>
      <c r="C559" s="125">
        <v>24558.61</v>
      </c>
      <c r="E559" s="141"/>
      <c r="F559" s="141"/>
    </row>
    <row r="560" spans="2:6" hidden="1" outlineLevel="1" x14ac:dyDescent="0.15">
      <c r="B560" s="101">
        <v>44680</v>
      </c>
      <c r="C560" s="125">
        <v>24606.78</v>
      </c>
      <c r="E560" s="141"/>
      <c r="F560" s="141"/>
    </row>
    <row r="561" spans="2:6" hidden="1" outlineLevel="1" x14ac:dyDescent="0.15">
      <c r="B561" s="101">
        <v>44679</v>
      </c>
      <c r="C561" s="125">
        <v>24811.78</v>
      </c>
      <c r="E561" s="141"/>
      <c r="F561" s="141"/>
    </row>
    <row r="562" spans="2:6" hidden="1" outlineLevel="1" x14ac:dyDescent="0.15">
      <c r="B562" s="101">
        <v>44678</v>
      </c>
      <c r="C562" s="125">
        <v>24508.3</v>
      </c>
      <c r="E562" s="141"/>
      <c r="F562" s="141"/>
    </row>
    <row r="563" spans="2:6" hidden="1" outlineLevel="1" x14ac:dyDescent="0.15">
      <c r="B563" s="101">
        <v>44677</v>
      </c>
      <c r="C563" s="125">
        <v>24741.88</v>
      </c>
      <c r="E563" s="141"/>
      <c r="F563" s="141"/>
    </row>
    <row r="564" spans="2:6" hidden="1" outlineLevel="1" x14ac:dyDescent="0.15">
      <c r="B564" s="101">
        <v>44676</v>
      </c>
      <c r="C564" s="125">
        <v>24386.78</v>
      </c>
      <c r="E564" s="141"/>
      <c r="F564" s="141"/>
    </row>
    <row r="565" spans="2:6" hidden="1" outlineLevel="1" x14ac:dyDescent="0.15">
      <c r="B565" s="101">
        <v>44673</v>
      </c>
      <c r="C565" s="125">
        <v>24700.36</v>
      </c>
      <c r="E565" s="141"/>
      <c r="F565" s="141"/>
    </row>
    <row r="566" spans="2:6" hidden="1" outlineLevel="1" x14ac:dyDescent="0.15">
      <c r="B566" s="101">
        <v>44672</v>
      </c>
      <c r="C566" s="125">
        <v>25017.73</v>
      </c>
      <c r="E566" s="141"/>
      <c r="F566" s="141"/>
    </row>
    <row r="567" spans="2:6" hidden="1" outlineLevel="1" x14ac:dyDescent="0.15">
      <c r="B567" s="101">
        <v>44671</v>
      </c>
      <c r="C567" s="125">
        <v>24648.400000000001</v>
      </c>
      <c r="E567" s="141"/>
      <c r="F567" s="141"/>
    </row>
    <row r="568" spans="2:6" hidden="1" outlineLevel="1" x14ac:dyDescent="0.15">
      <c r="B568" s="101">
        <v>44670</v>
      </c>
      <c r="C568" s="125">
        <v>24392.54</v>
      </c>
      <c r="E568" s="141"/>
      <c r="F568" s="141"/>
    </row>
    <row r="569" spans="2:6" hidden="1" outlineLevel="1" x14ac:dyDescent="0.15">
      <c r="B569" s="101">
        <v>44669</v>
      </c>
      <c r="C569" s="125">
        <v>24701.75</v>
      </c>
      <c r="E569" s="141"/>
      <c r="F569" s="141"/>
    </row>
    <row r="570" spans="2:6" hidden="1" outlineLevel="1" x14ac:dyDescent="0.15">
      <c r="B570" s="101">
        <v>44664</v>
      </c>
      <c r="C570" s="125">
        <v>25136.13</v>
      </c>
      <c r="E570" s="141"/>
      <c r="F570" s="141"/>
    </row>
    <row r="571" spans="2:6" hidden="1" outlineLevel="1" x14ac:dyDescent="0.15">
      <c r="B571" s="101">
        <v>44663</v>
      </c>
      <c r="C571" s="125">
        <v>25214.76</v>
      </c>
      <c r="E571" s="141"/>
      <c r="F571" s="141"/>
    </row>
    <row r="572" spans="2:6" hidden="1" outlineLevel="1" x14ac:dyDescent="0.15">
      <c r="B572" s="101">
        <v>44662</v>
      </c>
      <c r="C572" s="125">
        <v>25422.81</v>
      </c>
      <c r="E572" s="141"/>
      <c r="F572" s="141"/>
    </row>
    <row r="573" spans="2:6" hidden="1" outlineLevel="1" x14ac:dyDescent="0.15">
      <c r="B573" s="101">
        <v>44659</v>
      </c>
      <c r="C573" s="125">
        <v>25580.15</v>
      </c>
      <c r="E573" s="141"/>
      <c r="F573" s="141"/>
    </row>
    <row r="574" spans="2:6" hidden="1" outlineLevel="1" x14ac:dyDescent="0.15">
      <c r="B574" s="101">
        <v>44658</v>
      </c>
      <c r="C574" s="125">
        <v>25371.88</v>
      </c>
      <c r="E574" s="141"/>
      <c r="F574" s="141"/>
    </row>
    <row r="575" spans="2:6" hidden="1" outlineLevel="1" x14ac:dyDescent="0.15">
      <c r="B575" s="101">
        <v>44657</v>
      </c>
      <c r="C575" s="125">
        <v>25613.71</v>
      </c>
      <c r="E575" s="141"/>
      <c r="F575" s="141"/>
    </row>
    <row r="576" spans="2:6" hidden="1" outlineLevel="1" x14ac:dyDescent="0.15">
      <c r="B576" s="101">
        <v>44656</v>
      </c>
      <c r="C576" s="125">
        <v>25829.11</v>
      </c>
      <c r="E576" s="141"/>
      <c r="F576" s="141"/>
    </row>
    <row r="577" spans="2:6" hidden="1" outlineLevel="1" x14ac:dyDescent="0.15">
      <c r="B577" s="101">
        <v>44655</v>
      </c>
      <c r="C577" s="125">
        <v>25964.720000000001</v>
      </c>
      <c r="E577" s="141"/>
      <c r="F577" s="141"/>
    </row>
    <row r="578" spans="2:6" hidden="1" outlineLevel="1" x14ac:dyDescent="0.15">
      <c r="B578" s="101">
        <v>44652</v>
      </c>
      <c r="C578" s="125">
        <v>25413.94</v>
      </c>
      <c r="E578" s="141"/>
      <c r="F578" s="141"/>
    </row>
    <row r="579" spans="2:6" hidden="1" outlineLevel="1" x14ac:dyDescent="0.15">
      <c r="B579" s="101">
        <v>44651</v>
      </c>
      <c r="C579" s="125">
        <v>25118.14</v>
      </c>
      <c r="E579" s="141"/>
      <c r="F579" s="141"/>
    </row>
    <row r="580" spans="2:6" hidden="1" outlineLevel="1" x14ac:dyDescent="0.15">
      <c r="B580" s="101">
        <v>44650</v>
      </c>
      <c r="C580" s="125">
        <v>25166.31</v>
      </c>
      <c r="E580" s="141"/>
      <c r="F580" s="141"/>
    </row>
    <row r="581" spans="2:6" hidden="1" outlineLevel="1" x14ac:dyDescent="0.15">
      <c r="B581" s="101">
        <v>44649</v>
      </c>
      <c r="C581" s="125">
        <v>24917.57</v>
      </c>
      <c r="E581" s="141"/>
      <c r="F581" s="141"/>
    </row>
    <row r="582" spans="2:6" hidden="1" outlineLevel="1" x14ac:dyDescent="0.15">
      <c r="B582" s="101">
        <v>44648</v>
      </c>
      <c r="C582" s="125">
        <v>24768.69</v>
      </c>
      <c r="E582" s="141"/>
      <c r="F582" s="141"/>
    </row>
    <row r="583" spans="2:6" hidden="1" outlineLevel="1" x14ac:dyDescent="0.15">
      <c r="B583" s="101">
        <v>44645</v>
      </c>
      <c r="C583" s="125">
        <v>24669.45</v>
      </c>
      <c r="E583" s="141"/>
      <c r="F583" s="141"/>
    </row>
    <row r="584" spans="2:6" hidden="1" outlineLevel="1" x14ac:dyDescent="0.15">
      <c r="B584" s="101">
        <v>44644</v>
      </c>
      <c r="C584" s="125">
        <v>24769.75</v>
      </c>
      <c r="E584" s="141"/>
      <c r="F584" s="141"/>
    </row>
    <row r="585" spans="2:6" hidden="1" outlineLevel="1" x14ac:dyDescent="0.15">
      <c r="B585" s="101">
        <v>44643</v>
      </c>
      <c r="C585" s="125">
        <v>24802.74</v>
      </c>
      <c r="E585" s="141"/>
      <c r="F585" s="141"/>
    </row>
    <row r="586" spans="2:6" hidden="1" outlineLevel="1" x14ac:dyDescent="0.15">
      <c r="B586" s="101">
        <v>44642</v>
      </c>
      <c r="C586" s="125">
        <v>24903.14</v>
      </c>
      <c r="E586" s="141"/>
      <c r="F586" s="141"/>
    </row>
    <row r="587" spans="2:6" hidden="1" outlineLevel="1" x14ac:dyDescent="0.15">
      <c r="B587" s="101">
        <v>44641</v>
      </c>
      <c r="C587" s="125">
        <v>24618.52</v>
      </c>
      <c r="E587" s="141"/>
      <c r="F587" s="141"/>
    </row>
    <row r="588" spans="2:6" hidden="1" outlineLevel="1" x14ac:dyDescent="0.15">
      <c r="B588" s="101">
        <v>44637</v>
      </c>
      <c r="C588" s="125">
        <v>24862.27</v>
      </c>
      <c r="E588" s="141"/>
      <c r="F588" s="141"/>
    </row>
    <row r="589" spans="2:6" hidden="1" outlineLevel="1" x14ac:dyDescent="0.15">
      <c r="B589" s="101">
        <v>44636</v>
      </c>
      <c r="C589" s="125">
        <v>24414</v>
      </c>
      <c r="E589" s="141"/>
      <c r="F589" s="141"/>
    </row>
    <row r="590" spans="2:6" hidden="1" outlineLevel="1" x14ac:dyDescent="0.15">
      <c r="B590" s="101">
        <v>44635</v>
      </c>
      <c r="C590" s="125">
        <v>23964.720000000001</v>
      </c>
      <c r="E590" s="141"/>
      <c r="F590" s="141"/>
    </row>
    <row r="591" spans="2:6" hidden="1" outlineLevel="1" x14ac:dyDescent="0.15">
      <c r="B591" s="101">
        <v>44634</v>
      </c>
      <c r="C591" s="125">
        <v>24264.29</v>
      </c>
      <c r="E591" s="141"/>
      <c r="F591" s="141"/>
    </row>
    <row r="592" spans="2:6" hidden="1" outlineLevel="1" x14ac:dyDescent="0.15">
      <c r="B592" s="101">
        <v>44631</v>
      </c>
      <c r="C592" s="125">
        <v>23917.96</v>
      </c>
      <c r="E592" s="141"/>
      <c r="F592" s="141"/>
    </row>
    <row r="593" spans="2:6" hidden="1" outlineLevel="1" x14ac:dyDescent="0.15">
      <c r="B593" s="101">
        <v>44630</v>
      </c>
      <c r="C593" s="125">
        <v>23866.77</v>
      </c>
      <c r="E593" s="141"/>
      <c r="F593" s="141"/>
    </row>
    <row r="594" spans="2:6" hidden="1" outlineLevel="1" x14ac:dyDescent="0.15">
      <c r="B594" s="101">
        <v>44629</v>
      </c>
      <c r="C594" s="125">
        <v>23507.87</v>
      </c>
      <c r="E594" s="141"/>
      <c r="F594" s="141"/>
    </row>
    <row r="595" spans="2:6" hidden="1" outlineLevel="1" x14ac:dyDescent="0.15">
      <c r="B595" s="101">
        <v>44628</v>
      </c>
      <c r="C595" s="125">
        <v>23030.560000000001</v>
      </c>
      <c r="E595" s="141"/>
      <c r="F595" s="141"/>
    </row>
    <row r="596" spans="2:6" hidden="1" outlineLevel="1" x14ac:dyDescent="0.15">
      <c r="B596" s="101">
        <v>44627</v>
      </c>
      <c r="C596" s="125">
        <v>22814.41</v>
      </c>
      <c r="E596" s="141"/>
      <c r="F596" s="141"/>
    </row>
    <row r="597" spans="2:6" hidden="1" outlineLevel="1" x14ac:dyDescent="0.15">
      <c r="B597" s="101">
        <v>44624</v>
      </c>
      <c r="C597" s="125">
        <v>23364.07</v>
      </c>
      <c r="E597" s="141"/>
      <c r="F597" s="141"/>
    </row>
    <row r="598" spans="2:6" hidden="1" outlineLevel="1" x14ac:dyDescent="0.15">
      <c r="B598" s="101">
        <v>44623</v>
      </c>
      <c r="C598" s="125">
        <v>23727.54</v>
      </c>
      <c r="E598" s="141"/>
      <c r="F598" s="141"/>
    </row>
    <row r="599" spans="2:6" hidden="1" outlineLevel="1" x14ac:dyDescent="0.15">
      <c r="B599" s="101">
        <v>44622</v>
      </c>
      <c r="C599" s="125">
        <v>23882.720000000001</v>
      </c>
      <c r="E599" s="141"/>
      <c r="F599" s="141"/>
    </row>
    <row r="600" spans="2:6" hidden="1" outlineLevel="1" x14ac:dyDescent="0.15">
      <c r="B600" s="101">
        <v>44620</v>
      </c>
      <c r="C600" s="125">
        <v>24153.01</v>
      </c>
      <c r="E600" s="141"/>
      <c r="F600" s="141"/>
    </row>
    <row r="601" spans="2:6" hidden="1" outlineLevel="1" x14ac:dyDescent="0.15">
      <c r="B601" s="101">
        <v>44617</v>
      </c>
      <c r="C601" s="125">
        <v>23958.1</v>
      </c>
      <c r="E601" s="141"/>
      <c r="F601" s="141"/>
    </row>
    <row r="602" spans="2:6" hidden="1" outlineLevel="1" x14ac:dyDescent="0.15">
      <c r="B602" s="101">
        <v>44616</v>
      </c>
      <c r="C602" s="125">
        <v>23367.85</v>
      </c>
      <c r="E602" s="141"/>
      <c r="F602" s="141"/>
    </row>
    <row r="603" spans="2:6" hidden="1" outlineLevel="1" x14ac:dyDescent="0.15">
      <c r="B603" s="101">
        <v>44615</v>
      </c>
      <c r="C603" s="125">
        <v>24540.41</v>
      </c>
      <c r="E603" s="141"/>
      <c r="F603" s="141"/>
    </row>
    <row r="604" spans="2:6" hidden="1" outlineLevel="1" x14ac:dyDescent="0.15">
      <c r="B604" s="101">
        <v>44614</v>
      </c>
      <c r="C604" s="125">
        <v>24582.05</v>
      </c>
      <c r="E604" s="141"/>
      <c r="F604" s="141"/>
    </row>
    <row r="605" spans="2:6" hidden="1" outlineLevel="1" x14ac:dyDescent="0.15">
      <c r="B605" s="101">
        <v>44613</v>
      </c>
      <c r="C605" s="125">
        <v>24746.59</v>
      </c>
      <c r="E605" s="141"/>
      <c r="F605" s="141"/>
    </row>
    <row r="606" spans="2:6" hidden="1" outlineLevel="1" x14ac:dyDescent="0.15">
      <c r="B606" s="101">
        <v>44610</v>
      </c>
      <c r="C606" s="125">
        <v>24838.68</v>
      </c>
      <c r="E606" s="141"/>
      <c r="F606" s="141"/>
    </row>
    <row r="607" spans="2:6" hidden="1" outlineLevel="1" x14ac:dyDescent="0.15">
      <c r="B607" s="101">
        <v>44609</v>
      </c>
      <c r="C607" s="125">
        <v>24879.32</v>
      </c>
      <c r="E607" s="141"/>
      <c r="F607" s="141"/>
    </row>
    <row r="608" spans="2:6" hidden="1" outlineLevel="1" x14ac:dyDescent="0.15">
      <c r="B608" s="101">
        <v>44608</v>
      </c>
      <c r="C608" s="125">
        <v>24904.67</v>
      </c>
      <c r="E608" s="141"/>
      <c r="F608" s="141"/>
    </row>
    <row r="609" spans="2:6" hidden="1" outlineLevel="1" x14ac:dyDescent="0.15">
      <c r="B609" s="101">
        <v>44607</v>
      </c>
      <c r="C609" s="125">
        <v>24941.93</v>
      </c>
      <c r="E609" s="141"/>
      <c r="F609" s="141"/>
    </row>
    <row r="610" spans="2:6" hidden="1" outlineLevel="1" x14ac:dyDescent="0.15">
      <c r="B610" s="101">
        <v>44606</v>
      </c>
      <c r="C610" s="125">
        <v>24209.38</v>
      </c>
      <c r="E610" s="141"/>
      <c r="F610" s="141"/>
    </row>
    <row r="611" spans="2:6" hidden="1" outlineLevel="1" x14ac:dyDescent="0.15">
      <c r="B611" s="101">
        <v>44603</v>
      </c>
      <c r="C611" s="125">
        <v>24958.45</v>
      </c>
      <c r="E611" s="141"/>
      <c r="F611" s="141"/>
    </row>
    <row r="612" spans="2:6" hidden="1" outlineLevel="1" x14ac:dyDescent="0.15">
      <c r="B612" s="101">
        <v>44602</v>
      </c>
      <c r="C612" s="125">
        <v>25290.42</v>
      </c>
      <c r="E612" s="141"/>
      <c r="F612" s="141"/>
    </row>
    <row r="613" spans="2:6" hidden="1" outlineLevel="1" x14ac:dyDescent="0.15">
      <c r="B613" s="101">
        <v>44601</v>
      </c>
      <c r="C613" s="125">
        <v>25084.6</v>
      </c>
      <c r="E613" s="141"/>
      <c r="F613" s="141"/>
    </row>
    <row r="614" spans="2:6" hidden="1" outlineLevel="1" x14ac:dyDescent="0.15">
      <c r="B614" s="101">
        <v>44600</v>
      </c>
      <c r="C614" s="125">
        <v>24795.759999999998</v>
      </c>
      <c r="E614" s="141"/>
      <c r="F614" s="141"/>
    </row>
    <row r="615" spans="2:6" hidden="1" outlineLevel="1" x14ac:dyDescent="0.15">
      <c r="B615" s="101">
        <v>44599</v>
      </c>
      <c r="C615" s="125">
        <v>24719.45</v>
      </c>
      <c r="E615" s="141"/>
      <c r="F615" s="141"/>
    </row>
    <row r="616" spans="2:6" hidden="1" outlineLevel="1" x14ac:dyDescent="0.15">
      <c r="B616" s="101">
        <v>44596</v>
      </c>
      <c r="C616" s="125">
        <v>25154.14</v>
      </c>
      <c r="E616" s="141"/>
      <c r="F616" s="141"/>
    </row>
    <row r="617" spans="2:6" hidden="1" outlineLevel="1" x14ac:dyDescent="0.15">
      <c r="B617" s="101">
        <v>44595</v>
      </c>
      <c r="C617" s="125">
        <v>25217.200000000001</v>
      </c>
      <c r="E617" s="141"/>
      <c r="F617" s="141"/>
    </row>
    <row r="618" spans="2:6" hidden="1" outlineLevel="1" x14ac:dyDescent="0.15">
      <c r="B618" s="101">
        <v>44594</v>
      </c>
      <c r="C618" s="125">
        <v>25526.55</v>
      </c>
      <c r="E618" s="141"/>
      <c r="F618" s="141"/>
    </row>
    <row r="619" spans="2:6" hidden="1" outlineLevel="1" x14ac:dyDescent="0.15">
      <c r="B619" s="101">
        <v>44593</v>
      </c>
      <c r="C619" s="125">
        <v>25234.89</v>
      </c>
      <c r="E619" s="141"/>
      <c r="F619" s="141"/>
    </row>
    <row r="620" spans="2:6" hidden="1" outlineLevel="1" x14ac:dyDescent="0.15">
      <c r="B620" s="101">
        <v>44592</v>
      </c>
      <c r="C620" s="125">
        <v>24894.62</v>
      </c>
      <c r="E620" s="141"/>
      <c r="F620" s="141"/>
    </row>
    <row r="621" spans="2:6" hidden="1" outlineLevel="1" x14ac:dyDescent="0.15">
      <c r="B621" s="101">
        <v>44589</v>
      </c>
      <c r="C621" s="125">
        <v>24553.040000000001</v>
      </c>
      <c r="E621" s="141"/>
      <c r="F621" s="141"/>
    </row>
    <row r="622" spans="2:6" hidden="1" outlineLevel="1" x14ac:dyDescent="0.15">
      <c r="B622" s="101">
        <v>44588</v>
      </c>
      <c r="C622" s="125">
        <v>24564.81</v>
      </c>
      <c r="E622" s="141"/>
      <c r="F622" s="141"/>
    </row>
    <row r="623" spans="2:6" hidden="1" outlineLevel="1" x14ac:dyDescent="0.15">
      <c r="B623" s="101">
        <v>44586</v>
      </c>
      <c r="C623" s="125">
        <v>24805.75</v>
      </c>
      <c r="E623" s="141"/>
      <c r="F623" s="141"/>
    </row>
    <row r="624" spans="2:6" hidden="1" outlineLevel="1" x14ac:dyDescent="0.15">
      <c r="B624" s="101">
        <v>44585</v>
      </c>
      <c r="C624" s="125">
        <v>24620.720000000001</v>
      </c>
      <c r="E624" s="141"/>
      <c r="F624" s="141"/>
    </row>
    <row r="625" spans="2:6" hidden="1" outlineLevel="1" x14ac:dyDescent="0.15">
      <c r="B625" s="101">
        <v>44582</v>
      </c>
      <c r="C625" s="125">
        <v>25292.720000000001</v>
      </c>
      <c r="E625" s="141"/>
      <c r="F625" s="141"/>
    </row>
    <row r="626" spans="2:6" hidden="1" outlineLevel="1" x14ac:dyDescent="0.15">
      <c r="B626" s="101">
        <v>44581</v>
      </c>
      <c r="C626" s="125">
        <v>25492.99</v>
      </c>
      <c r="E626" s="141"/>
      <c r="F626" s="141"/>
    </row>
    <row r="627" spans="2:6" hidden="1" outlineLevel="1" x14ac:dyDescent="0.15">
      <c r="B627" s="101">
        <v>44580</v>
      </c>
      <c r="C627" s="125">
        <v>25749.81</v>
      </c>
      <c r="E627" s="141"/>
      <c r="F627" s="141"/>
    </row>
    <row r="628" spans="2:6" hidden="1" outlineLevel="1" x14ac:dyDescent="0.15">
      <c r="B628" s="101">
        <v>44579</v>
      </c>
      <c r="C628" s="125">
        <v>25998.14</v>
      </c>
      <c r="E628" s="141"/>
      <c r="F628" s="141"/>
    </row>
    <row r="629" spans="2:6" hidden="1" outlineLevel="1" x14ac:dyDescent="0.15">
      <c r="B629" s="101">
        <v>44578</v>
      </c>
      <c r="C629" s="125">
        <v>26278.07</v>
      </c>
      <c r="E629" s="141"/>
      <c r="F629" s="141"/>
    </row>
    <row r="630" spans="2:6" hidden="1" outlineLevel="1" x14ac:dyDescent="0.15">
      <c r="B630" s="101">
        <v>44575</v>
      </c>
      <c r="C630" s="125">
        <v>26202.97</v>
      </c>
      <c r="E630" s="141"/>
      <c r="F630" s="141"/>
    </row>
    <row r="631" spans="2:6" hidden="1" outlineLevel="1" x14ac:dyDescent="0.15">
      <c r="B631" s="101">
        <v>44574</v>
      </c>
      <c r="C631" s="125">
        <v>26205.87</v>
      </c>
      <c r="E631" s="141"/>
      <c r="F631" s="141"/>
    </row>
    <row r="632" spans="2:6" hidden="1" outlineLevel="1" x14ac:dyDescent="0.15">
      <c r="B632" s="101">
        <v>44573</v>
      </c>
      <c r="C632" s="125">
        <v>26140.68</v>
      </c>
      <c r="E632" s="141"/>
      <c r="F632" s="141"/>
    </row>
    <row r="633" spans="2:6" hidden="1" outlineLevel="1" x14ac:dyDescent="0.15">
      <c r="B633" s="101">
        <v>44572</v>
      </c>
      <c r="C633" s="125">
        <v>25915.89</v>
      </c>
      <c r="E633" s="141"/>
      <c r="F633" s="141"/>
    </row>
    <row r="634" spans="2:6" hidden="1" outlineLevel="1" x14ac:dyDescent="0.15">
      <c r="B634" s="101">
        <v>44571</v>
      </c>
      <c r="C634" s="125">
        <v>25840.62</v>
      </c>
      <c r="E634" s="141"/>
      <c r="F634" s="141"/>
    </row>
    <row r="635" spans="2:6" hidden="1" outlineLevel="1" x14ac:dyDescent="0.15">
      <c r="B635" s="101">
        <v>44568</v>
      </c>
      <c r="C635" s="125">
        <v>25567.06</v>
      </c>
      <c r="E635" s="141"/>
      <c r="F635" s="141"/>
    </row>
    <row r="636" spans="2:6" hidden="1" outlineLevel="1" x14ac:dyDescent="0.15">
      <c r="B636" s="101">
        <v>44567</v>
      </c>
      <c r="C636" s="125">
        <v>25471.18</v>
      </c>
      <c r="E636" s="141"/>
      <c r="F636" s="141"/>
    </row>
    <row r="637" spans="2:6" hidden="1" outlineLevel="1" x14ac:dyDescent="0.15">
      <c r="B637" s="101">
        <v>44566</v>
      </c>
      <c r="C637" s="125">
        <v>25728.58</v>
      </c>
      <c r="E637" s="141"/>
      <c r="F637" s="141"/>
    </row>
    <row r="638" spans="2:6" hidden="1" outlineLevel="1" x14ac:dyDescent="0.15">
      <c r="B638" s="101">
        <v>44565</v>
      </c>
      <c r="C638" s="125">
        <v>25556.34</v>
      </c>
      <c r="E638" s="141"/>
      <c r="F638" s="141"/>
    </row>
    <row r="639" spans="2:6" hidden="1" outlineLevel="1" x14ac:dyDescent="0.15">
      <c r="B639" s="101">
        <v>44564</v>
      </c>
      <c r="C639" s="125">
        <v>25298.63</v>
      </c>
      <c r="E639" s="141"/>
      <c r="F639" s="141"/>
    </row>
    <row r="640" spans="2:6" hidden="1" outlineLevel="1" x14ac:dyDescent="0.15">
      <c r="B640" s="101">
        <v>44561</v>
      </c>
      <c r="C640" s="125">
        <v>24908.71</v>
      </c>
      <c r="E640" s="141"/>
      <c r="F640" s="141"/>
    </row>
    <row r="641" spans="2:6" hidden="1" outlineLevel="1" x14ac:dyDescent="0.15">
      <c r="B641" s="101">
        <v>44560</v>
      </c>
      <c r="C641" s="125">
        <v>24693.25</v>
      </c>
      <c r="E641" s="141"/>
      <c r="F641" s="141"/>
    </row>
    <row r="642" spans="2:6" hidden="1" outlineLevel="1" x14ac:dyDescent="0.15">
      <c r="B642" s="101">
        <v>44559</v>
      </c>
      <c r="C642" s="125">
        <v>24707.1</v>
      </c>
      <c r="E642" s="141"/>
      <c r="F642" s="141"/>
    </row>
    <row r="643" spans="2:6" hidden="1" outlineLevel="1" x14ac:dyDescent="0.15">
      <c r="B643" s="101">
        <v>44558</v>
      </c>
      <c r="C643" s="125">
        <v>24735.32</v>
      </c>
      <c r="E643" s="141"/>
      <c r="F643" s="141"/>
    </row>
    <row r="644" spans="2:6" hidden="1" outlineLevel="1" x14ac:dyDescent="0.15">
      <c r="B644" s="101">
        <v>44557</v>
      </c>
      <c r="C644" s="125">
        <v>24524.36</v>
      </c>
      <c r="E644" s="141"/>
      <c r="F644" s="141"/>
    </row>
    <row r="645" spans="2:6" hidden="1" outlineLevel="1" x14ac:dyDescent="0.15">
      <c r="B645" s="101">
        <v>44554</v>
      </c>
      <c r="C645" s="125">
        <v>24405.96</v>
      </c>
      <c r="E645" s="141"/>
      <c r="F645" s="141"/>
    </row>
    <row r="646" spans="2:6" hidden="1" outlineLevel="1" x14ac:dyDescent="0.15">
      <c r="B646" s="101">
        <v>44553</v>
      </c>
      <c r="C646" s="125">
        <v>24504.75</v>
      </c>
      <c r="E646" s="141"/>
      <c r="F646" s="141"/>
    </row>
    <row r="647" spans="2:6" hidden="1" outlineLevel="1" x14ac:dyDescent="0.15">
      <c r="B647" s="101">
        <v>44552</v>
      </c>
      <c r="C647" s="125">
        <v>24336.62</v>
      </c>
      <c r="E647" s="141"/>
      <c r="F647" s="141"/>
    </row>
    <row r="648" spans="2:6" hidden="1" outlineLevel="1" x14ac:dyDescent="0.15">
      <c r="B648" s="101">
        <v>44551</v>
      </c>
      <c r="C648" s="125">
        <v>24063.78</v>
      </c>
      <c r="E648" s="141"/>
      <c r="F648" s="141"/>
    </row>
    <row r="649" spans="2:6" hidden="1" outlineLevel="1" x14ac:dyDescent="0.15">
      <c r="B649" s="101">
        <v>44550</v>
      </c>
      <c r="C649" s="125">
        <v>23839.01</v>
      </c>
      <c r="E649" s="141"/>
      <c r="F649" s="141"/>
    </row>
    <row r="650" spans="2:6" hidden="1" outlineLevel="1" x14ac:dyDescent="0.15">
      <c r="B650" s="101">
        <v>44547</v>
      </c>
      <c r="C650" s="125">
        <v>24371.37</v>
      </c>
      <c r="E650" s="141"/>
      <c r="F650" s="141"/>
    </row>
    <row r="651" spans="2:6" hidden="1" outlineLevel="1" x14ac:dyDescent="0.15">
      <c r="B651" s="101">
        <v>44546</v>
      </c>
      <c r="C651" s="125">
        <v>24749.01</v>
      </c>
      <c r="E651" s="141"/>
      <c r="F651" s="141"/>
    </row>
    <row r="652" spans="2:6" hidden="1" outlineLevel="1" x14ac:dyDescent="0.15">
      <c r="B652" s="101">
        <v>44545</v>
      </c>
      <c r="C652" s="125">
        <v>24710.3</v>
      </c>
      <c r="E652" s="141"/>
      <c r="F652" s="141"/>
    </row>
    <row r="653" spans="2:6" hidden="1" outlineLevel="1" x14ac:dyDescent="0.15">
      <c r="B653" s="101">
        <v>44544</v>
      </c>
      <c r="C653" s="125">
        <v>24858.79</v>
      </c>
      <c r="E653" s="141"/>
      <c r="F653" s="141"/>
    </row>
    <row r="654" spans="2:6" hidden="1" outlineLevel="1" x14ac:dyDescent="0.15">
      <c r="B654" s="101">
        <v>44543</v>
      </c>
      <c r="C654" s="125">
        <v>24921.02</v>
      </c>
      <c r="E654" s="141"/>
      <c r="F654" s="141"/>
    </row>
    <row r="655" spans="2:6" hidden="1" outlineLevel="1" x14ac:dyDescent="0.15">
      <c r="B655" s="101">
        <v>44540</v>
      </c>
      <c r="C655" s="125">
        <v>25126.240000000002</v>
      </c>
      <c r="E655" s="141"/>
      <c r="F655" s="141"/>
    </row>
    <row r="656" spans="2:6" hidden="1" outlineLevel="1" x14ac:dyDescent="0.15">
      <c r="B656" s="101">
        <v>44539</v>
      </c>
      <c r="C656" s="125">
        <v>25134.23</v>
      </c>
      <c r="E656" s="141"/>
      <c r="F656" s="141"/>
    </row>
    <row r="657" spans="2:6" hidden="1" outlineLevel="1" x14ac:dyDescent="0.15">
      <c r="B657" s="101">
        <v>44538</v>
      </c>
      <c r="C657" s="125">
        <v>25066.62</v>
      </c>
      <c r="E657" s="141"/>
      <c r="F657" s="141"/>
    </row>
    <row r="658" spans="2:6" hidden="1" outlineLevel="1" x14ac:dyDescent="0.15">
      <c r="B658" s="101">
        <v>44537</v>
      </c>
      <c r="C658" s="125">
        <v>24646.18</v>
      </c>
      <c r="E658" s="141"/>
      <c r="F658" s="141"/>
    </row>
    <row r="659" spans="2:6" hidden="1" outlineLevel="1" x14ac:dyDescent="0.15">
      <c r="B659" s="101">
        <v>44536</v>
      </c>
      <c r="C659" s="125">
        <v>24266.71</v>
      </c>
      <c r="E659" s="141"/>
      <c r="F659" s="141"/>
    </row>
    <row r="660" spans="2:6" hidden="1" outlineLevel="1" x14ac:dyDescent="0.15">
      <c r="B660" s="101">
        <v>44533</v>
      </c>
      <c r="C660" s="125">
        <v>24674.83</v>
      </c>
      <c r="E660" s="141"/>
      <c r="F660" s="141"/>
    </row>
    <row r="661" spans="2:6" hidden="1" outlineLevel="1" x14ac:dyDescent="0.15">
      <c r="B661" s="101">
        <v>44532</v>
      </c>
      <c r="C661" s="125">
        <v>24968.91</v>
      </c>
      <c r="E661" s="141"/>
      <c r="F661" s="141"/>
    </row>
    <row r="662" spans="2:6" hidden="1" outlineLevel="1" x14ac:dyDescent="0.15">
      <c r="B662" s="101">
        <v>44531</v>
      </c>
      <c r="C662" s="125">
        <v>24632.06</v>
      </c>
      <c r="E662" s="141"/>
      <c r="F662" s="141"/>
    </row>
    <row r="663" spans="2:6" hidden="1" outlineLevel="1" x14ac:dyDescent="0.15">
      <c r="B663" s="101">
        <v>44530</v>
      </c>
      <c r="C663" s="125">
        <v>24368.53</v>
      </c>
      <c r="E663" s="141"/>
      <c r="F663" s="141"/>
    </row>
    <row r="664" spans="2:6" hidden="1" outlineLevel="1" x14ac:dyDescent="0.15">
      <c r="B664" s="101">
        <v>44529</v>
      </c>
      <c r="C664" s="125">
        <v>24469.99</v>
      </c>
      <c r="E664" s="141"/>
      <c r="F664" s="141"/>
    </row>
    <row r="665" spans="2:6" hidden="1" outlineLevel="1" x14ac:dyDescent="0.15">
      <c r="B665" s="101">
        <v>44526</v>
      </c>
      <c r="C665" s="125">
        <v>24430.53</v>
      </c>
      <c r="E665" s="141"/>
      <c r="F665" s="141"/>
    </row>
    <row r="666" spans="2:6" hidden="1" outlineLevel="1" x14ac:dyDescent="0.15">
      <c r="B666" s="101">
        <v>44525</v>
      </c>
      <c r="C666" s="125">
        <v>25162.07</v>
      </c>
      <c r="E666" s="141"/>
      <c r="F666" s="141"/>
    </row>
    <row r="667" spans="2:6" hidden="1" outlineLevel="1" x14ac:dyDescent="0.15">
      <c r="B667" s="101">
        <v>44524</v>
      </c>
      <c r="C667" s="125">
        <v>24988.18</v>
      </c>
      <c r="E667" s="141"/>
      <c r="F667" s="141"/>
    </row>
    <row r="668" spans="2:6" hidden="1" outlineLevel="1" x14ac:dyDescent="0.15">
      <c r="B668" s="101">
        <v>44523</v>
      </c>
      <c r="C668" s="125">
        <v>25114.82</v>
      </c>
      <c r="E668" s="141"/>
      <c r="F668" s="141"/>
    </row>
    <row r="669" spans="2:6" hidden="1" outlineLevel="1" x14ac:dyDescent="0.15">
      <c r="B669" s="101">
        <v>44522</v>
      </c>
      <c r="C669" s="125">
        <v>24990.27</v>
      </c>
      <c r="E669" s="141"/>
      <c r="F669" s="141"/>
    </row>
    <row r="670" spans="2:6" hidden="1" outlineLevel="1" x14ac:dyDescent="0.15">
      <c r="B670" s="101">
        <v>44518</v>
      </c>
      <c r="C670" s="125">
        <v>25483.23</v>
      </c>
      <c r="E670" s="141"/>
      <c r="F670" s="141"/>
    </row>
    <row r="671" spans="2:6" hidden="1" outlineLevel="1" x14ac:dyDescent="0.15">
      <c r="B671" s="101">
        <v>44517</v>
      </c>
      <c r="C671" s="125">
        <v>25675.200000000001</v>
      </c>
      <c r="E671" s="141"/>
      <c r="F671" s="141"/>
    </row>
    <row r="672" spans="2:6" hidden="1" outlineLevel="1" x14ac:dyDescent="0.15">
      <c r="B672" s="101">
        <v>44516</v>
      </c>
      <c r="C672" s="125">
        <v>25819.49</v>
      </c>
      <c r="E672" s="141"/>
      <c r="F672" s="141"/>
    </row>
    <row r="673" spans="2:6" hidden="1" outlineLevel="1" x14ac:dyDescent="0.15">
      <c r="B673" s="101">
        <v>44515</v>
      </c>
      <c r="C673" s="125">
        <v>25977.61</v>
      </c>
      <c r="E673" s="141"/>
      <c r="F673" s="141"/>
    </row>
    <row r="674" spans="2:6" hidden="1" outlineLevel="1" x14ac:dyDescent="0.15">
      <c r="B674" s="101">
        <v>44512</v>
      </c>
      <c r="C674" s="125">
        <v>25968.02</v>
      </c>
      <c r="E674" s="141"/>
      <c r="F674" s="141"/>
    </row>
    <row r="675" spans="2:6" hidden="1" outlineLevel="1" x14ac:dyDescent="0.15">
      <c r="B675" s="101">
        <v>44511</v>
      </c>
      <c r="C675" s="125">
        <v>25639.32</v>
      </c>
      <c r="E675" s="141"/>
      <c r="F675" s="141"/>
    </row>
    <row r="676" spans="2:6" hidden="1" outlineLevel="1" x14ac:dyDescent="0.15">
      <c r="B676" s="101">
        <v>44510</v>
      </c>
      <c r="C676" s="125">
        <v>25839.47</v>
      </c>
      <c r="E676" s="141"/>
      <c r="F676" s="141"/>
    </row>
    <row r="677" spans="2:6" hidden="1" outlineLevel="1" x14ac:dyDescent="0.15">
      <c r="B677" s="101">
        <v>44509</v>
      </c>
      <c r="C677" s="125">
        <v>25878.28</v>
      </c>
      <c r="E677" s="141"/>
      <c r="F677" s="141"/>
    </row>
    <row r="678" spans="2:6" hidden="1" outlineLevel="1" x14ac:dyDescent="0.15">
      <c r="B678" s="101">
        <v>44508</v>
      </c>
      <c r="C678" s="125">
        <v>25913.09</v>
      </c>
      <c r="E678" s="141"/>
      <c r="F678" s="141"/>
    </row>
    <row r="679" spans="2:6" hidden="1" outlineLevel="1" x14ac:dyDescent="0.15">
      <c r="B679" s="101">
        <v>44504</v>
      </c>
      <c r="C679" s="125">
        <v>25695.5</v>
      </c>
      <c r="E679" s="141"/>
      <c r="F679" s="141"/>
    </row>
    <row r="680" spans="2:6" hidden="1" outlineLevel="1" x14ac:dyDescent="0.15">
      <c r="B680" s="101">
        <v>44503</v>
      </c>
      <c r="C680" s="125">
        <v>25569.86</v>
      </c>
      <c r="E680" s="141"/>
      <c r="F680" s="141"/>
    </row>
    <row r="681" spans="2:6" hidden="1" outlineLevel="1" x14ac:dyDescent="0.15">
      <c r="B681" s="101">
        <v>44502</v>
      </c>
      <c r="C681" s="125">
        <v>25655.51</v>
      </c>
      <c r="E681" s="141"/>
      <c r="F681" s="141"/>
    </row>
    <row r="682" spans="2:6" hidden="1" outlineLevel="1" x14ac:dyDescent="0.15">
      <c r="B682" s="101">
        <v>44501</v>
      </c>
      <c r="C682" s="125">
        <v>25710.799999999999</v>
      </c>
      <c r="E682" s="141"/>
      <c r="F682" s="141"/>
    </row>
    <row r="683" spans="2:6" hidden="1" outlineLevel="1" x14ac:dyDescent="0.15">
      <c r="B683" s="101">
        <v>44498</v>
      </c>
      <c r="C683" s="125">
        <v>25340.83</v>
      </c>
      <c r="E683" s="141"/>
      <c r="F683" s="141"/>
    </row>
    <row r="684" spans="2:6" hidden="1" outlineLevel="1" x14ac:dyDescent="0.15">
      <c r="B684" s="101">
        <v>44497</v>
      </c>
      <c r="C684" s="125">
        <v>25606.99</v>
      </c>
      <c r="E684" s="141"/>
      <c r="F684" s="141"/>
    </row>
    <row r="685" spans="2:6" hidden="1" outlineLevel="1" x14ac:dyDescent="0.15">
      <c r="B685" s="101">
        <v>44496</v>
      </c>
      <c r="C685" s="125">
        <v>26113.62</v>
      </c>
      <c r="E685" s="141"/>
      <c r="F685" s="141"/>
    </row>
    <row r="686" spans="2:6" hidden="1" outlineLevel="1" x14ac:dyDescent="0.15">
      <c r="B686" s="101">
        <v>44495</v>
      </c>
      <c r="C686" s="125">
        <v>26196.05</v>
      </c>
      <c r="E686" s="141"/>
      <c r="F686" s="141"/>
    </row>
    <row r="687" spans="2:6" hidden="1" outlineLevel="1" x14ac:dyDescent="0.15">
      <c r="B687" s="101">
        <v>44494</v>
      </c>
      <c r="C687" s="125">
        <v>25967.040000000001</v>
      </c>
      <c r="E687" s="141"/>
      <c r="F687" s="141"/>
    </row>
    <row r="688" spans="2:6" hidden="1" outlineLevel="1" x14ac:dyDescent="0.15">
      <c r="B688" s="101">
        <v>44491</v>
      </c>
      <c r="C688" s="125">
        <v>25952.01</v>
      </c>
      <c r="E688" s="141"/>
      <c r="F688" s="141"/>
    </row>
    <row r="689" spans="2:6" hidden="1" outlineLevel="1" x14ac:dyDescent="0.15">
      <c r="B689" s="101">
        <v>44490</v>
      </c>
      <c r="C689" s="125">
        <v>26042.59</v>
      </c>
      <c r="E689" s="141"/>
      <c r="F689" s="141"/>
    </row>
    <row r="690" spans="2:6" hidden="1" outlineLevel="1" x14ac:dyDescent="0.15">
      <c r="B690" s="101">
        <v>44489</v>
      </c>
      <c r="C690" s="125">
        <v>26165.78</v>
      </c>
      <c r="E690" s="141"/>
      <c r="F690" s="141"/>
    </row>
    <row r="691" spans="2:6" hidden="1" outlineLevel="1" x14ac:dyDescent="0.15">
      <c r="B691" s="101">
        <v>44488</v>
      </c>
      <c r="C691" s="125">
        <v>26383.71</v>
      </c>
      <c r="E691" s="141"/>
      <c r="F691" s="141"/>
    </row>
    <row r="692" spans="2:6" hidden="1" outlineLevel="1" x14ac:dyDescent="0.15">
      <c r="B692" s="101">
        <v>44487</v>
      </c>
      <c r="C692" s="125">
        <v>26467.21</v>
      </c>
      <c r="E692" s="141"/>
      <c r="F692" s="141"/>
    </row>
    <row r="693" spans="2:6" hidden="1" outlineLevel="1" x14ac:dyDescent="0.15">
      <c r="B693" s="101">
        <v>44483</v>
      </c>
      <c r="C693" s="125">
        <v>26268.83</v>
      </c>
      <c r="E693" s="141"/>
      <c r="F693" s="141"/>
    </row>
    <row r="694" spans="2:6" hidden="1" outlineLevel="1" x14ac:dyDescent="0.15">
      <c r="B694" s="101">
        <v>44482</v>
      </c>
      <c r="C694" s="125">
        <v>26013.19</v>
      </c>
      <c r="E694" s="141"/>
      <c r="F694" s="141"/>
    </row>
    <row r="695" spans="2:6" hidden="1" outlineLevel="1" x14ac:dyDescent="0.15">
      <c r="B695" s="101">
        <v>44481</v>
      </c>
      <c r="C695" s="125">
        <v>25770.01</v>
      </c>
      <c r="E695" s="141"/>
      <c r="F695" s="141"/>
    </row>
    <row r="696" spans="2:6" hidden="1" outlineLevel="1" x14ac:dyDescent="0.15">
      <c r="B696" s="101">
        <v>44480</v>
      </c>
      <c r="C696" s="125">
        <v>25704.1</v>
      </c>
      <c r="E696" s="141"/>
      <c r="F696" s="141"/>
    </row>
    <row r="697" spans="2:6" hidden="1" outlineLevel="1" x14ac:dyDescent="0.15">
      <c r="B697" s="101">
        <v>44477</v>
      </c>
      <c r="C697" s="125">
        <v>25631.38</v>
      </c>
      <c r="E697" s="141"/>
      <c r="F697" s="141"/>
    </row>
    <row r="698" spans="2:6" hidden="1" outlineLevel="1" x14ac:dyDescent="0.15">
      <c r="B698" s="101">
        <v>44476</v>
      </c>
      <c r="C698" s="125">
        <v>25481.26</v>
      </c>
      <c r="E698" s="141"/>
      <c r="F698" s="141"/>
    </row>
    <row r="699" spans="2:6" hidden="1" outlineLevel="1" x14ac:dyDescent="0.15">
      <c r="B699" s="101">
        <v>44475</v>
      </c>
      <c r="C699" s="125">
        <v>25274.48</v>
      </c>
      <c r="E699" s="141"/>
      <c r="F699" s="141"/>
    </row>
    <row r="700" spans="2:6" hidden="1" outlineLevel="1" x14ac:dyDescent="0.15">
      <c r="B700" s="101">
        <v>44474</v>
      </c>
      <c r="C700" s="125">
        <v>25526.98</v>
      </c>
      <c r="E700" s="141"/>
      <c r="F700" s="141"/>
    </row>
    <row r="701" spans="2:6" hidden="1" outlineLevel="1" x14ac:dyDescent="0.15">
      <c r="B701" s="101">
        <v>44473</v>
      </c>
      <c r="C701" s="125">
        <v>25339.32</v>
      </c>
      <c r="E701" s="141"/>
      <c r="F701" s="141"/>
    </row>
    <row r="702" spans="2:6" hidden="1" outlineLevel="1" x14ac:dyDescent="0.15">
      <c r="B702" s="101">
        <v>44470</v>
      </c>
      <c r="C702" s="125">
        <v>25111.25</v>
      </c>
      <c r="E702" s="141"/>
      <c r="F702" s="141"/>
    </row>
    <row r="703" spans="2:6" hidden="1" outlineLevel="1" x14ac:dyDescent="0.15">
      <c r="B703" s="101">
        <v>44469</v>
      </c>
      <c r="C703" s="125">
        <v>25234.57</v>
      </c>
      <c r="E703" s="141"/>
      <c r="F703" s="141"/>
    </row>
    <row r="704" spans="2:6" hidden="1" outlineLevel="1" x14ac:dyDescent="0.15">
      <c r="B704" s="101">
        <v>44468</v>
      </c>
      <c r="C704" s="125">
        <v>25367.99</v>
      </c>
      <c r="E704" s="141"/>
      <c r="F704" s="141"/>
    </row>
    <row r="705" spans="2:6" hidden="1" outlineLevel="1" x14ac:dyDescent="0.15">
      <c r="B705" s="101">
        <v>44467</v>
      </c>
      <c r="C705" s="125">
        <v>25421.46</v>
      </c>
      <c r="E705" s="141"/>
      <c r="F705" s="141"/>
    </row>
    <row r="706" spans="2:6" hidden="1" outlineLevel="1" x14ac:dyDescent="0.15">
      <c r="B706" s="101">
        <v>44466</v>
      </c>
      <c r="C706" s="125">
        <v>25573.99</v>
      </c>
      <c r="E706" s="141"/>
      <c r="F706" s="141"/>
    </row>
    <row r="707" spans="2:6" hidden="1" outlineLevel="1" x14ac:dyDescent="0.15">
      <c r="B707" s="101">
        <v>44463</v>
      </c>
      <c r="C707" s="125">
        <v>25571.24</v>
      </c>
      <c r="E707" s="141"/>
      <c r="F707" s="141"/>
    </row>
    <row r="708" spans="2:6" hidden="1" outlineLevel="1" x14ac:dyDescent="0.15">
      <c r="B708" s="101">
        <v>44462</v>
      </c>
      <c r="C708" s="125">
        <v>25527.919999999998</v>
      </c>
      <c r="E708" s="141"/>
      <c r="F708" s="141"/>
    </row>
    <row r="709" spans="2:6" hidden="1" outlineLevel="1" x14ac:dyDescent="0.15">
      <c r="B709" s="101">
        <v>44461</v>
      </c>
      <c r="C709" s="125">
        <v>25132.15</v>
      </c>
      <c r="E709" s="141"/>
      <c r="F709" s="141"/>
    </row>
    <row r="710" spans="2:6" hidden="1" outlineLevel="1" x14ac:dyDescent="0.15">
      <c r="B710" s="101">
        <v>44460</v>
      </c>
      <c r="C710" s="125">
        <v>25154.16</v>
      </c>
      <c r="E710" s="141"/>
      <c r="F710" s="141"/>
    </row>
    <row r="711" spans="2:6" hidden="1" outlineLevel="1" x14ac:dyDescent="0.15">
      <c r="B711" s="101">
        <v>44459</v>
      </c>
      <c r="C711" s="125">
        <v>24917.72</v>
      </c>
      <c r="E711" s="141"/>
      <c r="F711" s="141"/>
    </row>
    <row r="712" spans="2:6" hidden="1" outlineLevel="1" x14ac:dyDescent="0.15">
      <c r="B712" s="101">
        <v>44456</v>
      </c>
      <c r="C712" s="125">
        <v>25187.34</v>
      </c>
      <c r="E712" s="141"/>
      <c r="F712" s="141"/>
    </row>
    <row r="713" spans="2:6" hidden="1" outlineLevel="1" x14ac:dyDescent="0.15">
      <c r="B713" s="101">
        <v>44455</v>
      </c>
      <c r="C713" s="125">
        <v>25250.87</v>
      </c>
      <c r="E713" s="141"/>
      <c r="F713" s="141"/>
    </row>
    <row r="714" spans="2:6" hidden="1" outlineLevel="1" x14ac:dyDescent="0.15">
      <c r="B714" s="101">
        <v>44454</v>
      </c>
      <c r="C714" s="125">
        <v>25093.22</v>
      </c>
      <c r="E714" s="141"/>
      <c r="F714" s="141"/>
    </row>
    <row r="715" spans="2:6" hidden="1" outlineLevel="1" x14ac:dyDescent="0.15">
      <c r="B715" s="101">
        <v>44453</v>
      </c>
      <c r="C715" s="125">
        <v>24893.51</v>
      </c>
      <c r="E715" s="141"/>
      <c r="F715" s="141"/>
    </row>
    <row r="716" spans="2:6" hidden="1" outlineLevel="1" x14ac:dyDescent="0.15">
      <c r="B716" s="101">
        <v>44452</v>
      </c>
      <c r="C716" s="125">
        <v>24858.12</v>
      </c>
      <c r="E716" s="141"/>
      <c r="F716" s="141"/>
    </row>
    <row r="717" spans="2:6" hidden="1" outlineLevel="1" x14ac:dyDescent="0.15">
      <c r="B717" s="101">
        <v>44448</v>
      </c>
      <c r="C717" s="125">
        <v>24878.09</v>
      </c>
      <c r="E717" s="141"/>
      <c r="F717" s="141"/>
    </row>
    <row r="718" spans="2:6" hidden="1" outlineLevel="1" x14ac:dyDescent="0.15">
      <c r="B718" s="101">
        <v>44447</v>
      </c>
      <c r="C718" s="125">
        <v>24855.5</v>
      </c>
      <c r="E718" s="141"/>
      <c r="F718" s="141"/>
    </row>
    <row r="719" spans="2:6" hidden="1" outlineLevel="1" x14ac:dyDescent="0.15">
      <c r="B719" s="101">
        <v>44446</v>
      </c>
      <c r="C719" s="125">
        <v>24857.27</v>
      </c>
      <c r="E719" s="141"/>
      <c r="F719" s="141"/>
    </row>
    <row r="720" spans="2:6" hidden="1" outlineLevel="1" x14ac:dyDescent="0.15">
      <c r="B720" s="101">
        <v>44445</v>
      </c>
      <c r="C720" s="125">
        <v>24879.79</v>
      </c>
      <c r="E720" s="141"/>
      <c r="F720" s="141"/>
    </row>
    <row r="721" spans="2:6" hidden="1" outlineLevel="1" x14ac:dyDescent="0.15">
      <c r="B721" s="101">
        <v>44442</v>
      </c>
      <c r="C721" s="125">
        <v>24802.17</v>
      </c>
      <c r="E721" s="141"/>
      <c r="F721" s="141"/>
    </row>
    <row r="722" spans="2:6" hidden="1" outlineLevel="1" x14ac:dyDescent="0.15">
      <c r="B722" s="101">
        <v>44441</v>
      </c>
      <c r="C722" s="125">
        <v>24674.11</v>
      </c>
      <c r="E722" s="141"/>
      <c r="F722" s="141"/>
    </row>
    <row r="723" spans="2:6" hidden="1" outlineLevel="1" x14ac:dyDescent="0.15">
      <c r="B723" s="101">
        <v>44440</v>
      </c>
      <c r="C723" s="125">
        <v>24445.62</v>
      </c>
      <c r="E723" s="141"/>
      <c r="F723" s="141"/>
    </row>
    <row r="724" spans="2:6" hidden="1" outlineLevel="1" x14ac:dyDescent="0.15">
      <c r="B724" s="101">
        <v>44439</v>
      </c>
      <c r="C724" s="125">
        <v>24525.71</v>
      </c>
      <c r="E724" s="141"/>
      <c r="F724" s="141"/>
    </row>
    <row r="725" spans="2:6" hidden="1" outlineLevel="1" x14ac:dyDescent="0.15">
      <c r="B725" s="101">
        <v>44438</v>
      </c>
      <c r="C725" s="125">
        <v>24237.8</v>
      </c>
      <c r="E725" s="141"/>
      <c r="F725" s="141"/>
    </row>
    <row r="726" spans="2:6" hidden="1" outlineLevel="1" x14ac:dyDescent="0.15">
      <c r="B726" s="101">
        <v>44435</v>
      </c>
      <c r="C726" s="125">
        <v>23914.48</v>
      </c>
      <c r="E726" s="141"/>
      <c r="F726" s="141"/>
    </row>
    <row r="727" spans="2:6" hidden="1" outlineLevel="1" x14ac:dyDescent="0.15">
      <c r="B727" s="101">
        <v>44434</v>
      </c>
      <c r="C727" s="125">
        <v>23816.68</v>
      </c>
      <c r="E727" s="141"/>
      <c r="F727" s="141"/>
    </row>
    <row r="728" spans="2:6" hidden="1" outlineLevel="1" x14ac:dyDescent="0.15">
      <c r="B728" s="101">
        <v>44433</v>
      </c>
      <c r="C728" s="125">
        <v>23813.43</v>
      </c>
      <c r="E728" s="141"/>
      <c r="F728" s="141"/>
    </row>
    <row r="729" spans="2:6" hidden="1" outlineLevel="1" x14ac:dyDescent="0.15">
      <c r="B729" s="101">
        <v>44432</v>
      </c>
      <c r="C729" s="125">
        <v>23799.1</v>
      </c>
      <c r="E729" s="141"/>
      <c r="F729" s="141"/>
    </row>
    <row r="730" spans="2:6" hidden="1" outlineLevel="1" x14ac:dyDescent="0.15">
      <c r="B730" s="101">
        <v>44431</v>
      </c>
      <c r="C730" s="125">
        <v>23615.61</v>
      </c>
      <c r="E730" s="141"/>
      <c r="F730" s="141"/>
    </row>
    <row r="731" spans="2:6" hidden="1" outlineLevel="1" x14ac:dyDescent="0.15">
      <c r="B731" s="101">
        <v>44428</v>
      </c>
      <c r="C731" s="125">
        <v>23549.09</v>
      </c>
      <c r="E731" s="141"/>
      <c r="F731" s="141"/>
    </row>
    <row r="732" spans="2:6" hidden="1" outlineLevel="1" x14ac:dyDescent="0.15">
      <c r="B732" s="101">
        <v>44426</v>
      </c>
      <c r="C732" s="125">
        <v>23718.57</v>
      </c>
      <c r="E732" s="141"/>
      <c r="F732" s="141"/>
    </row>
    <row r="733" spans="2:6" hidden="1" outlineLevel="1" x14ac:dyDescent="0.15">
      <c r="B733" s="101">
        <v>44425</v>
      </c>
      <c r="C733" s="125">
        <v>23784.05</v>
      </c>
      <c r="E733" s="141"/>
      <c r="F733" s="141"/>
    </row>
    <row r="734" spans="2:6" hidden="1" outlineLevel="1" x14ac:dyDescent="0.15">
      <c r="B734" s="101">
        <v>44424</v>
      </c>
      <c r="C734" s="125">
        <v>23708.38</v>
      </c>
      <c r="E734" s="141"/>
      <c r="F734" s="141"/>
    </row>
    <row r="735" spans="2:6" hidden="1" outlineLevel="1" x14ac:dyDescent="0.15">
      <c r="B735" s="101">
        <v>44421</v>
      </c>
      <c r="C735" s="125">
        <v>23659.78</v>
      </c>
      <c r="E735" s="141"/>
      <c r="F735" s="141"/>
    </row>
    <row r="736" spans="2:6" hidden="1" outlineLevel="1" x14ac:dyDescent="0.15">
      <c r="B736" s="101">
        <v>44420</v>
      </c>
      <c r="C736" s="125">
        <v>23424.04</v>
      </c>
      <c r="E736" s="141"/>
      <c r="F736" s="141"/>
    </row>
    <row r="737" spans="2:6" hidden="1" outlineLevel="1" x14ac:dyDescent="0.15">
      <c r="B737" s="101">
        <v>44419</v>
      </c>
      <c r="C737" s="125">
        <v>23303.89</v>
      </c>
      <c r="E737" s="141"/>
      <c r="F737" s="141"/>
    </row>
    <row r="738" spans="2:6" hidden="1" outlineLevel="1" x14ac:dyDescent="0.15">
      <c r="B738" s="101">
        <v>44418</v>
      </c>
      <c r="C738" s="125">
        <v>23300.36</v>
      </c>
      <c r="E738" s="141"/>
      <c r="F738" s="141"/>
    </row>
    <row r="739" spans="2:6" hidden="1" outlineLevel="1" x14ac:dyDescent="0.15">
      <c r="B739" s="101">
        <v>44417</v>
      </c>
      <c r="C739" s="125">
        <v>23269.119999999999</v>
      </c>
      <c r="E739" s="141"/>
      <c r="F739" s="141"/>
    </row>
    <row r="740" spans="2:6" hidden="1" outlineLevel="1" x14ac:dyDescent="0.15">
      <c r="B740" s="101">
        <v>44414</v>
      </c>
      <c r="C740" s="125">
        <v>23238.83</v>
      </c>
      <c r="E740" s="141"/>
      <c r="F740" s="141"/>
    </row>
    <row r="741" spans="2:6" hidden="1" outlineLevel="1" x14ac:dyDescent="0.15">
      <c r="B741" s="101">
        <v>44413</v>
      </c>
      <c r="C741" s="125">
        <v>23319.53</v>
      </c>
      <c r="E741" s="141"/>
      <c r="F741" s="141"/>
    </row>
    <row r="742" spans="2:6" hidden="1" outlineLevel="1" x14ac:dyDescent="0.15">
      <c r="B742" s="101">
        <v>44412</v>
      </c>
      <c r="C742" s="125">
        <v>23265.07</v>
      </c>
      <c r="E742" s="141"/>
      <c r="F742" s="141"/>
    </row>
    <row r="743" spans="2:6" hidden="1" outlineLevel="1" x14ac:dyDescent="0.15">
      <c r="B743" s="101">
        <v>44411</v>
      </c>
      <c r="C743" s="125">
        <v>23081.86</v>
      </c>
      <c r="E743" s="141"/>
      <c r="F743" s="141"/>
    </row>
    <row r="744" spans="2:6" hidden="1" outlineLevel="1" x14ac:dyDescent="0.15">
      <c r="B744" s="101">
        <v>44410</v>
      </c>
      <c r="C744" s="125">
        <v>22730.42</v>
      </c>
      <c r="E744" s="141"/>
      <c r="F744" s="141"/>
    </row>
    <row r="745" spans="2:6" hidden="1" outlineLevel="1" x14ac:dyDescent="0.15">
      <c r="B745" s="101">
        <v>44407</v>
      </c>
      <c r="C745" s="125">
        <v>22554.26</v>
      </c>
      <c r="E745" s="141"/>
      <c r="F745" s="141"/>
    </row>
    <row r="746" spans="2:6" hidden="1" outlineLevel="1" x14ac:dyDescent="0.15">
      <c r="B746" s="101">
        <v>44406</v>
      </c>
      <c r="C746" s="125">
        <v>22576.34</v>
      </c>
      <c r="E746" s="141"/>
      <c r="F746" s="141"/>
    </row>
    <row r="747" spans="2:6" hidden="1" outlineLevel="1" x14ac:dyDescent="0.15">
      <c r="B747" s="101">
        <v>44405</v>
      </c>
      <c r="C747" s="125">
        <v>22472.95</v>
      </c>
      <c r="E747" s="141"/>
      <c r="F747" s="141"/>
    </row>
    <row r="748" spans="2:6" hidden="1" outlineLevel="1" x14ac:dyDescent="0.15">
      <c r="B748" s="101">
        <v>44404</v>
      </c>
      <c r="C748" s="125">
        <v>22518.799999999999</v>
      </c>
      <c r="E748" s="141"/>
      <c r="F748" s="141"/>
    </row>
    <row r="749" spans="2:6" hidden="1" outlineLevel="1" x14ac:dyDescent="0.15">
      <c r="B749" s="101">
        <v>44403</v>
      </c>
      <c r="C749" s="125">
        <v>22628.19</v>
      </c>
      <c r="E749" s="141"/>
      <c r="F749" s="141"/>
    </row>
    <row r="750" spans="2:6" hidden="1" outlineLevel="1" x14ac:dyDescent="0.15">
      <c r="B750" s="101">
        <v>44400</v>
      </c>
      <c r="C750" s="125">
        <v>22673.35</v>
      </c>
      <c r="E750" s="141"/>
      <c r="F750" s="141"/>
    </row>
    <row r="751" spans="2:6" hidden="1" outlineLevel="1" x14ac:dyDescent="0.15">
      <c r="B751" s="101">
        <v>44399</v>
      </c>
      <c r="C751" s="125">
        <v>22621.45</v>
      </c>
      <c r="E751" s="141"/>
      <c r="F751" s="141"/>
    </row>
    <row r="752" spans="2:6" hidden="1" outlineLevel="1" x14ac:dyDescent="0.15">
      <c r="B752" s="101">
        <v>44397</v>
      </c>
      <c r="C752" s="125">
        <v>22344.81</v>
      </c>
      <c r="E752" s="141"/>
      <c r="F752" s="141"/>
    </row>
    <row r="753" spans="2:6" hidden="1" outlineLevel="1" x14ac:dyDescent="0.15">
      <c r="B753" s="101">
        <v>44396</v>
      </c>
      <c r="C753" s="125">
        <v>22516.71</v>
      </c>
      <c r="E753" s="141"/>
      <c r="F753" s="141"/>
    </row>
    <row r="754" spans="2:6" hidden="1" outlineLevel="1" x14ac:dyDescent="0.15">
      <c r="B754" s="101">
        <v>44393</v>
      </c>
      <c r="C754" s="125">
        <v>22761.200000000001</v>
      </c>
      <c r="E754" s="141"/>
      <c r="F754" s="141"/>
    </row>
    <row r="755" spans="2:6" hidden="1" outlineLevel="1" x14ac:dyDescent="0.15">
      <c r="B755" s="101">
        <v>44392</v>
      </c>
      <c r="C755" s="125">
        <v>22762.34</v>
      </c>
      <c r="E755" s="141"/>
      <c r="F755" s="141"/>
    </row>
    <row r="756" spans="2:6" hidden="1" outlineLevel="1" x14ac:dyDescent="0.15">
      <c r="B756" s="101">
        <v>44391</v>
      </c>
      <c r="C756" s="125">
        <v>22656.78</v>
      </c>
      <c r="E756" s="141"/>
      <c r="F756" s="141"/>
    </row>
    <row r="757" spans="2:6" hidden="1" outlineLevel="1" x14ac:dyDescent="0.15">
      <c r="B757" s="101">
        <v>44390</v>
      </c>
      <c r="C757" s="125">
        <v>22595.49</v>
      </c>
      <c r="E757" s="141"/>
      <c r="F757" s="141"/>
    </row>
    <row r="758" spans="2:6" hidden="1" outlineLevel="1" x14ac:dyDescent="0.15">
      <c r="B758" s="101">
        <v>44389</v>
      </c>
      <c r="C758" s="125">
        <v>22424.39</v>
      </c>
      <c r="E758" s="141"/>
      <c r="F758" s="141"/>
    </row>
    <row r="759" spans="2:6" hidden="1" outlineLevel="1" x14ac:dyDescent="0.15">
      <c r="B759" s="101">
        <v>44386</v>
      </c>
      <c r="C759" s="125">
        <v>22420.36</v>
      </c>
      <c r="E759" s="141"/>
      <c r="F759" s="141"/>
    </row>
    <row r="760" spans="2:6" hidden="1" outlineLevel="1" x14ac:dyDescent="0.15">
      <c r="B760" s="101">
        <v>44385</v>
      </c>
      <c r="C760" s="125">
        <v>22473.81</v>
      </c>
      <c r="E760" s="141"/>
      <c r="F760" s="141"/>
    </row>
    <row r="761" spans="2:6" hidden="1" outlineLevel="1" x14ac:dyDescent="0.15">
      <c r="B761" s="101">
        <v>44384</v>
      </c>
      <c r="C761" s="125">
        <v>22683.66</v>
      </c>
      <c r="E761" s="141"/>
      <c r="F761" s="141"/>
    </row>
    <row r="762" spans="2:6" hidden="1" outlineLevel="1" x14ac:dyDescent="0.15">
      <c r="B762" s="101">
        <v>44383</v>
      </c>
      <c r="C762" s="125">
        <v>22595.93</v>
      </c>
      <c r="E762" s="141"/>
      <c r="F762" s="141"/>
    </row>
    <row r="763" spans="2:6" hidden="1" outlineLevel="1" x14ac:dyDescent="0.15">
      <c r="B763" s="101">
        <v>44382</v>
      </c>
      <c r="C763" s="125">
        <v>22618.97</v>
      </c>
      <c r="E763" s="141"/>
      <c r="F763" s="141"/>
    </row>
    <row r="764" spans="2:6" hidden="1" outlineLevel="1" x14ac:dyDescent="0.15">
      <c r="B764" s="101">
        <v>44379</v>
      </c>
      <c r="C764" s="125">
        <v>22456.66</v>
      </c>
      <c r="E764" s="141"/>
      <c r="F764" s="141"/>
    </row>
    <row r="765" spans="2:6" hidden="1" outlineLevel="1" x14ac:dyDescent="0.15">
      <c r="B765" s="101">
        <v>44378</v>
      </c>
      <c r="C765" s="125">
        <v>22396.400000000001</v>
      </c>
      <c r="E765" s="141"/>
      <c r="F765" s="141"/>
    </row>
    <row r="766" spans="2:6" hidden="1" outlineLevel="1" x14ac:dyDescent="0.15">
      <c r="B766" s="101">
        <v>44377</v>
      </c>
      <c r="C766" s="125">
        <v>22455.7</v>
      </c>
      <c r="E766" s="141"/>
      <c r="F766" s="141"/>
    </row>
    <row r="767" spans="2:6" hidden="1" outlineLevel="1" x14ac:dyDescent="0.15">
      <c r="B767" s="101">
        <v>44376</v>
      </c>
      <c r="C767" s="125">
        <v>22493.599999999999</v>
      </c>
      <c r="E767" s="141"/>
      <c r="F767" s="141"/>
    </row>
    <row r="768" spans="2:6" hidden="1" outlineLevel="1" x14ac:dyDescent="0.15">
      <c r="B768" s="101">
        <v>44375</v>
      </c>
      <c r="C768" s="125">
        <v>22578.86</v>
      </c>
      <c r="E768" s="141"/>
      <c r="F768" s="141"/>
    </row>
    <row r="769" spans="2:6" hidden="1" outlineLevel="1" x14ac:dyDescent="0.15">
      <c r="B769" s="101">
        <v>44372</v>
      </c>
      <c r="C769" s="125">
        <v>22644.06</v>
      </c>
      <c r="E769" s="141"/>
      <c r="F769" s="141"/>
    </row>
    <row r="770" spans="2:6" hidden="1" outlineLevel="1" x14ac:dyDescent="0.15">
      <c r="B770" s="101">
        <v>44371</v>
      </c>
      <c r="C770" s="125">
        <v>22544.26</v>
      </c>
      <c r="E770" s="141"/>
      <c r="F770" s="141"/>
    </row>
    <row r="771" spans="2:6" hidden="1" outlineLevel="1" x14ac:dyDescent="0.15">
      <c r="B771" s="101">
        <v>44370</v>
      </c>
      <c r="C771" s="125">
        <v>22395.25</v>
      </c>
      <c r="E771" s="141"/>
      <c r="F771" s="141"/>
    </row>
    <row r="772" spans="2:6" hidden="1" outlineLevel="1" x14ac:dyDescent="0.15">
      <c r="B772" s="101">
        <v>44369</v>
      </c>
      <c r="C772" s="125">
        <v>22517.74</v>
      </c>
      <c r="E772" s="141"/>
      <c r="F772" s="141"/>
    </row>
    <row r="773" spans="2:6" hidden="1" outlineLevel="1" x14ac:dyDescent="0.15">
      <c r="B773" s="101">
        <v>44368</v>
      </c>
      <c r="C773" s="125">
        <v>22480.3</v>
      </c>
      <c r="E773" s="141"/>
      <c r="F773" s="141"/>
    </row>
    <row r="774" spans="2:6" hidden="1" outlineLevel="1" x14ac:dyDescent="0.15">
      <c r="B774" s="101">
        <v>44365</v>
      </c>
      <c r="C774" s="125">
        <v>22390.11</v>
      </c>
      <c r="E774" s="141"/>
      <c r="F774" s="141"/>
    </row>
    <row r="775" spans="2:6" hidden="1" outlineLevel="1" x14ac:dyDescent="0.15">
      <c r="B775" s="101">
        <v>44364</v>
      </c>
      <c r="C775" s="125">
        <v>22401.65</v>
      </c>
      <c r="E775" s="141"/>
      <c r="F775" s="141"/>
    </row>
    <row r="776" spans="2:6" hidden="1" outlineLevel="1" x14ac:dyDescent="0.15">
      <c r="B776" s="101">
        <v>44363</v>
      </c>
      <c r="C776" s="125">
        <v>22503.9</v>
      </c>
      <c r="E776" s="141"/>
      <c r="F776" s="141"/>
    </row>
    <row r="777" spans="2:6" hidden="1" outlineLevel="1" x14ac:dyDescent="0.15">
      <c r="B777" s="101">
        <v>44362</v>
      </c>
      <c r="C777" s="125">
        <v>22649.05</v>
      </c>
      <c r="E777" s="141"/>
      <c r="F777" s="141"/>
    </row>
    <row r="778" spans="2:6" hidden="1" outlineLevel="1" x14ac:dyDescent="0.15">
      <c r="B778" s="101">
        <v>44361</v>
      </c>
      <c r="C778" s="125">
        <v>22567.11</v>
      </c>
      <c r="E778" s="141"/>
      <c r="F778" s="141"/>
    </row>
    <row r="779" spans="2:6" hidden="1" outlineLevel="1" x14ac:dyDescent="0.15">
      <c r="B779" s="101">
        <v>44358</v>
      </c>
      <c r="C779" s="125">
        <v>22544.26</v>
      </c>
      <c r="E779" s="141"/>
      <c r="F779" s="141"/>
    </row>
    <row r="780" spans="2:6" hidden="1" outlineLevel="1" x14ac:dyDescent="0.15">
      <c r="B780" s="101">
        <v>44357</v>
      </c>
      <c r="C780" s="125">
        <v>22448.94</v>
      </c>
      <c r="E780" s="141"/>
      <c r="F780" s="141"/>
    </row>
    <row r="781" spans="2:6" hidden="1" outlineLevel="1" x14ac:dyDescent="0.15">
      <c r="B781" s="101">
        <v>44356</v>
      </c>
      <c r="C781" s="125">
        <v>22283.52</v>
      </c>
      <c r="E781" s="141"/>
      <c r="F781" s="141"/>
    </row>
    <row r="782" spans="2:6" hidden="1" outlineLevel="1" x14ac:dyDescent="0.15">
      <c r="B782" s="101">
        <v>44355</v>
      </c>
      <c r="C782" s="125">
        <v>22432.77</v>
      </c>
      <c r="E782" s="141"/>
      <c r="F782" s="141"/>
    </row>
    <row r="783" spans="2:6" hidden="1" outlineLevel="1" x14ac:dyDescent="0.15">
      <c r="B783" s="101">
        <v>44354</v>
      </c>
      <c r="C783" s="125">
        <v>22449.24</v>
      </c>
      <c r="E783" s="141"/>
      <c r="F783" s="141"/>
    </row>
    <row r="784" spans="2:6" hidden="1" outlineLevel="1" x14ac:dyDescent="0.15">
      <c r="B784" s="101">
        <v>44351</v>
      </c>
      <c r="C784" s="125">
        <v>22333.23</v>
      </c>
      <c r="E784" s="141"/>
      <c r="F784" s="141"/>
    </row>
    <row r="785" spans="2:6" hidden="1" outlineLevel="1" x14ac:dyDescent="0.15">
      <c r="B785" s="101">
        <v>44350</v>
      </c>
      <c r="C785" s="125">
        <v>22361.86</v>
      </c>
      <c r="E785" s="141"/>
      <c r="F785" s="141"/>
    </row>
    <row r="786" spans="2:6" hidden="1" outlineLevel="1" x14ac:dyDescent="0.15">
      <c r="B786" s="101">
        <v>44349</v>
      </c>
      <c r="C786" s="125">
        <v>22194.18</v>
      </c>
      <c r="E786" s="141"/>
      <c r="F786" s="141"/>
    </row>
    <row r="787" spans="2:6" hidden="1" outlineLevel="1" x14ac:dyDescent="0.15">
      <c r="B787" s="101">
        <v>44348</v>
      </c>
      <c r="C787" s="125">
        <v>22192.25</v>
      </c>
      <c r="E787" s="141"/>
      <c r="F787" s="141"/>
    </row>
    <row r="788" spans="2:6" hidden="1" outlineLevel="1" x14ac:dyDescent="0.15">
      <c r="B788" s="101">
        <v>44347</v>
      </c>
      <c r="C788" s="125">
        <v>22203.59</v>
      </c>
      <c r="E788" s="141"/>
      <c r="F788" s="141"/>
    </row>
    <row r="789" spans="2:6" hidden="1" outlineLevel="1" x14ac:dyDescent="0.15">
      <c r="B789" s="101">
        <v>44344</v>
      </c>
      <c r="C789" s="125">
        <v>21962.31</v>
      </c>
      <c r="E789" s="141"/>
      <c r="F789" s="141"/>
    </row>
    <row r="790" spans="2:6" hidden="1" outlineLevel="1" x14ac:dyDescent="0.15">
      <c r="B790" s="101">
        <v>44343</v>
      </c>
      <c r="C790" s="125">
        <v>21823.14</v>
      </c>
      <c r="E790" s="141"/>
      <c r="F790" s="141"/>
    </row>
    <row r="791" spans="2:6" hidden="1" outlineLevel="1" x14ac:dyDescent="0.15">
      <c r="B791" s="101">
        <v>44342</v>
      </c>
      <c r="C791" s="125">
        <v>21771.35</v>
      </c>
      <c r="E791" s="141"/>
      <c r="F791" s="141"/>
    </row>
    <row r="792" spans="2:6" hidden="1" outlineLevel="1" x14ac:dyDescent="0.15">
      <c r="B792" s="101">
        <v>44341</v>
      </c>
      <c r="C792" s="125">
        <v>21639.040000000001</v>
      </c>
      <c r="E792" s="141"/>
      <c r="F792" s="141"/>
    </row>
    <row r="793" spans="2:6" hidden="1" outlineLevel="1" x14ac:dyDescent="0.15">
      <c r="B793" s="101">
        <v>44340</v>
      </c>
      <c r="C793" s="125">
        <v>21617.03</v>
      </c>
      <c r="E793" s="141"/>
      <c r="F793" s="141"/>
    </row>
    <row r="794" spans="2:6" hidden="1" outlineLevel="1" x14ac:dyDescent="0.15">
      <c r="B794" s="101">
        <v>44337</v>
      </c>
      <c r="C794" s="125">
        <v>21585.18</v>
      </c>
      <c r="E794" s="141"/>
      <c r="F794" s="141"/>
    </row>
    <row r="795" spans="2:6" hidden="1" outlineLevel="1" x14ac:dyDescent="0.15">
      <c r="B795" s="101">
        <v>44336</v>
      </c>
      <c r="C795" s="125">
        <v>21202.21</v>
      </c>
      <c r="E795" s="141"/>
      <c r="F795" s="141"/>
    </row>
    <row r="796" spans="2:6" hidden="1" outlineLevel="1" x14ac:dyDescent="0.15">
      <c r="B796" s="101">
        <v>44335</v>
      </c>
      <c r="C796" s="125">
        <v>21378.71</v>
      </c>
      <c r="E796" s="141"/>
      <c r="F796" s="141"/>
    </row>
    <row r="797" spans="2:6" hidden="1" outlineLevel="1" x14ac:dyDescent="0.15">
      <c r="B797" s="101">
        <v>44334</v>
      </c>
      <c r="C797" s="125">
        <v>21489.56</v>
      </c>
      <c r="E797" s="141"/>
      <c r="F797" s="141"/>
    </row>
    <row r="798" spans="2:6" hidden="1" outlineLevel="1" x14ac:dyDescent="0.15">
      <c r="B798" s="101">
        <v>44333</v>
      </c>
      <c r="C798" s="125">
        <v>21226.53</v>
      </c>
      <c r="E798" s="141"/>
      <c r="F798" s="141"/>
    </row>
    <row r="799" spans="2:6" hidden="1" outlineLevel="1" x14ac:dyDescent="0.15">
      <c r="B799" s="101">
        <v>44330</v>
      </c>
      <c r="C799" s="125">
        <v>20877.560000000001</v>
      </c>
      <c r="E799" s="141"/>
      <c r="F799" s="141"/>
    </row>
    <row r="800" spans="2:6" hidden="1" outlineLevel="1" x14ac:dyDescent="0.15">
      <c r="B800" s="101">
        <v>44328</v>
      </c>
      <c r="C800" s="125">
        <v>20904.13</v>
      </c>
      <c r="E800" s="141"/>
      <c r="F800" s="141"/>
    </row>
    <row r="801" spans="2:6" hidden="1" outlineLevel="1" x14ac:dyDescent="0.15">
      <c r="B801" s="101">
        <v>44327</v>
      </c>
      <c r="C801" s="125">
        <v>21123.53</v>
      </c>
      <c r="E801" s="141"/>
      <c r="F801" s="141"/>
    </row>
    <row r="802" spans="2:6" hidden="1" outlineLevel="1" x14ac:dyDescent="0.15">
      <c r="B802" s="101">
        <v>44326</v>
      </c>
      <c r="C802" s="125">
        <v>21253.8</v>
      </c>
      <c r="E802" s="141"/>
      <c r="F802" s="141"/>
    </row>
    <row r="803" spans="2:6" hidden="1" outlineLevel="1" x14ac:dyDescent="0.15">
      <c r="B803" s="101">
        <v>44323</v>
      </c>
      <c r="C803" s="125">
        <v>21084.26</v>
      </c>
      <c r="E803" s="141"/>
      <c r="F803" s="141"/>
    </row>
    <row r="804" spans="2:6" hidden="1" outlineLevel="1" x14ac:dyDescent="0.15">
      <c r="B804" s="101">
        <v>44322</v>
      </c>
      <c r="C804" s="125">
        <v>20944.41</v>
      </c>
      <c r="E804" s="141"/>
      <c r="F804" s="141"/>
    </row>
    <row r="805" spans="2:6" hidden="1" outlineLevel="1" x14ac:dyDescent="0.15">
      <c r="B805" s="101">
        <v>44321</v>
      </c>
      <c r="C805" s="125">
        <v>20792.240000000002</v>
      </c>
      <c r="E805" s="141"/>
      <c r="F805" s="141"/>
    </row>
    <row r="806" spans="2:6" hidden="1" outlineLevel="1" x14ac:dyDescent="0.15">
      <c r="B806" s="101">
        <v>44320</v>
      </c>
      <c r="C806" s="125">
        <v>20619.62</v>
      </c>
      <c r="E806" s="141"/>
      <c r="F806" s="141"/>
    </row>
    <row r="807" spans="2:6" hidden="1" outlineLevel="1" x14ac:dyDescent="0.15">
      <c r="B807" s="101">
        <v>44319</v>
      </c>
      <c r="C807" s="125">
        <v>20815.43</v>
      </c>
      <c r="E807" s="141"/>
      <c r="F807" s="141"/>
    </row>
    <row r="808" spans="2:6" hidden="1" outlineLevel="1" x14ac:dyDescent="0.15">
      <c r="B808" s="101">
        <v>44316</v>
      </c>
      <c r="C808" s="125">
        <v>20811.13</v>
      </c>
      <c r="E808" s="141"/>
      <c r="F808" s="141"/>
    </row>
    <row r="809" spans="2:6" hidden="1" outlineLevel="1" x14ac:dyDescent="0.15">
      <c r="B809" s="101">
        <v>44315</v>
      </c>
      <c r="C809" s="125">
        <v>21186.3</v>
      </c>
      <c r="E809" s="141"/>
      <c r="F809" s="141"/>
    </row>
    <row r="810" spans="2:6" hidden="1" outlineLevel="1" x14ac:dyDescent="0.15">
      <c r="B810" s="101">
        <v>44314</v>
      </c>
      <c r="C810" s="125">
        <v>21136.41</v>
      </c>
      <c r="E810" s="141"/>
      <c r="F810" s="141"/>
    </row>
    <row r="811" spans="2:6" hidden="1" outlineLevel="1" x14ac:dyDescent="0.15">
      <c r="B811" s="101">
        <v>44313</v>
      </c>
      <c r="C811" s="125">
        <v>20835.669999999998</v>
      </c>
      <c r="E811" s="141"/>
      <c r="F811" s="141"/>
    </row>
    <row r="812" spans="2:6" hidden="1" outlineLevel="1" x14ac:dyDescent="0.15">
      <c r="B812" s="101">
        <v>44312</v>
      </c>
      <c r="C812" s="125">
        <v>20596.72</v>
      </c>
      <c r="E812" s="141"/>
      <c r="F812" s="141"/>
    </row>
    <row r="813" spans="2:6" hidden="1" outlineLevel="1" x14ac:dyDescent="0.15">
      <c r="B813" s="101">
        <v>44309</v>
      </c>
      <c r="C813" s="125">
        <v>20392.439999999999</v>
      </c>
      <c r="E813" s="141"/>
      <c r="F813" s="141"/>
    </row>
    <row r="814" spans="2:6" hidden="1" outlineLevel="1" x14ac:dyDescent="0.15">
      <c r="B814" s="101">
        <v>44308</v>
      </c>
      <c r="C814" s="125">
        <v>20484.63</v>
      </c>
      <c r="E814" s="141"/>
      <c r="F814" s="141"/>
    </row>
    <row r="815" spans="2:6" hidden="1" outlineLevel="1" x14ac:dyDescent="0.15">
      <c r="B815" s="101">
        <v>44306</v>
      </c>
      <c r="C815" s="125">
        <v>20328.55</v>
      </c>
      <c r="E815" s="141"/>
      <c r="F815" s="141"/>
    </row>
    <row r="816" spans="2:6" hidden="1" outlineLevel="1" x14ac:dyDescent="0.15">
      <c r="B816" s="101">
        <v>44305</v>
      </c>
      <c r="C816" s="125">
        <v>20418.16</v>
      </c>
      <c r="E816" s="141"/>
      <c r="F816" s="141"/>
    </row>
    <row r="817" spans="2:6" hidden="1" outlineLevel="1" x14ac:dyDescent="0.15">
      <c r="B817" s="101">
        <v>44302</v>
      </c>
      <c r="C817" s="125">
        <v>20785.61</v>
      </c>
      <c r="E817" s="141"/>
      <c r="F817" s="141"/>
    </row>
    <row r="818" spans="2:6" hidden="1" outlineLevel="1" x14ac:dyDescent="0.15">
      <c r="B818" s="101">
        <v>44301</v>
      </c>
      <c r="C818" s="125">
        <v>20733.88</v>
      </c>
      <c r="E818" s="141"/>
      <c r="F818" s="141"/>
    </row>
    <row r="819" spans="2:6" hidden="1" outlineLevel="1" x14ac:dyDescent="0.15">
      <c r="B819" s="101">
        <v>44299</v>
      </c>
      <c r="C819" s="125">
        <v>20624.86</v>
      </c>
      <c r="E819" s="141"/>
      <c r="F819" s="141"/>
    </row>
    <row r="820" spans="2:6" hidden="1" outlineLevel="1" x14ac:dyDescent="0.15">
      <c r="B820" s="101">
        <v>44298</v>
      </c>
      <c r="C820" s="125">
        <v>20348.990000000002</v>
      </c>
      <c r="E820" s="141"/>
      <c r="F820" s="141"/>
    </row>
    <row r="821" spans="2:6" hidden="1" outlineLevel="1" x14ac:dyDescent="0.15">
      <c r="B821" s="101">
        <v>44295</v>
      </c>
      <c r="C821" s="125">
        <v>21094.17</v>
      </c>
      <c r="E821" s="141"/>
      <c r="F821" s="141"/>
    </row>
    <row r="822" spans="2:6" hidden="1" outlineLevel="1" x14ac:dyDescent="0.15">
      <c r="B822" s="101">
        <v>44294</v>
      </c>
      <c r="C822" s="125">
        <v>21149.59</v>
      </c>
      <c r="E822" s="141"/>
      <c r="F822" s="141"/>
    </row>
    <row r="823" spans="2:6" hidden="1" outlineLevel="1" x14ac:dyDescent="0.15">
      <c r="B823" s="101">
        <v>44293</v>
      </c>
      <c r="C823" s="125">
        <v>21069.32</v>
      </c>
      <c r="E823" s="141"/>
      <c r="F823" s="141"/>
    </row>
    <row r="824" spans="2:6" hidden="1" outlineLevel="1" x14ac:dyDescent="0.15">
      <c r="B824" s="101">
        <v>44292</v>
      </c>
      <c r="C824" s="125">
        <v>20876.57</v>
      </c>
      <c r="E824" s="141"/>
      <c r="F824" s="141"/>
    </row>
    <row r="825" spans="2:6" hidden="1" outlineLevel="1" x14ac:dyDescent="0.15">
      <c r="B825" s="101">
        <v>44291</v>
      </c>
      <c r="C825" s="125">
        <v>20811.61</v>
      </c>
      <c r="E825" s="141"/>
      <c r="F825" s="141"/>
    </row>
    <row r="826" spans="2:6" hidden="1" outlineLevel="1" x14ac:dyDescent="0.15">
      <c r="B826" s="101">
        <v>44287</v>
      </c>
      <c r="C826" s="125">
        <v>21137.69</v>
      </c>
      <c r="E826" s="141"/>
      <c r="F826" s="141"/>
    </row>
    <row r="827" spans="2:6" hidden="1" outlineLevel="1" x14ac:dyDescent="0.15">
      <c r="B827" s="101">
        <v>44286</v>
      </c>
      <c r="C827" s="125">
        <v>20886.52</v>
      </c>
      <c r="E827" s="141"/>
      <c r="F827" s="141"/>
    </row>
    <row r="828" spans="2:6" hidden="1" outlineLevel="1" x14ac:dyDescent="0.15">
      <c r="B828" s="101">
        <v>44285</v>
      </c>
      <c r="C828" s="125">
        <v>21106.06</v>
      </c>
      <c r="E828" s="141"/>
      <c r="F828" s="141"/>
    </row>
    <row r="829" spans="2:6" hidden="1" outlineLevel="1" x14ac:dyDescent="0.15">
      <c r="B829" s="101">
        <v>44281</v>
      </c>
      <c r="C829" s="125">
        <v>20625.79</v>
      </c>
      <c r="E829" s="141"/>
      <c r="F829" s="141"/>
    </row>
    <row r="830" spans="2:6" hidden="1" outlineLevel="1" x14ac:dyDescent="0.15">
      <c r="B830" s="101">
        <v>44280</v>
      </c>
      <c r="C830" s="125">
        <v>20366.419999999998</v>
      </c>
      <c r="E830" s="141"/>
      <c r="F830" s="141"/>
    </row>
    <row r="831" spans="2:6" hidden="1" outlineLevel="1" x14ac:dyDescent="0.15">
      <c r="B831" s="101">
        <v>44279</v>
      </c>
      <c r="C831" s="125">
        <v>20684.27</v>
      </c>
      <c r="E831" s="141"/>
      <c r="F831" s="141"/>
    </row>
    <row r="832" spans="2:6" hidden="1" outlineLevel="1" x14ac:dyDescent="0.15">
      <c r="B832" s="101">
        <v>44278</v>
      </c>
      <c r="C832" s="125">
        <v>21061.52</v>
      </c>
      <c r="E832" s="141"/>
      <c r="F832" s="141"/>
    </row>
    <row r="833" spans="2:6" hidden="1" outlineLevel="1" x14ac:dyDescent="0.15">
      <c r="B833" s="101">
        <v>44277</v>
      </c>
      <c r="C833" s="125">
        <v>20947.650000000001</v>
      </c>
      <c r="E833" s="141"/>
      <c r="F833" s="141"/>
    </row>
    <row r="834" spans="2:6" hidden="1" outlineLevel="1" x14ac:dyDescent="0.15">
      <c r="B834" s="101">
        <v>44274</v>
      </c>
      <c r="C834" s="125">
        <v>20956.87</v>
      </c>
      <c r="E834" s="141"/>
      <c r="F834" s="141"/>
    </row>
    <row r="835" spans="2:6" hidden="1" outlineLevel="1" x14ac:dyDescent="0.15">
      <c r="B835" s="101">
        <v>44273</v>
      </c>
      <c r="C835" s="125">
        <v>20692.34</v>
      </c>
      <c r="E835" s="141"/>
      <c r="F835" s="141"/>
    </row>
    <row r="836" spans="2:6" hidden="1" outlineLevel="1" x14ac:dyDescent="0.15">
      <c r="B836" s="101">
        <v>44272</v>
      </c>
      <c r="C836" s="125">
        <v>20924.61</v>
      </c>
      <c r="E836" s="141"/>
      <c r="F836" s="141"/>
    </row>
    <row r="837" spans="2:6" hidden="1" outlineLevel="1" x14ac:dyDescent="0.15">
      <c r="B837" s="101">
        <v>44271</v>
      </c>
      <c r="C837" s="125">
        <v>21193.46</v>
      </c>
      <c r="E837" s="141"/>
      <c r="F837" s="141"/>
    </row>
    <row r="838" spans="2:6" hidden="1" outlineLevel="1" x14ac:dyDescent="0.15">
      <c r="B838" s="101">
        <v>44270</v>
      </c>
      <c r="C838" s="125">
        <v>21220.59</v>
      </c>
      <c r="E838" s="141"/>
      <c r="F838" s="141"/>
    </row>
    <row r="839" spans="2:6" hidden="1" outlineLevel="1" x14ac:dyDescent="0.15">
      <c r="B839" s="101">
        <v>44267</v>
      </c>
      <c r="C839" s="125">
        <v>21361.29</v>
      </c>
      <c r="E839" s="141"/>
      <c r="F839" s="141"/>
    </row>
    <row r="840" spans="2:6" hidden="1" outlineLevel="1" x14ac:dyDescent="0.15">
      <c r="B840" s="101">
        <v>44265</v>
      </c>
      <c r="C840" s="125">
        <v>21565.72</v>
      </c>
      <c r="E840" s="141"/>
      <c r="F840" s="141"/>
    </row>
    <row r="841" spans="2:6" hidden="1" outlineLevel="1" x14ac:dyDescent="0.15">
      <c r="B841" s="101">
        <v>44264</v>
      </c>
      <c r="C841" s="125">
        <v>21457.17</v>
      </c>
      <c r="E841" s="141"/>
      <c r="F841" s="141"/>
    </row>
    <row r="842" spans="2:6" hidden="1" outlineLevel="1" x14ac:dyDescent="0.15">
      <c r="B842" s="101">
        <v>44263</v>
      </c>
      <c r="C842" s="125">
        <v>21255.06</v>
      </c>
      <c r="E842" s="141"/>
      <c r="F842" s="141"/>
    </row>
    <row r="843" spans="2:6" hidden="1" outlineLevel="1" x14ac:dyDescent="0.15">
      <c r="B843" s="101">
        <v>44260</v>
      </c>
      <c r="C843" s="125">
        <v>21225.94</v>
      </c>
      <c r="E843" s="141"/>
      <c r="F843" s="141"/>
    </row>
    <row r="844" spans="2:6" hidden="1" outlineLevel="1" x14ac:dyDescent="0.15">
      <c r="B844" s="101">
        <v>44259</v>
      </c>
      <c r="C844" s="125">
        <v>21428.63</v>
      </c>
      <c r="E844" s="141"/>
      <c r="F844" s="141"/>
    </row>
    <row r="845" spans="2:6" hidden="1" outlineLevel="1" x14ac:dyDescent="0.15">
      <c r="B845" s="101">
        <v>44258</v>
      </c>
      <c r="C845" s="125">
        <v>21662.92</v>
      </c>
      <c r="E845" s="141"/>
      <c r="F845" s="141"/>
    </row>
    <row r="846" spans="2:6" hidden="1" outlineLevel="1" x14ac:dyDescent="0.15">
      <c r="B846" s="101">
        <v>44257</v>
      </c>
      <c r="C846" s="125">
        <v>21198.93</v>
      </c>
      <c r="E846" s="141"/>
      <c r="F846" s="141"/>
    </row>
    <row r="847" spans="2:6" hidden="1" outlineLevel="1" x14ac:dyDescent="0.15">
      <c r="B847" s="101">
        <v>44256</v>
      </c>
      <c r="C847" s="125">
        <v>20975.08</v>
      </c>
      <c r="E847" s="141"/>
      <c r="F847" s="141"/>
    </row>
    <row r="848" spans="2:6" hidden="1" outlineLevel="1" x14ac:dyDescent="0.15">
      <c r="B848" s="101">
        <v>44253</v>
      </c>
      <c r="C848" s="125">
        <v>20644.88</v>
      </c>
      <c r="E848" s="141"/>
      <c r="F848" s="141"/>
    </row>
    <row r="849" spans="2:6" hidden="1" outlineLevel="1" x14ac:dyDescent="0.15">
      <c r="B849" s="101">
        <v>44252</v>
      </c>
      <c r="C849" s="125">
        <v>21452.240000000002</v>
      </c>
      <c r="E849" s="141"/>
      <c r="F849" s="141"/>
    </row>
    <row r="850" spans="2:6" hidden="1" outlineLevel="1" x14ac:dyDescent="0.15">
      <c r="B850" s="101">
        <v>44251</v>
      </c>
      <c r="C850" s="125">
        <v>21288.35</v>
      </c>
      <c r="E850" s="141"/>
      <c r="F850" s="141"/>
    </row>
    <row r="851" spans="2:6" hidden="1" outlineLevel="1" x14ac:dyDescent="0.15">
      <c r="B851" s="101">
        <v>44250</v>
      </c>
      <c r="C851" s="125">
        <v>20898.75</v>
      </c>
      <c r="E851" s="141"/>
      <c r="F851" s="141"/>
    </row>
    <row r="852" spans="2:6" hidden="1" outlineLevel="1" x14ac:dyDescent="0.15">
      <c r="B852" s="101">
        <v>44249</v>
      </c>
      <c r="C852" s="125">
        <v>20853.12</v>
      </c>
      <c r="E852" s="141"/>
      <c r="F852" s="141"/>
    </row>
    <row r="853" spans="2:6" hidden="1" outlineLevel="1" x14ac:dyDescent="0.15">
      <c r="B853" s="101">
        <v>44246</v>
      </c>
      <c r="C853" s="125">
        <v>21273.279999999999</v>
      </c>
      <c r="E853" s="141"/>
      <c r="F853" s="141"/>
    </row>
    <row r="854" spans="2:6" hidden="1" outlineLevel="1" x14ac:dyDescent="0.15">
      <c r="B854" s="101">
        <v>44245</v>
      </c>
      <c r="C854" s="125">
        <v>21468.11</v>
      </c>
      <c r="E854" s="141"/>
      <c r="F854" s="141"/>
    </row>
    <row r="855" spans="2:6" hidden="1" outlineLevel="1" x14ac:dyDescent="0.15">
      <c r="B855" s="101">
        <v>44244</v>
      </c>
      <c r="C855" s="125">
        <v>21595.82</v>
      </c>
      <c r="E855" s="141"/>
      <c r="F855" s="141"/>
    </row>
    <row r="856" spans="2:6" hidden="1" outlineLevel="1" x14ac:dyDescent="0.15">
      <c r="B856" s="101">
        <v>44243</v>
      </c>
      <c r="C856" s="125">
        <v>21737.9</v>
      </c>
      <c r="E856" s="141"/>
      <c r="F856" s="141"/>
    </row>
    <row r="857" spans="2:6" hidden="1" outlineLevel="1" x14ac:dyDescent="0.15">
      <c r="B857" s="101">
        <v>44242</v>
      </c>
      <c r="C857" s="125">
        <v>21739.69</v>
      </c>
      <c r="E857" s="141"/>
      <c r="F857" s="141"/>
    </row>
    <row r="858" spans="2:6" hidden="1" outlineLevel="1" x14ac:dyDescent="0.15">
      <c r="B858" s="101">
        <v>44239</v>
      </c>
      <c r="C858" s="125">
        <v>21521.82</v>
      </c>
      <c r="E858" s="141"/>
      <c r="F858" s="141"/>
    </row>
    <row r="859" spans="2:6" hidden="1" outlineLevel="1" x14ac:dyDescent="0.15">
      <c r="B859" s="101">
        <v>44238</v>
      </c>
      <c r="C859" s="125">
        <v>21536</v>
      </c>
      <c r="E859" s="141"/>
      <c r="F859" s="141"/>
    </row>
    <row r="860" spans="2:6" hidden="1" outlineLevel="1" x14ac:dyDescent="0.15">
      <c r="B860" s="101">
        <v>44237</v>
      </c>
      <c r="C860" s="125">
        <v>21436.44</v>
      </c>
      <c r="E860" s="141"/>
      <c r="F860" s="141"/>
    </row>
    <row r="861" spans="2:6" hidden="1" outlineLevel="1" x14ac:dyDescent="0.15">
      <c r="B861" s="101">
        <v>44236</v>
      </c>
      <c r="C861" s="125">
        <v>21440.42</v>
      </c>
      <c r="E861" s="141"/>
      <c r="F861" s="141"/>
    </row>
    <row r="862" spans="2:6" hidden="1" outlineLevel="1" x14ac:dyDescent="0.15">
      <c r="B862" s="101">
        <v>44235</v>
      </c>
      <c r="C862" s="125">
        <v>21447.64</v>
      </c>
      <c r="E862" s="141"/>
      <c r="F862" s="141"/>
    </row>
    <row r="863" spans="2:6" hidden="1" outlineLevel="1" x14ac:dyDescent="0.15">
      <c r="B863" s="101">
        <v>44232</v>
      </c>
      <c r="C863" s="125">
        <v>21175.89</v>
      </c>
      <c r="E863" s="141"/>
      <c r="F863" s="141"/>
    </row>
    <row r="864" spans="2:6" hidden="1" outlineLevel="1" x14ac:dyDescent="0.15">
      <c r="B864" s="101">
        <v>44231</v>
      </c>
      <c r="C864" s="125">
        <v>21135.31</v>
      </c>
      <c r="E864" s="141"/>
      <c r="F864" s="141"/>
    </row>
    <row r="865" spans="2:6" hidden="1" outlineLevel="1" x14ac:dyDescent="0.15">
      <c r="B865" s="101">
        <v>44230</v>
      </c>
      <c r="C865" s="125">
        <v>20985.32</v>
      </c>
      <c r="E865" s="141"/>
      <c r="F865" s="141"/>
    </row>
    <row r="866" spans="2:6" hidden="1" outlineLevel="1" x14ac:dyDescent="0.15">
      <c r="B866" s="101">
        <v>44229</v>
      </c>
      <c r="C866" s="125">
        <v>20783.689999999999</v>
      </c>
      <c r="E866" s="141"/>
      <c r="F866" s="141"/>
    </row>
    <row r="867" spans="2:6" hidden="1" outlineLevel="1" x14ac:dyDescent="0.15">
      <c r="B867" s="101">
        <v>44228</v>
      </c>
      <c r="C867" s="125">
        <v>20263.439999999999</v>
      </c>
      <c r="E867" s="141"/>
      <c r="F867" s="141"/>
    </row>
    <row r="868" spans="2:6" hidden="1" outlineLevel="1" x14ac:dyDescent="0.15">
      <c r="B868" s="101">
        <v>44225</v>
      </c>
      <c r="C868" s="125">
        <v>19346.03</v>
      </c>
      <c r="E868" s="141"/>
      <c r="F868" s="141"/>
    </row>
    <row r="869" spans="2:6" hidden="1" outlineLevel="1" x14ac:dyDescent="0.15">
      <c r="B869" s="101">
        <v>44224</v>
      </c>
      <c r="C869" s="125">
        <v>19605.59</v>
      </c>
      <c r="E869" s="141"/>
      <c r="F869" s="141"/>
    </row>
    <row r="870" spans="2:6" hidden="1" outlineLevel="1" x14ac:dyDescent="0.15">
      <c r="B870" s="101">
        <v>44223</v>
      </c>
      <c r="C870" s="125">
        <v>19818.34</v>
      </c>
      <c r="E870" s="141"/>
      <c r="F870" s="141"/>
    </row>
    <row r="871" spans="2:6" hidden="1" outlineLevel="1" x14ac:dyDescent="0.15">
      <c r="B871" s="101">
        <v>44221</v>
      </c>
      <c r="C871" s="125">
        <v>20201.900000000001</v>
      </c>
      <c r="E871" s="141"/>
      <c r="F871" s="141"/>
    </row>
    <row r="872" spans="2:6" hidden="1" outlineLevel="1" x14ac:dyDescent="0.15">
      <c r="B872" s="101">
        <v>44218</v>
      </c>
      <c r="C872" s="125">
        <v>20390.57</v>
      </c>
      <c r="E872" s="141"/>
      <c r="F872" s="141"/>
    </row>
    <row r="873" spans="2:6" hidden="1" outlineLevel="1" x14ac:dyDescent="0.15">
      <c r="B873" s="101">
        <v>44217</v>
      </c>
      <c r="C873" s="125">
        <v>20700.02</v>
      </c>
      <c r="E873" s="141"/>
      <c r="F873" s="141"/>
    </row>
    <row r="874" spans="2:6" hidden="1" outlineLevel="1" x14ac:dyDescent="0.15">
      <c r="B874" s="101">
        <v>44216</v>
      </c>
      <c r="C874" s="125">
        <v>20775.669999999998</v>
      </c>
      <c r="E874" s="141"/>
      <c r="F874" s="141"/>
    </row>
    <row r="875" spans="2:6" hidden="1" outlineLevel="1" x14ac:dyDescent="0.15">
      <c r="B875" s="101">
        <v>44215</v>
      </c>
      <c r="C875" s="125">
        <v>20600.41</v>
      </c>
      <c r="E875" s="141"/>
      <c r="F875" s="141"/>
    </row>
    <row r="876" spans="2:6" hidden="1" outlineLevel="1" x14ac:dyDescent="0.15">
      <c r="B876" s="101">
        <v>44214</v>
      </c>
      <c r="C876" s="125">
        <v>20260.18</v>
      </c>
      <c r="E876" s="141"/>
      <c r="F876" s="141"/>
    </row>
    <row r="877" spans="2:6" hidden="1" outlineLevel="1" x14ac:dyDescent="0.15">
      <c r="B877" s="101">
        <v>44211</v>
      </c>
      <c r="C877" s="125">
        <v>20476.38</v>
      </c>
      <c r="E877" s="141"/>
      <c r="F877" s="141"/>
    </row>
    <row r="878" spans="2:6" hidden="1" outlineLevel="1" x14ac:dyDescent="0.15">
      <c r="B878" s="101">
        <v>44210</v>
      </c>
      <c r="C878" s="125">
        <v>20706.07</v>
      </c>
      <c r="E878" s="141"/>
      <c r="F878" s="141"/>
    </row>
    <row r="879" spans="2:6" hidden="1" outlineLevel="1" x14ac:dyDescent="0.15">
      <c r="B879" s="101">
        <v>44209</v>
      </c>
      <c r="C879" s="125">
        <v>20660.349999999999</v>
      </c>
      <c r="E879" s="141"/>
      <c r="F879" s="141"/>
    </row>
    <row r="880" spans="2:6" hidden="1" outlineLevel="1" x14ac:dyDescent="0.15">
      <c r="B880" s="101">
        <v>44208</v>
      </c>
      <c r="C880" s="125">
        <v>20658.34</v>
      </c>
      <c r="E880" s="141"/>
      <c r="F880" s="141"/>
    </row>
    <row r="881" spans="2:6" hidden="1" outlineLevel="1" x14ac:dyDescent="0.15">
      <c r="B881" s="101">
        <v>44207</v>
      </c>
      <c r="C881" s="125">
        <v>20546.740000000002</v>
      </c>
      <c r="E881" s="141"/>
      <c r="F881" s="141"/>
    </row>
    <row r="882" spans="2:6" hidden="1" outlineLevel="1" x14ac:dyDescent="0.15">
      <c r="B882" s="101">
        <v>44204</v>
      </c>
      <c r="C882" s="125">
        <v>20351.669999999998</v>
      </c>
      <c r="E882" s="141"/>
      <c r="F882" s="141"/>
    </row>
    <row r="883" spans="2:6" hidden="1" outlineLevel="1" x14ac:dyDescent="0.15">
      <c r="B883" s="101">
        <v>44203</v>
      </c>
      <c r="C883" s="125">
        <v>20053.97</v>
      </c>
      <c r="E883" s="141"/>
      <c r="F883" s="141"/>
    </row>
    <row r="884" spans="2:6" hidden="1" outlineLevel="1" x14ac:dyDescent="0.15">
      <c r="B884" s="101">
        <v>44202</v>
      </c>
      <c r="C884" s="125">
        <v>20066.560000000001</v>
      </c>
      <c r="E884" s="141"/>
      <c r="F884" s="141"/>
    </row>
    <row r="885" spans="2:6" hidden="1" outlineLevel="1" x14ac:dyDescent="0.15">
      <c r="B885" s="101">
        <v>44201</v>
      </c>
      <c r="C885" s="125">
        <v>20142.13</v>
      </c>
      <c r="E885" s="141"/>
      <c r="F885" s="141"/>
    </row>
    <row r="886" spans="2:6" hidden="1" outlineLevel="1" x14ac:dyDescent="0.15">
      <c r="B886" s="101">
        <v>44200</v>
      </c>
      <c r="C886" s="125">
        <v>20047.61</v>
      </c>
      <c r="E886" s="141"/>
      <c r="F886" s="141"/>
    </row>
    <row r="887" spans="2:6" hidden="1" outlineLevel="1" x14ac:dyDescent="0.15">
      <c r="B887" s="101">
        <v>44197</v>
      </c>
      <c r="C887" s="125">
        <v>19885.36</v>
      </c>
      <c r="E887" s="141"/>
      <c r="F887" s="141"/>
    </row>
    <row r="888" spans="2:6" hidden="1" outlineLevel="1" x14ac:dyDescent="0.15">
      <c r="B888" s="101">
        <v>44196</v>
      </c>
      <c r="C888" s="125">
        <v>19833.189999999999</v>
      </c>
      <c r="E888" s="141"/>
      <c r="F888" s="141"/>
    </row>
    <row r="889" spans="2:6" hidden="1" outlineLevel="1" x14ac:dyDescent="0.15">
      <c r="B889" s="101">
        <v>44195</v>
      </c>
      <c r="C889" s="125">
        <v>19833.53</v>
      </c>
      <c r="E889" s="141"/>
      <c r="F889" s="141"/>
    </row>
    <row r="890" spans="2:6" hidden="1" outlineLevel="1" x14ac:dyDescent="0.15">
      <c r="B890" s="101">
        <v>44194</v>
      </c>
      <c r="C890" s="125">
        <v>19763.509999999998</v>
      </c>
      <c r="E890" s="141"/>
      <c r="F890" s="141"/>
    </row>
    <row r="891" spans="2:6" hidden="1" outlineLevel="1" x14ac:dyDescent="0.15">
      <c r="B891" s="101">
        <v>44193</v>
      </c>
      <c r="C891" s="125">
        <v>19679.240000000002</v>
      </c>
      <c r="E891" s="141"/>
      <c r="F891" s="141"/>
    </row>
    <row r="892" spans="2:6" hidden="1" outlineLevel="1" x14ac:dyDescent="0.15">
      <c r="B892" s="101">
        <v>44189</v>
      </c>
      <c r="C892" s="125">
        <v>19503.400000000001</v>
      </c>
      <c r="E892" s="141"/>
      <c r="F892" s="141"/>
    </row>
    <row r="893" spans="2:6" hidden="1" outlineLevel="1" x14ac:dyDescent="0.15">
      <c r="B893" s="101">
        <v>44188</v>
      </c>
      <c r="C893" s="125">
        <v>19293.259999999998</v>
      </c>
      <c r="E893" s="141"/>
      <c r="F893" s="141"/>
    </row>
    <row r="894" spans="2:6" hidden="1" outlineLevel="1" x14ac:dyDescent="0.15">
      <c r="B894" s="101">
        <v>44187</v>
      </c>
      <c r="C894" s="125">
        <v>19102.060000000001</v>
      </c>
      <c r="E894" s="141"/>
      <c r="F894" s="141"/>
    </row>
    <row r="895" spans="2:6" hidden="1" outlineLevel="1" x14ac:dyDescent="0.15">
      <c r="B895" s="101">
        <v>44186</v>
      </c>
      <c r="C895" s="125">
        <v>18906.45</v>
      </c>
      <c r="E895" s="141"/>
      <c r="F895" s="141"/>
    </row>
    <row r="896" spans="2:6" hidden="1" outlineLevel="1" x14ac:dyDescent="0.15">
      <c r="B896" s="101">
        <v>44183</v>
      </c>
      <c r="C896" s="125">
        <v>19519.419999999998</v>
      </c>
      <c r="E896" s="141"/>
      <c r="F896" s="141"/>
    </row>
    <row r="897" spans="2:6" hidden="1" outlineLevel="1" x14ac:dyDescent="0.15">
      <c r="B897" s="101">
        <v>44182</v>
      </c>
      <c r="C897" s="125">
        <v>19491.3</v>
      </c>
      <c r="E897" s="141"/>
      <c r="F897" s="141"/>
    </row>
    <row r="898" spans="2:6" hidden="1" outlineLevel="1" x14ac:dyDescent="0.15">
      <c r="B898" s="101">
        <v>44181</v>
      </c>
      <c r="C898" s="125">
        <v>19404.8</v>
      </c>
      <c r="E898" s="141"/>
      <c r="F898" s="141"/>
    </row>
    <row r="899" spans="2:6" hidden="1" outlineLevel="1" x14ac:dyDescent="0.15">
      <c r="B899" s="101">
        <v>44180</v>
      </c>
      <c r="C899" s="125">
        <v>19241.900000000001</v>
      </c>
      <c r="E899" s="141"/>
      <c r="F899" s="141"/>
    </row>
    <row r="900" spans="2:6" hidden="1" outlineLevel="1" x14ac:dyDescent="0.15">
      <c r="B900" s="101">
        <v>44179</v>
      </c>
      <c r="C900" s="125">
        <v>19228.16</v>
      </c>
      <c r="E900" s="141"/>
      <c r="F900" s="141"/>
    </row>
    <row r="901" spans="2:6" hidden="1" outlineLevel="1" x14ac:dyDescent="0.15">
      <c r="B901" s="101">
        <v>44176</v>
      </c>
      <c r="C901" s="125">
        <v>19165.330000000002</v>
      </c>
      <c r="E901" s="141"/>
      <c r="F901" s="141"/>
    </row>
    <row r="902" spans="2:6" hidden="1" outlineLevel="1" x14ac:dyDescent="0.15">
      <c r="B902" s="101">
        <v>44175</v>
      </c>
      <c r="C902" s="125">
        <v>19114.96</v>
      </c>
      <c r="E902" s="141"/>
      <c r="F902" s="141"/>
    </row>
    <row r="903" spans="2:6" hidden="1" outlineLevel="1" x14ac:dyDescent="0.15">
      <c r="B903" s="101">
        <v>44174</v>
      </c>
      <c r="C903" s="125">
        <v>19186.95</v>
      </c>
      <c r="E903" s="141"/>
      <c r="F903" s="141"/>
    </row>
    <row r="904" spans="2:6" hidden="1" outlineLevel="1" x14ac:dyDescent="0.15">
      <c r="B904" s="101">
        <v>44173</v>
      </c>
      <c r="C904" s="125">
        <v>18993.86</v>
      </c>
      <c r="E904" s="141"/>
      <c r="F904" s="141"/>
    </row>
    <row r="905" spans="2:6" hidden="1" outlineLevel="1" x14ac:dyDescent="0.15">
      <c r="B905" s="101">
        <v>44172</v>
      </c>
      <c r="C905" s="125">
        <v>18941.150000000001</v>
      </c>
      <c r="E905" s="141"/>
      <c r="F905" s="141"/>
    </row>
    <row r="906" spans="2:6" hidden="1" outlineLevel="1" x14ac:dyDescent="0.15">
      <c r="B906" s="101">
        <v>44169</v>
      </c>
      <c r="C906" s="125">
        <v>18803.27</v>
      </c>
      <c r="E906" s="141"/>
      <c r="F906" s="141"/>
    </row>
    <row r="907" spans="2:6" hidden="1" outlineLevel="1" x14ac:dyDescent="0.15">
      <c r="B907" s="101">
        <v>44168</v>
      </c>
      <c r="C907" s="125">
        <v>18626.53</v>
      </c>
      <c r="E907" s="141"/>
      <c r="F907" s="141"/>
    </row>
    <row r="908" spans="2:6" hidden="1" outlineLevel="1" x14ac:dyDescent="0.15">
      <c r="B908" s="101">
        <v>44167</v>
      </c>
      <c r="C908" s="125">
        <v>18597.900000000001</v>
      </c>
      <c r="E908" s="141"/>
      <c r="F908" s="141"/>
    </row>
    <row r="909" spans="2:6" hidden="1" outlineLevel="1" x14ac:dyDescent="0.15">
      <c r="B909" s="101">
        <v>44166</v>
      </c>
      <c r="C909" s="125">
        <v>18591.25</v>
      </c>
      <c r="E909" s="141"/>
      <c r="F909" s="141"/>
    </row>
    <row r="910" spans="2:6" hidden="1" outlineLevel="1" x14ac:dyDescent="0.15">
      <c r="B910" s="101">
        <v>44162</v>
      </c>
      <c r="C910" s="125">
        <v>18392.54</v>
      </c>
      <c r="E910" s="141"/>
      <c r="F910" s="141"/>
    </row>
    <row r="911" spans="2:6" hidden="1" outlineLevel="1" x14ac:dyDescent="0.15">
      <c r="B911" s="101">
        <v>44161</v>
      </c>
      <c r="C911" s="125">
        <v>18418.16</v>
      </c>
      <c r="E911" s="141"/>
      <c r="F911" s="141"/>
    </row>
    <row r="912" spans="2:6" hidden="1" outlineLevel="1" x14ac:dyDescent="0.15">
      <c r="B912" s="101">
        <v>44160</v>
      </c>
      <c r="C912" s="125">
        <v>18235.759999999998</v>
      </c>
      <c r="E912" s="141"/>
      <c r="F912" s="141"/>
    </row>
    <row r="913" spans="2:6" hidden="1" outlineLevel="1" x14ac:dyDescent="0.15">
      <c r="B913" s="101">
        <v>44159</v>
      </c>
      <c r="C913" s="125">
        <v>18514.82</v>
      </c>
      <c r="E913" s="141"/>
      <c r="F913" s="141"/>
    </row>
    <row r="914" spans="2:6" hidden="1" outlineLevel="1" x14ac:dyDescent="0.15">
      <c r="B914" s="101">
        <v>44158</v>
      </c>
      <c r="C914" s="125">
        <v>18332.330000000002</v>
      </c>
      <c r="E914" s="141"/>
      <c r="F914" s="141"/>
    </row>
    <row r="915" spans="2:6" hidden="1" outlineLevel="1" x14ac:dyDescent="0.15">
      <c r="B915" s="101">
        <v>44155</v>
      </c>
      <c r="C915" s="125">
        <v>18236.68</v>
      </c>
      <c r="E915" s="141"/>
      <c r="F915" s="141"/>
    </row>
    <row r="916" spans="2:6" hidden="1" outlineLevel="1" x14ac:dyDescent="0.15">
      <c r="B916" s="101">
        <v>44154</v>
      </c>
      <c r="C916" s="125">
        <v>18112.830000000002</v>
      </c>
      <c r="E916" s="141"/>
      <c r="F916" s="141"/>
    </row>
    <row r="917" spans="2:6" hidden="1" outlineLevel="1" x14ac:dyDescent="0.15">
      <c r="B917" s="101">
        <v>44153</v>
      </c>
      <c r="C917" s="125">
        <v>18349.02</v>
      </c>
      <c r="E917" s="141"/>
      <c r="F917" s="141"/>
    </row>
    <row r="918" spans="2:6" hidden="1" outlineLevel="1" x14ac:dyDescent="0.15">
      <c r="B918" s="101">
        <v>44152</v>
      </c>
      <c r="C918" s="125">
        <v>18258.23</v>
      </c>
      <c r="E918" s="141"/>
      <c r="F918" s="141"/>
    </row>
    <row r="919" spans="2:6" hidden="1" outlineLevel="1" x14ac:dyDescent="0.15">
      <c r="B919" s="101">
        <v>44149</v>
      </c>
      <c r="C919" s="125">
        <v>18124.93</v>
      </c>
      <c r="E919" s="141"/>
      <c r="F919" s="141"/>
    </row>
    <row r="920" spans="2:6" hidden="1" outlineLevel="1" x14ac:dyDescent="0.15">
      <c r="B920" s="101">
        <v>44148</v>
      </c>
      <c r="C920" s="125">
        <v>18039.439999999999</v>
      </c>
      <c r="E920" s="141"/>
      <c r="F920" s="141"/>
    </row>
    <row r="921" spans="2:6" hidden="1" outlineLevel="1" x14ac:dyDescent="0.15">
      <c r="B921" s="101">
        <v>44147</v>
      </c>
      <c r="C921" s="125">
        <v>17998.11</v>
      </c>
      <c r="E921" s="141"/>
      <c r="F921" s="141"/>
    </row>
    <row r="922" spans="2:6" hidden="1" outlineLevel="1" x14ac:dyDescent="0.15">
      <c r="B922" s="101">
        <v>44146</v>
      </c>
      <c r="C922" s="125">
        <v>18080.84</v>
      </c>
      <c r="E922" s="141"/>
      <c r="F922" s="141"/>
    </row>
    <row r="923" spans="2:6" hidden="1" outlineLevel="1" x14ac:dyDescent="0.15">
      <c r="B923" s="101">
        <v>44145</v>
      </c>
      <c r="C923" s="125">
        <v>17913.400000000001</v>
      </c>
      <c r="E923" s="141"/>
      <c r="F923" s="141"/>
    </row>
    <row r="924" spans="2:6" hidden="1" outlineLevel="1" x14ac:dyDescent="0.15">
      <c r="B924" s="101">
        <v>44144</v>
      </c>
      <c r="C924" s="125">
        <v>17672.25</v>
      </c>
      <c r="E924" s="141"/>
      <c r="F924" s="141"/>
    </row>
    <row r="925" spans="2:6" hidden="1" outlineLevel="1" x14ac:dyDescent="0.15">
      <c r="B925" s="101">
        <v>44141</v>
      </c>
      <c r="C925" s="125">
        <v>17392.14</v>
      </c>
      <c r="E925" s="141"/>
      <c r="F925" s="141"/>
    </row>
    <row r="926" spans="2:6" hidden="1" outlineLevel="1" x14ac:dyDescent="0.15">
      <c r="B926" s="101">
        <v>44140</v>
      </c>
      <c r="C926" s="125">
        <v>17189.03</v>
      </c>
      <c r="E926" s="141"/>
      <c r="F926" s="141"/>
    </row>
    <row r="927" spans="2:6" hidden="1" outlineLevel="1" x14ac:dyDescent="0.15">
      <c r="B927" s="101">
        <v>44139</v>
      </c>
      <c r="C927" s="125">
        <v>16888.650000000001</v>
      </c>
      <c r="E927" s="141"/>
      <c r="F927" s="141"/>
    </row>
    <row r="928" spans="2:6" hidden="1" outlineLevel="1" x14ac:dyDescent="0.15">
      <c r="B928" s="101">
        <v>44138</v>
      </c>
      <c r="C928" s="125">
        <v>16746.75</v>
      </c>
      <c r="E928" s="141"/>
      <c r="F928" s="141"/>
    </row>
    <row r="929" spans="2:6" hidden="1" outlineLevel="1" x14ac:dyDescent="0.15">
      <c r="B929" s="101">
        <v>44137</v>
      </c>
      <c r="C929" s="125">
        <v>16542.080000000002</v>
      </c>
      <c r="E929" s="141"/>
      <c r="F929" s="141"/>
    </row>
    <row r="930" spans="2:6" hidden="1" outlineLevel="1" x14ac:dyDescent="0.15">
      <c r="B930" s="101">
        <v>44134</v>
      </c>
      <c r="C930" s="125">
        <v>16504.16</v>
      </c>
      <c r="E930" s="141"/>
      <c r="F930" s="141"/>
    </row>
    <row r="931" spans="2:6" hidden="1" outlineLevel="1" x14ac:dyDescent="0.15">
      <c r="B931" s="101">
        <v>44133</v>
      </c>
      <c r="C931" s="125">
        <v>16544.45</v>
      </c>
      <c r="E931" s="141"/>
      <c r="F931" s="141"/>
    </row>
    <row r="932" spans="2:6" hidden="1" outlineLevel="1" x14ac:dyDescent="0.15">
      <c r="B932" s="101">
        <v>44132</v>
      </c>
      <c r="C932" s="125">
        <v>16623.13</v>
      </c>
      <c r="E932" s="141"/>
      <c r="F932" s="141"/>
    </row>
    <row r="933" spans="2:6" hidden="1" outlineLevel="1" x14ac:dyDescent="0.15">
      <c r="B933" s="101">
        <v>44131</v>
      </c>
      <c r="C933" s="125">
        <v>16844.96</v>
      </c>
      <c r="E933" s="141"/>
      <c r="F933" s="141"/>
    </row>
    <row r="934" spans="2:6" hidden="1" outlineLevel="1" x14ac:dyDescent="0.15">
      <c r="B934" s="101">
        <v>44130</v>
      </c>
      <c r="C934" s="125">
        <v>16672.62</v>
      </c>
      <c r="E934" s="141"/>
      <c r="F934" s="141"/>
    </row>
    <row r="935" spans="2:6" hidden="1" outlineLevel="1" x14ac:dyDescent="0.15">
      <c r="B935" s="101">
        <v>44127</v>
      </c>
      <c r="C935" s="125">
        <v>16902.96</v>
      </c>
      <c r="E935" s="141"/>
      <c r="F935" s="141"/>
    </row>
    <row r="936" spans="2:6" hidden="1" outlineLevel="1" x14ac:dyDescent="0.15">
      <c r="B936" s="101">
        <v>44126</v>
      </c>
      <c r="C936" s="125">
        <v>16840.52</v>
      </c>
      <c r="E936" s="141"/>
      <c r="F936" s="141"/>
    </row>
    <row r="937" spans="2:6" hidden="1" outlineLevel="1" x14ac:dyDescent="0.15">
      <c r="B937" s="101">
        <v>44125</v>
      </c>
      <c r="C937" s="125">
        <v>16897.43</v>
      </c>
      <c r="E937" s="141"/>
      <c r="F937" s="141"/>
    </row>
    <row r="938" spans="2:6" hidden="1" outlineLevel="1" x14ac:dyDescent="0.15">
      <c r="B938" s="101">
        <v>44124</v>
      </c>
      <c r="C938" s="125">
        <v>16839.599999999999</v>
      </c>
      <c r="E938" s="141"/>
      <c r="F938" s="141"/>
    </row>
    <row r="939" spans="2:6" hidden="1" outlineLevel="1" x14ac:dyDescent="0.15">
      <c r="B939" s="101">
        <v>44123</v>
      </c>
      <c r="C939" s="125">
        <v>16805.97</v>
      </c>
      <c r="E939" s="141"/>
      <c r="F939" s="141"/>
    </row>
    <row r="940" spans="2:6" hidden="1" outlineLevel="1" x14ac:dyDescent="0.15">
      <c r="B940" s="101">
        <v>44120</v>
      </c>
      <c r="C940" s="125">
        <v>16649.46</v>
      </c>
      <c r="E940" s="141"/>
      <c r="F940" s="141"/>
    </row>
    <row r="941" spans="2:6" hidden="1" outlineLevel="1" x14ac:dyDescent="0.15">
      <c r="B941" s="101">
        <v>44119</v>
      </c>
      <c r="C941" s="125">
        <v>16533.240000000002</v>
      </c>
      <c r="E941" s="141"/>
      <c r="F941" s="141"/>
    </row>
    <row r="942" spans="2:6" hidden="1" outlineLevel="1" x14ac:dyDescent="0.15">
      <c r="B942" s="101">
        <v>44118</v>
      </c>
      <c r="C942" s="125">
        <v>16944.73</v>
      </c>
      <c r="E942" s="141"/>
      <c r="F942" s="141"/>
    </row>
    <row r="943" spans="2:6" hidden="1" outlineLevel="1" x14ac:dyDescent="0.15">
      <c r="B943" s="101">
        <v>44117</v>
      </c>
      <c r="C943" s="125">
        <v>16888.87</v>
      </c>
      <c r="E943" s="141"/>
      <c r="F943" s="141"/>
    </row>
    <row r="944" spans="2:6" hidden="1" outlineLevel="1" x14ac:dyDescent="0.15">
      <c r="B944" s="101">
        <v>44116</v>
      </c>
      <c r="C944" s="125">
        <v>16883.84</v>
      </c>
      <c r="E944" s="141"/>
      <c r="F944" s="141"/>
    </row>
    <row r="945" spans="2:6" hidden="1" outlineLevel="1" x14ac:dyDescent="0.15">
      <c r="B945" s="101">
        <v>44113</v>
      </c>
      <c r="C945" s="125">
        <v>16860.11</v>
      </c>
      <c r="E945" s="141"/>
      <c r="F945" s="141"/>
    </row>
    <row r="946" spans="2:6" hidden="1" outlineLevel="1" x14ac:dyDescent="0.15">
      <c r="B946" s="101">
        <v>44112</v>
      </c>
      <c r="C946" s="125">
        <v>16747.48</v>
      </c>
      <c r="E946" s="141"/>
      <c r="F946" s="141"/>
    </row>
    <row r="947" spans="2:6" hidden="1" outlineLevel="1" x14ac:dyDescent="0.15">
      <c r="B947" s="101">
        <v>44111</v>
      </c>
      <c r="C947" s="125">
        <v>16611.96</v>
      </c>
      <c r="E947" s="141"/>
      <c r="F947" s="141"/>
    </row>
    <row r="948" spans="2:6" hidden="1" outlineLevel="1" x14ac:dyDescent="0.15">
      <c r="B948" s="101">
        <v>44110</v>
      </c>
      <c r="C948" s="125">
        <v>16503.77</v>
      </c>
      <c r="E948" s="141"/>
      <c r="F948" s="141"/>
    </row>
    <row r="949" spans="2:6" hidden="1" outlineLevel="1" x14ac:dyDescent="0.15">
      <c r="B949" s="101">
        <v>44109</v>
      </c>
      <c r="C949" s="125">
        <v>16278.72</v>
      </c>
      <c r="E949" s="141"/>
      <c r="F949" s="141"/>
    </row>
    <row r="950" spans="2:6" hidden="1" outlineLevel="1" x14ac:dyDescent="0.15">
      <c r="B950" s="101">
        <v>44105</v>
      </c>
      <c r="C950" s="125">
        <v>16156.44</v>
      </c>
      <c r="E950" s="141"/>
      <c r="F950" s="141"/>
    </row>
    <row r="951" spans="2:6" hidden="1" outlineLevel="1" x14ac:dyDescent="0.15">
      <c r="B951" s="101">
        <v>44104</v>
      </c>
      <c r="C951" s="125">
        <v>15916.72</v>
      </c>
      <c r="E951" s="141"/>
      <c r="F951" s="141"/>
    </row>
    <row r="952" spans="2:6" hidden="1" outlineLevel="1" x14ac:dyDescent="0.15">
      <c r="B952" s="101">
        <v>44103</v>
      </c>
      <c r="C952" s="125">
        <v>15881.16</v>
      </c>
      <c r="E952" s="141"/>
      <c r="F952" s="141"/>
    </row>
    <row r="953" spans="2:6" hidden="1" outlineLevel="1" x14ac:dyDescent="0.15">
      <c r="B953" s="101">
        <v>44102</v>
      </c>
      <c r="C953" s="125">
        <v>15888.44</v>
      </c>
      <c r="E953" s="141"/>
      <c r="F953" s="141"/>
    </row>
    <row r="954" spans="2:6" hidden="1" outlineLevel="1" x14ac:dyDescent="0.15">
      <c r="B954" s="101">
        <v>44099</v>
      </c>
      <c r="C954" s="125">
        <v>15637.53</v>
      </c>
      <c r="E954" s="141"/>
      <c r="F954" s="141"/>
    </row>
    <row r="955" spans="2:6" hidden="1" outlineLevel="1" x14ac:dyDescent="0.15">
      <c r="B955" s="101">
        <v>44098</v>
      </c>
      <c r="C955" s="125">
        <v>15291.25</v>
      </c>
      <c r="E955" s="141"/>
      <c r="F955" s="141"/>
    </row>
    <row r="956" spans="2:6" hidden="1" outlineLevel="1" x14ac:dyDescent="0.15">
      <c r="B956" s="101">
        <v>44097</v>
      </c>
      <c r="C956" s="125">
        <v>15752.97</v>
      </c>
      <c r="E956" s="141"/>
      <c r="F956" s="141"/>
    </row>
    <row r="957" spans="2:6" hidden="1" outlineLevel="1" x14ac:dyDescent="0.15">
      <c r="B957" s="101">
        <v>44096</v>
      </c>
      <c r="C957" s="125">
        <v>15783.87</v>
      </c>
      <c r="E957" s="141"/>
      <c r="F957" s="141"/>
    </row>
    <row r="958" spans="2:6" hidden="1" outlineLevel="1" x14ac:dyDescent="0.15">
      <c r="B958" s="101">
        <v>44095</v>
      </c>
      <c r="C958" s="125">
        <v>15920.99</v>
      </c>
      <c r="E958" s="141"/>
      <c r="F958" s="141"/>
    </row>
    <row r="959" spans="2:6" hidden="1" outlineLevel="1" x14ac:dyDescent="0.15">
      <c r="B959" s="101">
        <v>44092</v>
      </c>
      <c r="C959" s="125">
        <v>16281</v>
      </c>
      <c r="E959" s="141"/>
      <c r="F959" s="141"/>
    </row>
    <row r="960" spans="2:6" hidden="1" outlineLevel="1" x14ac:dyDescent="0.15">
      <c r="B960" s="101">
        <v>44091</v>
      </c>
      <c r="C960" s="125">
        <v>16296.78</v>
      </c>
      <c r="E960" s="141"/>
      <c r="F960" s="141"/>
    </row>
    <row r="961" spans="2:6" hidden="1" outlineLevel="1" x14ac:dyDescent="0.15">
      <c r="B961" s="101">
        <v>44090</v>
      </c>
      <c r="C961" s="125">
        <v>16421.95</v>
      </c>
      <c r="E961" s="141"/>
      <c r="F961" s="141"/>
    </row>
    <row r="962" spans="2:6" hidden="1" outlineLevel="1" x14ac:dyDescent="0.15">
      <c r="B962" s="101">
        <v>44089</v>
      </c>
      <c r="C962" s="125">
        <v>16304.84</v>
      </c>
      <c r="E962" s="141"/>
      <c r="F962" s="141"/>
    </row>
    <row r="963" spans="2:6" hidden="1" outlineLevel="1" x14ac:dyDescent="0.15">
      <c r="B963" s="101">
        <v>44088</v>
      </c>
      <c r="C963" s="125">
        <v>16189.14</v>
      </c>
      <c r="E963" s="141"/>
      <c r="F963" s="141"/>
    </row>
    <row r="964" spans="2:6" hidden="1" outlineLevel="1" x14ac:dyDescent="0.15">
      <c r="B964" s="101">
        <v>44085</v>
      </c>
      <c r="C964" s="125">
        <v>16222.92</v>
      </c>
      <c r="E964" s="141"/>
      <c r="F964" s="141"/>
    </row>
    <row r="965" spans="2:6" hidden="1" outlineLevel="1" x14ac:dyDescent="0.15">
      <c r="B965" s="101">
        <v>44084</v>
      </c>
      <c r="C965" s="125">
        <v>16201.44</v>
      </c>
      <c r="E965" s="141"/>
      <c r="F965" s="141"/>
    </row>
    <row r="966" spans="2:6" hidden="1" outlineLevel="1" x14ac:dyDescent="0.15">
      <c r="B966" s="101">
        <v>44083</v>
      </c>
      <c r="C966" s="125">
        <v>15958.99</v>
      </c>
      <c r="E966" s="141"/>
      <c r="F966" s="141"/>
    </row>
    <row r="967" spans="2:6" hidden="1" outlineLevel="1" x14ac:dyDescent="0.15">
      <c r="B967" s="101">
        <v>44082</v>
      </c>
      <c r="C967" s="125">
        <v>16014.67</v>
      </c>
      <c r="E967" s="141"/>
      <c r="F967" s="141"/>
    </row>
    <row r="968" spans="2:6" hidden="1" outlineLevel="1" x14ac:dyDescent="0.15">
      <c r="B968" s="101">
        <v>44081</v>
      </c>
      <c r="C968" s="125">
        <v>16068.06</v>
      </c>
      <c r="E968" s="141"/>
      <c r="F968" s="141"/>
    </row>
    <row r="969" spans="2:6" hidden="1" outlineLevel="1" x14ac:dyDescent="0.15">
      <c r="B969" s="101">
        <v>44078</v>
      </c>
      <c r="C969" s="125">
        <v>16038.07</v>
      </c>
      <c r="E969" s="141"/>
      <c r="F969" s="141"/>
    </row>
    <row r="970" spans="2:6" hidden="1" outlineLevel="1" x14ac:dyDescent="0.15">
      <c r="B970" s="101">
        <v>44077</v>
      </c>
      <c r="C970" s="125">
        <v>16311.99</v>
      </c>
      <c r="E970" s="141"/>
      <c r="F970" s="141"/>
    </row>
    <row r="971" spans="2:6" hidden="1" outlineLevel="1" x14ac:dyDescent="0.15">
      <c r="B971" s="101">
        <v>44076</v>
      </c>
      <c r="C971" s="125">
        <v>16322.17</v>
      </c>
      <c r="E971" s="141"/>
      <c r="F971" s="141"/>
    </row>
    <row r="972" spans="2:6" hidden="1" outlineLevel="1" x14ac:dyDescent="0.15">
      <c r="B972" s="101">
        <v>44075</v>
      </c>
      <c r="C972" s="125">
        <v>16227.14</v>
      </c>
      <c r="E972" s="141"/>
      <c r="F972" s="141"/>
    </row>
    <row r="973" spans="2:6" hidden="1" outlineLevel="1" x14ac:dyDescent="0.15">
      <c r="B973" s="101">
        <v>44074</v>
      </c>
      <c r="C973" s="125">
        <v>16110.07</v>
      </c>
      <c r="E973" s="141"/>
      <c r="F973" s="141"/>
    </row>
    <row r="974" spans="2:6" hidden="1" outlineLevel="1" x14ac:dyDescent="0.15">
      <c r="B974" s="101">
        <v>44071</v>
      </c>
      <c r="C974" s="125">
        <v>16478.009999999998</v>
      </c>
      <c r="E974" s="141"/>
      <c r="F974" s="141"/>
    </row>
    <row r="975" spans="2:6" hidden="1" outlineLevel="1" x14ac:dyDescent="0.15">
      <c r="B975" s="101">
        <v>44070</v>
      </c>
      <c r="C975" s="125">
        <v>16353.08</v>
      </c>
      <c r="E975" s="141"/>
      <c r="F975" s="141"/>
    </row>
    <row r="976" spans="2:6" hidden="1" outlineLevel="1" x14ac:dyDescent="0.15">
      <c r="B976" s="101">
        <v>44069</v>
      </c>
      <c r="C976" s="125">
        <v>16339.41</v>
      </c>
      <c r="E976" s="141"/>
      <c r="F976" s="141"/>
    </row>
    <row r="977" spans="2:6" hidden="1" outlineLevel="1" x14ac:dyDescent="0.15">
      <c r="B977" s="101">
        <v>44068</v>
      </c>
      <c r="C977" s="125">
        <v>16226.2</v>
      </c>
      <c r="E977" s="141"/>
      <c r="F977" s="141"/>
    </row>
    <row r="978" spans="2:6" hidden="1" outlineLevel="1" x14ac:dyDescent="0.15">
      <c r="B978" s="101">
        <v>44067</v>
      </c>
      <c r="C978" s="125">
        <v>16218.02</v>
      </c>
      <c r="E978" s="141"/>
      <c r="F978" s="141"/>
    </row>
    <row r="979" spans="2:6" hidden="1" outlineLevel="1" x14ac:dyDescent="0.15">
      <c r="B979" s="101">
        <v>44064</v>
      </c>
      <c r="C979" s="125">
        <v>16083.84</v>
      </c>
      <c r="E979" s="141"/>
      <c r="F979" s="141"/>
    </row>
    <row r="980" spans="2:6" hidden="1" outlineLevel="1" x14ac:dyDescent="0.15">
      <c r="B980" s="101">
        <v>44063</v>
      </c>
      <c r="C980" s="125">
        <v>15999.86</v>
      </c>
      <c r="E980" s="141"/>
      <c r="F980" s="141"/>
    </row>
    <row r="981" spans="2:6" hidden="1" outlineLevel="1" x14ac:dyDescent="0.15">
      <c r="B981" s="101">
        <v>44062</v>
      </c>
      <c r="C981" s="125">
        <v>16135.89</v>
      </c>
      <c r="E981" s="141"/>
      <c r="F981" s="141"/>
    </row>
    <row r="982" spans="2:6" hidden="1" outlineLevel="1" x14ac:dyDescent="0.15">
      <c r="B982" s="101">
        <v>44061</v>
      </c>
      <c r="C982" s="125">
        <v>16101.86</v>
      </c>
      <c r="E982" s="141"/>
      <c r="F982" s="141"/>
    </row>
    <row r="983" spans="2:6" hidden="1" outlineLevel="1" x14ac:dyDescent="0.15">
      <c r="B983" s="101">
        <v>44060</v>
      </c>
      <c r="C983" s="125">
        <v>15906.29</v>
      </c>
      <c r="E983" s="141"/>
      <c r="F983" s="141"/>
    </row>
    <row r="984" spans="2:6" hidden="1" outlineLevel="1" x14ac:dyDescent="0.15">
      <c r="B984" s="101">
        <v>44057</v>
      </c>
      <c r="C984" s="125">
        <v>15809.17</v>
      </c>
      <c r="E984" s="141"/>
      <c r="F984" s="141"/>
    </row>
    <row r="985" spans="2:6" hidden="1" outlineLevel="1" x14ac:dyDescent="0.15">
      <c r="B985" s="101">
        <v>44056</v>
      </c>
      <c r="C985" s="125">
        <v>15981.73</v>
      </c>
      <c r="E985" s="141"/>
      <c r="F985" s="141"/>
    </row>
    <row r="986" spans="2:6" hidden="1" outlineLevel="1" x14ac:dyDescent="0.15">
      <c r="B986" s="101">
        <v>44055</v>
      </c>
      <c r="C986" s="125">
        <v>15986.03</v>
      </c>
      <c r="E986" s="141"/>
      <c r="F986" s="141"/>
    </row>
    <row r="987" spans="2:6" hidden="1" outlineLevel="1" x14ac:dyDescent="0.15">
      <c r="B987" s="101">
        <v>44054</v>
      </c>
      <c r="C987" s="125">
        <v>16005.99</v>
      </c>
      <c r="E987" s="141"/>
      <c r="F987" s="141"/>
    </row>
    <row r="988" spans="2:6" hidden="1" outlineLevel="1" x14ac:dyDescent="0.15">
      <c r="B988" s="101">
        <v>44053</v>
      </c>
      <c r="C988" s="125">
        <v>15931.97</v>
      </c>
      <c r="E988" s="141"/>
      <c r="F988" s="141"/>
    </row>
    <row r="989" spans="2:6" hidden="1" outlineLevel="1" x14ac:dyDescent="0.15">
      <c r="B989" s="101">
        <v>44050</v>
      </c>
      <c r="C989" s="125">
        <v>15852.65</v>
      </c>
      <c r="E989" s="141"/>
      <c r="F989" s="141"/>
    </row>
    <row r="990" spans="2:6" hidden="1" outlineLevel="1" x14ac:dyDescent="0.15">
      <c r="B990" s="101">
        <v>44049</v>
      </c>
      <c r="C990" s="125">
        <v>15833.02</v>
      </c>
      <c r="E990" s="141"/>
      <c r="F990" s="141"/>
    </row>
    <row r="991" spans="2:6" hidden="1" outlineLevel="1" x14ac:dyDescent="0.15">
      <c r="B991" s="101">
        <v>44048</v>
      </c>
      <c r="C991" s="125">
        <v>15689.69</v>
      </c>
      <c r="E991" s="141"/>
      <c r="F991" s="141"/>
    </row>
    <row r="992" spans="2:6" hidden="1" outlineLevel="1" x14ac:dyDescent="0.15">
      <c r="B992" s="101">
        <v>44047</v>
      </c>
      <c r="C992" s="125">
        <v>15676.74</v>
      </c>
      <c r="E992" s="141"/>
      <c r="F992" s="141"/>
    </row>
    <row r="993" spans="2:6" hidden="1" outlineLevel="1" x14ac:dyDescent="0.15">
      <c r="B993" s="101">
        <v>44046</v>
      </c>
      <c r="C993" s="125">
        <v>15388.98</v>
      </c>
      <c r="E993" s="141"/>
      <c r="F993" s="141"/>
    </row>
    <row r="994" spans="2:6" hidden="1" outlineLevel="1" x14ac:dyDescent="0.15">
      <c r="B994" s="101">
        <v>44043</v>
      </c>
      <c r="C994" s="125">
        <v>15645.34</v>
      </c>
      <c r="E994" s="141"/>
      <c r="F994" s="141"/>
    </row>
    <row r="995" spans="2:6" hidden="1" outlineLevel="1" x14ac:dyDescent="0.15">
      <c r="B995" s="101">
        <v>44042</v>
      </c>
      <c r="C995" s="125">
        <v>15685.92</v>
      </c>
      <c r="E995" s="141"/>
      <c r="F995" s="141"/>
    </row>
    <row r="996" spans="2:6" hidden="1" outlineLevel="1" x14ac:dyDescent="0.15">
      <c r="B996" s="101">
        <v>44041</v>
      </c>
      <c r="C996" s="125">
        <v>15824.19</v>
      </c>
      <c r="E996" s="141"/>
      <c r="F996" s="141"/>
    </row>
    <row r="997" spans="2:6" hidden="1" outlineLevel="1" x14ac:dyDescent="0.15">
      <c r="B997" s="101">
        <v>44040</v>
      </c>
      <c r="C997" s="125">
        <v>15961.7</v>
      </c>
      <c r="E997" s="141"/>
      <c r="F997" s="141"/>
    </row>
    <row r="998" spans="2:6" hidden="1" outlineLevel="1" x14ac:dyDescent="0.15">
      <c r="B998" s="101">
        <v>44039</v>
      </c>
      <c r="C998" s="125">
        <v>15723.39</v>
      </c>
      <c r="E998" s="141"/>
      <c r="F998" s="141"/>
    </row>
    <row r="999" spans="2:6" hidden="1" outlineLevel="1" x14ac:dyDescent="0.15">
      <c r="B999" s="101">
        <v>44036</v>
      </c>
      <c r="C999" s="125">
        <v>15811.4</v>
      </c>
      <c r="E999" s="141"/>
      <c r="F999" s="141"/>
    </row>
    <row r="1000" spans="2:6" hidden="1" outlineLevel="1" x14ac:dyDescent="0.15">
      <c r="B1000" s="101">
        <v>44035</v>
      </c>
      <c r="C1000" s="125">
        <v>15841.48</v>
      </c>
      <c r="E1000" s="141"/>
      <c r="F1000" s="141"/>
    </row>
    <row r="1001" spans="2:6" hidden="1" outlineLevel="1" x14ac:dyDescent="0.15">
      <c r="B1001" s="101">
        <v>44034</v>
      </c>
      <c r="C1001" s="125">
        <v>15722.51</v>
      </c>
      <c r="E1001" s="141"/>
      <c r="F1001" s="141"/>
    </row>
    <row r="1002" spans="2:6" hidden="1" outlineLevel="1" x14ac:dyDescent="0.15">
      <c r="B1002" s="101">
        <v>44033</v>
      </c>
      <c r="C1002" s="125">
        <v>15764.41</v>
      </c>
      <c r="E1002" s="141"/>
      <c r="F1002" s="141"/>
    </row>
    <row r="1003" spans="2:6" hidden="1" outlineLevel="1" x14ac:dyDescent="0.15">
      <c r="B1003" s="101">
        <v>44032</v>
      </c>
      <c r="C1003" s="125">
        <v>15566.56</v>
      </c>
      <c r="E1003" s="141"/>
      <c r="F1003" s="141"/>
    </row>
    <row r="1004" spans="2:6" hidden="1" outlineLevel="1" x14ac:dyDescent="0.15">
      <c r="B1004" s="101">
        <v>44029</v>
      </c>
      <c r="C1004" s="125">
        <v>15396.44</v>
      </c>
      <c r="E1004" s="141"/>
      <c r="F1004" s="141"/>
    </row>
    <row r="1005" spans="2:6" hidden="1" outlineLevel="1" x14ac:dyDescent="0.15">
      <c r="B1005" s="101">
        <v>44028</v>
      </c>
      <c r="C1005" s="125">
        <v>15167.99</v>
      </c>
      <c r="E1005" s="141"/>
      <c r="F1005" s="141"/>
    </row>
    <row r="1006" spans="2:6" hidden="1" outlineLevel="1" x14ac:dyDescent="0.15">
      <c r="B1006" s="101">
        <v>44027</v>
      </c>
      <c r="C1006" s="125">
        <v>14993.52</v>
      </c>
      <c r="E1006" s="141"/>
      <c r="F1006" s="141"/>
    </row>
    <row r="1007" spans="2:6" hidden="1" outlineLevel="1" x14ac:dyDescent="0.15">
      <c r="B1007" s="101">
        <v>44026</v>
      </c>
      <c r="C1007" s="125">
        <v>14978.23</v>
      </c>
      <c r="E1007" s="141"/>
      <c r="F1007" s="141"/>
    </row>
    <row r="1008" spans="2:6" hidden="1" outlineLevel="1" x14ac:dyDescent="0.15">
      <c r="B1008" s="101">
        <v>44025</v>
      </c>
      <c r="C1008" s="125">
        <v>15254.09</v>
      </c>
      <c r="E1008" s="141"/>
      <c r="F1008" s="141"/>
    </row>
    <row r="1009" spans="2:6" hidden="1" outlineLevel="1" x14ac:dyDescent="0.15">
      <c r="B1009" s="101">
        <v>44022</v>
      </c>
      <c r="C1009" s="125">
        <v>15204.13</v>
      </c>
      <c r="E1009" s="141"/>
      <c r="F1009" s="141"/>
    </row>
    <row r="1010" spans="2:6" hidden="1" outlineLevel="1" x14ac:dyDescent="0.15">
      <c r="B1010" s="101">
        <v>44021</v>
      </c>
      <c r="C1010" s="125">
        <v>15268.19</v>
      </c>
      <c r="E1010" s="141"/>
      <c r="F1010" s="141"/>
    </row>
    <row r="1011" spans="2:6" hidden="1" outlineLevel="1" x14ac:dyDescent="0.15">
      <c r="B1011" s="101">
        <v>44020</v>
      </c>
      <c r="C1011" s="125">
        <v>15104.09</v>
      </c>
      <c r="E1011" s="141"/>
      <c r="F1011" s="141"/>
    </row>
    <row r="1012" spans="2:6" hidden="1" outlineLevel="1" x14ac:dyDescent="0.15">
      <c r="B1012" s="101">
        <v>44019</v>
      </c>
      <c r="C1012" s="125">
        <v>15236.58</v>
      </c>
      <c r="E1012" s="141"/>
      <c r="F1012" s="141"/>
    </row>
    <row r="1013" spans="2:6" hidden="1" outlineLevel="1" x14ac:dyDescent="0.15">
      <c r="B1013" s="101">
        <v>44018</v>
      </c>
      <c r="C1013" s="125">
        <v>15185.78</v>
      </c>
      <c r="E1013" s="141"/>
      <c r="F1013" s="141"/>
    </row>
    <row r="1014" spans="2:6" hidden="1" outlineLevel="1" x14ac:dyDescent="0.15">
      <c r="B1014" s="101">
        <v>44015</v>
      </c>
      <c r="C1014" s="125">
        <v>14964.59</v>
      </c>
      <c r="E1014" s="141"/>
      <c r="F1014" s="141"/>
    </row>
    <row r="1015" spans="2:6" hidden="1" outlineLevel="1" x14ac:dyDescent="0.15">
      <c r="B1015" s="101">
        <v>44014</v>
      </c>
      <c r="C1015" s="125">
        <v>14886.06</v>
      </c>
      <c r="E1015" s="141"/>
      <c r="F1015" s="141"/>
    </row>
    <row r="1016" spans="2:6" hidden="1" outlineLevel="1" x14ac:dyDescent="0.15">
      <c r="B1016" s="101">
        <v>44013</v>
      </c>
      <c r="C1016" s="125">
        <v>14707.64</v>
      </c>
      <c r="E1016" s="141"/>
      <c r="F1016" s="141"/>
    </row>
    <row r="1017" spans="2:6" hidden="1" outlineLevel="1" x14ac:dyDescent="0.15">
      <c r="B1017" s="101">
        <v>44012</v>
      </c>
      <c r="C1017" s="125">
        <v>14527.18</v>
      </c>
      <c r="E1017" s="141"/>
      <c r="F1017" s="141"/>
    </row>
    <row r="1018" spans="2:6" hidden="1" outlineLevel="1" x14ac:dyDescent="0.15">
      <c r="B1018" s="101">
        <v>44011</v>
      </c>
      <c r="C1018" s="125">
        <v>14541.76</v>
      </c>
      <c r="E1018" s="141"/>
      <c r="F1018" s="141"/>
    </row>
    <row r="1019" spans="2:6" hidden="1" outlineLevel="1" x14ac:dyDescent="0.15">
      <c r="B1019" s="101">
        <v>44008</v>
      </c>
      <c r="C1019" s="125">
        <v>14641.26</v>
      </c>
      <c r="E1019" s="141"/>
      <c r="F1019" s="141"/>
    </row>
    <row r="1020" spans="2:6" hidden="1" outlineLevel="1" x14ac:dyDescent="0.15">
      <c r="B1020" s="101">
        <v>44007</v>
      </c>
      <c r="C1020" s="125">
        <v>14508.61</v>
      </c>
      <c r="E1020" s="141"/>
      <c r="F1020" s="141"/>
    </row>
    <row r="1021" spans="2:6" hidden="1" outlineLevel="1" x14ac:dyDescent="0.15">
      <c r="B1021" s="101">
        <v>44006</v>
      </c>
      <c r="C1021" s="125">
        <v>14531.72</v>
      </c>
      <c r="E1021" s="141"/>
      <c r="F1021" s="141"/>
    </row>
    <row r="1022" spans="2:6" hidden="1" outlineLevel="1" x14ac:dyDescent="0.15">
      <c r="B1022" s="101">
        <v>44005</v>
      </c>
      <c r="C1022" s="125">
        <v>14765.36</v>
      </c>
      <c r="E1022" s="141"/>
      <c r="F1022" s="141"/>
    </row>
    <row r="1023" spans="2:6" hidden="1" outlineLevel="1" x14ac:dyDescent="0.15">
      <c r="B1023" s="101">
        <v>44004</v>
      </c>
      <c r="C1023" s="125">
        <v>14540.07</v>
      </c>
      <c r="E1023" s="141"/>
      <c r="F1023" s="141"/>
    </row>
    <row r="1024" spans="2:6" hidden="1" outlineLevel="1" x14ac:dyDescent="0.15">
      <c r="B1024" s="101">
        <v>44001</v>
      </c>
      <c r="C1024" s="125">
        <v>14445.87</v>
      </c>
      <c r="E1024" s="141"/>
      <c r="F1024" s="141"/>
    </row>
    <row r="1025" spans="2:6" hidden="1" outlineLevel="1" x14ac:dyDescent="0.15">
      <c r="B1025" s="101">
        <v>44000</v>
      </c>
      <c r="C1025" s="125">
        <v>14227.14</v>
      </c>
      <c r="E1025" s="141"/>
      <c r="F1025" s="141"/>
    </row>
    <row r="1026" spans="2:6" hidden="1" outlineLevel="1" x14ac:dyDescent="0.15">
      <c r="B1026" s="101">
        <v>43999</v>
      </c>
      <c r="C1026" s="125">
        <v>13930.35</v>
      </c>
      <c r="E1026" s="141"/>
      <c r="F1026" s="141"/>
    </row>
    <row r="1027" spans="2:6" hidden="1" outlineLevel="1" x14ac:dyDescent="0.15">
      <c r="B1027" s="101">
        <v>43998</v>
      </c>
      <c r="C1027" s="125">
        <v>13976.63</v>
      </c>
      <c r="E1027" s="141"/>
      <c r="F1027" s="141"/>
    </row>
    <row r="1028" spans="2:6" hidden="1" outlineLevel="1" x14ac:dyDescent="0.15">
      <c r="B1028" s="101">
        <v>43997</v>
      </c>
      <c r="C1028" s="125">
        <v>13835.27</v>
      </c>
      <c r="E1028" s="141"/>
      <c r="F1028" s="141"/>
    </row>
    <row r="1029" spans="2:6" hidden="1" outlineLevel="1" x14ac:dyDescent="0.15">
      <c r="B1029" s="101">
        <v>43994</v>
      </c>
      <c r="C1029" s="125">
        <v>14059.69</v>
      </c>
      <c r="E1029" s="141"/>
      <c r="F1029" s="141"/>
    </row>
    <row r="1030" spans="2:6" hidden="1" outlineLevel="1" x14ac:dyDescent="0.15">
      <c r="B1030" s="101">
        <v>43993</v>
      </c>
      <c r="C1030" s="125">
        <v>13959.73</v>
      </c>
      <c r="E1030" s="141"/>
      <c r="F1030" s="141"/>
    </row>
    <row r="1031" spans="2:6" hidden="1" outlineLevel="1" x14ac:dyDescent="0.15">
      <c r="B1031" s="101">
        <v>43992</v>
      </c>
      <c r="C1031" s="125">
        <v>14260.91</v>
      </c>
      <c r="E1031" s="141"/>
      <c r="F1031" s="141"/>
    </row>
    <row r="1032" spans="2:6" hidden="1" outlineLevel="1" x14ac:dyDescent="0.15">
      <c r="B1032" s="101">
        <v>43991</v>
      </c>
      <c r="C1032" s="125">
        <v>14162.9</v>
      </c>
      <c r="E1032" s="141"/>
      <c r="F1032" s="141"/>
    </row>
    <row r="1033" spans="2:6" hidden="1" outlineLevel="1" x14ac:dyDescent="0.15">
      <c r="B1033" s="101">
        <v>43990</v>
      </c>
      <c r="C1033" s="125">
        <v>14333.2</v>
      </c>
      <c r="E1033" s="141"/>
      <c r="F1033" s="141"/>
    </row>
    <row r="1034" spans="2:6" hidden="1" outlineLevel="1" x14ac:dyDescent="0.15">
      <c r="B1034" s="101">
        <v>43987</v>
      </c>
      <c r="C1034" s="125">
        <v>14297.55</v>
      </c>
      <c r="E1034" s="141"/>
      <c r="F1034" s="141"/>
    </row>
    <row r="1035" spans="2:6" hidden="1" outlineLevel="1" x14ac:dyDescent="0.15">
      <c r="B1035" s="101">
        <v>43986</v>
      </c>
      <c r="C1035" s="125">
        <v>14138.19</v>
      </c>
      <c r="E1035" s="141"/>
      <c r="F1035" s="141"/>
    </row>
    <row r="1036" spans="2:6" hidden="1" outlineLevel="1" x14ac:dyDescent="0.15">
      <c r="B1036" s="101">
        <v>43985</v>
      </c>
      <c r="C1036" s="125">
        <v>14183.95</v>
      </c>
      <c r="E1036" s="141"/>
      <c r="F1036" s="141"/>
    </row>
    <row r="1037" spans="2:6" hidden="1" outlineLevel="1" x14ac:dyDescent="0.15">
      <c r="B1037" s="101">
        <v>43984</v>
      </c>
      <c r="C1037" s="125">
        <v>14065.56</v>
      </c>
      <c r="E1037" s="141"/>
      <c r="F1037" s="141"/>
    </row>
    <row r="1038" spans="2:6" hidden="1" outlineLevel="1" x14ac:dyDescent="0.15">
      <c r="B1038" s="101">
        <v>43983</v>
      </c>
      <c r="C1038" s="125">
        <v>13850</v>
      </c>
      <c r="E1038" s="141"/>
      <c r="F1038" s="141"/>
    </row>
    <row r="1039" spans="2:6" hidden="1" outlineLevel="1" x14ac:dyDescent="0.15">
      <c r="B1039" s="101">
        <v>43980</v>
      </c>
      <c r="C1039" s="125">
        <v>13503.45</v>
      </c>
      <c r="E1039" s="141"/>
      <c r="F1039" s="141"/>
    </row>
    <row r="1040" spans="2:6" hidden="1" outlineLevel="1" x14ac:dyDescent="0.15">
      <c r="B1040" s="101">
        <v>43979</v>
      </c>
      <c r="C1040" s="125">
        <v>13364.65</v>
      </c>
      <c r="E1040" s="141"/>
      <c r="F1040" s="141"/>
    </row>
    <row r="1041" spans="2:6" hidden="1" outlineLevel="1" x14ac:dyDescent="0.15">
      <c r="B1041" s="101">
        <v>43978</v>
      </c>
      <c r="C1041" s="125">
        <v>13117.99</v>
      </c>
      <c r="E1041" s="141"/>
      <c r="F1041" s="141"/>
    </row>
    <row r="1042" spans="2:6" hidden="1" outlineLevel="1" x14ac:dyDescent="0.15">
      <c r="B1042" s="101">
        <v>43977</v>
      </c>
      <c r="C1042" s="125">
        <v>12715.39</v>
      </c>
      <c r="E1042" s="141"/>
      <c r="F1042" s="141"/>
    </row>
    <row r="1043" spans="2:6" hidden="1" outlineLevel="1" x14ac:dyDescent="0.15">
      <c r="B1043" s="101">
        <v>43973</v>
      </c>
      <c r="C1043" s="125">
        <v>12729.74</v>
      </c>
      <c r="E1043" s="141"/>
      <c r="F1043" s="141"/>
    </row>
    <row r="1044" spans="2:6" hidden="1" outlineLevel="1" x14ac:dyDescent="0.15">
      <c r="B1044" s="101">
        <v>43972</v>
      </c>
      <c r="C1044" s="125">
        <v>12824.12</v>
      </c>
      <c r="E1044" s="141"/>
      <c r="F1044" s="141"/>
    </row>
    <row r="1045" spans="2:6" hidden="1" outlineLevel="1" x14ac:dyDescent="0.15">
      <c r="B1045" s="101">
        <v>43971</v>
      </c>
      <c r="C1045" s="125">
        <v>12768.2</v>
      </c>
      <c r="E1045" s="141"/>
      <c r="F1045" s="141"/>
    </row>
    <row r="1046" spans="2:6" hidden="1" outlineLevel="1" x14ac:dyDescent="0.15">
      <c r="B1046" s="101">
        <v>43970</v>
      </c>
      <c r="C1046" s="125">
        <v>12504.22</v>
      </c>
      <c r="E1046" s="141"/>
      <c r="F1046" s="141"/>
    </row>
    <row r="1047" spans="2:6" hidden="1" outlineLevel="1" x14ac:dyDescent="0.15">
      <c r="B1047" s="101">
        <v>43969</v>
      </c>
      <c r="C1047" s="125">
        <v>12425.57</v>
      </c>
      <c r="E1047" s="141"/>
      <c r="F1047" s="141"/>
    </row>
    <row r="1048" spans="2:6" hidden="1" outlineLevel="1" x14ac:dyDescent="0.15">
      <c r="B1048" s="101">
        <v>43966</v>
      </c>
      <c r="C1048" s="125">
        <v>12867.16</v>
      </c>
      <c r="E1048" s="141"/>
      <c r="F1048" s="141"/>
    </row>
    <row r="1049" spans="2:6" hidden="1" outlineLevel="1" x14ac:dyDescent="0.15">
      <c r="B1049" s="101">
        <v>43965</v>
      </c>
      <c r="C1049" s="125">
        <v>12875.51</v>
      </c>
      <c r="E1049" s="141"/>
      <c r="F1049" s="141"/>
    </row>
    <row r="1050" spans="2:6" hidden="1" outlineLevel="1" x14ac:dyDescent="0.15">
      <c r="B1050" s="101">
        <v>43964</v>
      </c>
      <c r="C1050" s="125">
        <v>13214.58</v>
      </c>
      <c r="E1050" s="141"/>
      <c r="F1050" s="141"/>
    </row>
    <row r="1051" spans="2:6" hidden="1" outlineLevel="1" x14ac:dyDescent="0.15">
      <c r="B1051" s="101">
        <v>43963</v>
      </c>
      <c r="C1051" s="125">
        <v>12951.29</v>
      </c>
      <c r="E1051" s="141"/>
      <c r="F1051" s="141"/>
    </row>
    <row r="1052" spans="2:6" hidden="1" outlineLevel="1" x14ac:dyDescent="0.15">
      <c r="B1052" s="101">
        <v>43962</v>
      </c>
      <c r="C1052" s="125">
        <v>13011.35</v>
      </c>
      <c r="E1052" s="141"/>
      <c r="F1052" s="141"/>
    </row>
    <row r="1053" spans="2:6" hidden="1" outlineLevel="1" x14ac:dyDescent="0.15">
      <c r="B1053" s="101">
        <v>43959</v>
      </c>
      <c r="C1053" s="125">
        <v>13028.62</v>
      </c>
      <c r="E1053" s="141"/>
      <c r="F1053" s="141"/>
    </row>
    <row r="1054" spans="2:6" hidden="1" outlineLevel="1" x14ac:dyDescent="0.15">
      <c r="B1054" s="101">
        <v>43958</v>
      </c>
      <c r="C1054" s="125">
        <v>12954.81</v>
      </c>
      <c r="E1054" s="141"/>
      <c r="F1054" s="141"/>
    </row>
    <row r="1055" spans="2:6" hidden="1" outlineLevel="1" x14ac:dyDescent="0.15">
      <c r="B1055" s="101">
        <v>43957</v>
      </c>
      <c r="C1055" s="125">
        <v>13055.99</v>
      </c>
      <c r="E1055" s="141"/>
      <c r="F1055" s="141"/>
    </row>
    <row r="1056" spans="2:6" hidden="1" outlineLevel="1" x14ac:dyDescent="0.15">
      <c r="B1056" s="101">
        <v>43956</v>
      </c>
      <c r="C1056" s="125">
        <v>12963.99</v>
      </c>
      <c r="E1056" s="141"/>
      <c r="F1056" s="141"/>
    </row>
    <row r="1057" spans="2:6" hidden="1" outlineLevel="1" x14ac:dyDescent="0.15">
      <c r="B1057" s="101">
        <v>43955</v>
      </c>
      <c r="C1057" s="125">
        <v>13086.63</v>
      </c>
      <c r="E1057" s="141"/>
      <c r="F1057" s="141"/>
    </row>
    <row r="1058" spans="2:6" hidden="1" outlineLevel="1" x14ac:dyDescent="0.15">
      <c r="B1058" s="101">
        <v>43951</v>
      </c>
      <c r="C1058" s="125">
        <v>13884.18</v>
      </c>
      <c r="E1058" s="141"/>
      <c r="F1058" s="141"/>
    </row>
    <row r="1059" spans="2:6" hidden="1" outlineLevel="1" x14ac:dyDescent="0.15">
      <c r="B1059" s="101">
        <v>43950</v>
      </c>
      <c r="C1059" s="125">
        <v>13452.51</v>
      </c>
      <c r="E1059" s="141"/>
      <c r="F1059" s="141"/>
    </row>
    <row r="1060" spans="2:6" hidden="1" outlineLevel="1" x14ac:dyDescent="0.15">
      <c r="B1060" s="101">
        <v>43949</v>
      </c>
      <c r="C1060" s="125">
        <v>13208.29</v>
      </c>
      <c r="E1060" s="141"/>
      <c r="F1060" s="141"/>
    </row>
    <row r="1061" spans="2:6" hidden="1" outlineLevel="1" x14ac:dyDescent="0.15">
      <c r="B1061" s="101">
        <v>43948</v>
      </c>
      <c r="C1061" s="125">
        <v>13069.49</v>
      </c>
      <c r="E1061" s="141"/>
      <c r="F1061" s="141"/>
    </row>
    <row r="1062" spans="2:6" hidden="1" outlineLevel="1" x14ac:dyDescent="0.15">
      <c r="B1062" s="101">
        <v>43945</v>
      </c>
      <c r="C1062" s="125">
        <v>12889.39</v>
      </c>
      <c r="E1062" s="141"/>
      <c r="F1062" s="141"/>
    </row>
    <row r="1063" spans="2:6" hidden="1" outlineLevel="1" x14ac:dyDescent="0.15">
      <c r="B1063" s="101">
        <v>43944</v>
      </c>
      <c r="C1063" s="125">
        <v>13113.97</v>
      </c>
      <c r="E1063" s="141"/>
      <c r="F1063" s="141"/>
    </row>
    <row r="1064" spans="2:6" hidden="1" outlineLevel="1" x14ac:dyDescent="0.15">
      <c r="B1064" s="101">
        <v>43943</v>
      </c>
      <c r="C1064" s="125">
        <v>12935.73</v>
      </c>
      <c r="E1064" s="141"/>
      <c r="F1064" s="141"/>
    </row>
    <row r="1065" spans="2:6" hidden="1" outlineLevel="1" x14ac:dyDescent="0.15">
      <c r="B1065" s="101">
        <v>43942</v>
      </c>
      <c r="C1065" s="125">
        <v>12645.91</v>
      </c>
      <c r="E1065" s="141"/>
      <c r="F1065" s="141"/>
    </row>
    <row r="1066" spans="2:6" hidden="1" outlineLevel="1" x14ac:dyDescent="0.15">
      <c r="B1066" s="101">
        <v>43941</v>
      </c>
      <c r="C1066" s="125">
        <v>13040.65</v>
      </c>
      <c r="E1066" s="141"/>
      <c r="F1066" s="141"/>
    </row>
    <row r="1067" spans="2:6" hidden="1" outlineLevel="1" x14ac:dyDescent="0.15">
      <c r="B1067" s="101">
        <v>43938</v>
      </c>
      <c r="C1067" s="125">
        <v>13047.57</v>
      </c>
      <c r="E1067" s="141"/>
      <c r="F1067" s="141"/>
    </row>
    <row r="1068" spans="2:6" hidden="1" outlineLevel="1" x14ac:dyDescent="0.15">
      <c r="B1068" s="101">
        <v>43937</v>
      </c>
      <c r="C1068" s="125">
        <v>12661.83</v>
      </c>
      <c r="E1068" s="141"/>
      <c r="F1068" s="141"/>
    </row>
    <row r="1069" spans="2:6" hidden="1" outlineLevel="1" x14ac:dyDescent="0.15">
      <c r="B1069" s="101">
        <v>43936</v>
      </c>
      <c r="C1069" s="125">
        <v>12566.85</v>
      </c>
      <c r="E1069" s="141"/>
      <c r="F1069" s="141"/>
    </row>
    <row r="1070" spans="2:6" hidden="1" outlineLevel="1" x14ac:dyDescent="0.15">
      <c r="B1070" s="101">
        <v>43934</v>
      </c>
      <c r="C1070" s="125">
        <v>12663.31</v>
      </c>
      <c r="E1070" s="141"/>
      <c r="F1070" s="141"/>
    </row>
    <row r="1071" spans="2:6" hidden="1" outlineLevel="1" x14ac:dyDescent="0.15">
      <c r="B1071" s="101">
        <v>43930</v>
      </c>
      <c r="C1071" s="125">
        <v>12829.57</v>
      </c>
      <c r="E1071" s="141"/>
      <c r="F1071" s="141"/>
    </row>
    <row r="1072" spans="2:6" hidden="1" outlineLevel="1" x14ac:dyDescent="0.15">
      <c r="B1072" s="101">
        <v>43929</v>
      </c>
      <c r="C1072" s="125">
        <v>12318.25</v>
      </c>
      <c r="E1072" s="141"/>
      <c r="F1072" s="141"/>
    </row>
    <row r="1073" spans="2:6" hidden="1" outlineLevel="1" x14ac:dyDescent="0.15">
      <c r="B1073" s="101">
        <v>43928</v>
      </c>
      <c r="C1073" s="125">
        <v>12379.42</v>
      </c>
      <c r="E1073" s="141"/>
      <c r="F1073" s="141"/>
    </row>
    <row r="1074" spans="2:6" hidden="1" outlineLevel="1" x14ac:dyDescent="0.15">
      <c r="B1074" s="101">
        <v>43924</v>
      </c>
      <c r="C1074" s="125">
        <v>11382.02</v>
      </c>
      <c r="E1074" s="141"/>
      <c r="F1074" s="141"/>
    </row>
    <row r="1075" spans="2:6" hidden="1" outlineLevel="1" x14ac:dyDescent="0.15">
      <c r="B1075" s="101">
        <v>43922</v>
      </c>
      <c r="C1075" s="125">
        <v>11621.35</v>
      </c>
      <c r="E1075" s="141"/>
      <c r="F1075" s="141"/>
    </row>
    <row r="1076" spans="2:6" hidden="1" outlineLevel="1" x14ac:dyDescent="0.15">
      <c r="B1076" s="101">
        <v>43921</v>
      </c>
      <c r="C1076" s="125">
        <v>12105.66</v>
      </c>
      <c r="E1076" s="141"/>
      <c r="F1076" s="141"/>
    </row>
    <row r="1077" spans="2:6" hidden="1" outlineLevel="1" x14ac:dyDescent="0.15">
      <c r="B1077" s="101">
        <v>43920</v>
      </c>
      <c r="C1077" s="125">
        <v>11659.76</v>
      </c>
      <c r="E1077" s="141"/>
      <c r="F1077" s="141"/>
    </row>
    <row r="1078" spans="2:6" hidden="1" outlineLevel="1" x14ac:dyDescent="0.15">
      <c r="B1078" s="101">
        <v>43917</v>
      </c>
      <c r="C1078" s="125">
        <v>12193.62</v>
      </c>
      <c r="E1078" s="141"/>
      <c r="F1078" s="141"/>
    </row>
    <row r="1079" spans="2:6" hidden="1" outlineLevel="1" x14ac:dyDescent="0.15">
      <c r="B1079" s="101">
        <v>43916</v>
      </c>
      <c r="C1079" s="125">
        <v>12167.15</v>
      </c>
      <c r="E1079" s="141"/>
      <c r="F1079" s="141"/>
    </row>
    <row r="1080" spans="2:6" hidden="1" outlineLevel="1" x14ac:dyDescent="0.15">
      <c r="B1080" s="101">
        <v>43915</v>
      </c>
      <c r="C1080" s="125">
        <v>11710.71</v>
      </c>
      <c r="E1080" s="141"/>
      <c r="F1080" s="141"/>
    </row>
    <row r="1081" spans="2:6" hidden="1" outlineLevel="1" x14ac:dyDescent="0.15">
      <c r="B1081" s="101">
        <v>43914</v>
      </c>
      <c r="C1081" s="125">
        <v>10983.15</v>
      </c>
      <c r="E1081" s="141"/>
      <c r="F1081" s="141"/>
    </row>
    <row r="1082" spans="2:6" hidden="1" outlineLevel="1" x14ac:dyDescent="0.15">
      <c r="B1082" s="101">
        <v>43913</v>
      </c>
      <c r="C1082" s="125">
        <v>10710.41</v>
      </c>
      <c r="E1082" s="141"/>
      <c r="F1082" s="141"/>
    </row>
    <row r="1083" spans="2:6" hidden="1" outlineLevel="1" x14ac:dyDescent="0.15">
      <c r="B1083" s="101">
        <v>43910</v>
      </c>
      <c r="C1083" s="125">
        <v>12298.74</v>
      </c>
      <c r="E1083" s="141"/>
      <c r="F1083" s="141"/>
    </row>
    <row r="1084" spans="2:6" hidden="1" outlineLevel="1" x14ac:dyDescent="0.15">
      <c r="B1084" s="101">
        <v>43909</v>
      </c>
      <c r="C1084" s="125">
        <v>11620.92</v>
      </c>
      <c r="E1084" s="141"/>
      <c r="F1084" s="141"/>
    </row>
    <row r="1085" spans="2:6" hidden="1" outlineLevel="1" x14ac:dyDescent="0.15">
      <c r="B1085" s="101">
        <v>43908</v>
      </c>
      <c r="C1085" s="125">
        <v>11904.02</v>
      </c>
      <c r="E1085" s="141"/>
      <c r="F1085" s="141"/>
    </row>
    <row r="1086" spans="2:6" hidden="1" outlineLevel="1" x14ac:dyDescent="0.15">
      <c r="B1086" s="101">
        <v>43907</v>
      </c>
      <c r="C1086" s="125">
        <v>12604.41</v>
      </c>
      <c r="E1086" s="141"/>
      <c r="F1086" s="141"/>
    </row>
    <row r="1087" spans="2:6" hidden="1" outlineLevel="1" x14ac:dyDescent="0.15">
      <c r="B1087" s="101">
        <v>43906</v>
      </c>
      <c r="C1087" s="125">
        <v>12928.18</v>
      </c>
      <c r="E1087" s="141"/>
      <c r="F1087" s="141"/>
    </row>
    <row r="1088" spans="2:6" hidden="1" outlineLevel="1" x14ac:dyDescent="0.15">
      <c r="B1088" s="101">
        <v>43903</v>
      </c>
      <c r="C1088" s="125">
        <v>13987.31</v>
      </c>
      <c r="E1088" s="141"/>
      <c r="F1088" s="141"/>
    </row>
    <row r="1089" spans="2:6" hidden="1" outlineLevel="1" x14ac:dyDescent="0.15">
      <c r="B1089" s="101">
        <v>43902</v>
      </c>
      <c r="C1089" s="125">
        <v>13474.38</v>
      </c>
      <c r="E1089" s="141"/>
      <c r="F1089" s="141"/>
    </row>
    <row r="1090" spans="2:6" hidden="1" outlineLevel="1" x14ac:dyDescent="0.15">
      <c r="B1090" s="101">
        <v>43901</v>
      </c>
      <c r="C1090" s="125">
        <v>14694.31</v>
      </c>
      <c r="E1090" s="141"/>
      <c r="F1090" s="141"/>
    </row>
    <row r="1091" spans="2:6" hidden="1" outlineLevel="1" x14ac:dyDescent="0.15">
      <c r="B1091" s="101">
        <v>43899</v>
      </c>
      <c r="C1091" s="125">
        <v>14684.56</v>
      </c>
      <c r="E1091" s="141"/>
      <c r="F1091" s="141"/>
    </row>
    <row r="1092" spans="2:6" hidden="1" outlineLevel="1" x14ac:dyDescent="0.15">
      <c r="B1092" s="101">
        <v>43896</v>
      </c>
      <c r="C1092" s="125">
        <v>15440.48</v>
      </c>
      <c r="E1092" s="141"/>
      <c r="F1092" s="141"/>
    </row>
    <row r="1093" spans="2:6" hidden="1" outlineLevel="1" x14ac:dyDescent="0.15">
      <c r="B1093" s="101">
        <v>43895</v>
      </c>
      <c r="C1093" s="125">
        <v>15833.21</v>
      </c>
      <c r="E1093" s="141"/>
      <c r="F1093" s="141"/>
    </row>
    <row r="1094" spans="2:6" hidden="1" outlineLevel="1" x14ac:dyDescent="0.15">
      <c r="B1094" s="101">
        <v>43894</v>
      </c>
      <c r="C1094" s="125">
        <v>15805.53</v>
      </c>
      <c r="E1094" s="141"/>
      <c r="F1094" s="141"/>
    </row>
    <row r="1095" spans="2:6" hidden="1" outlineLevel="1" x14ac:dyDescent="0.15">
      <c r="B1095" s="101">
        <v>43893</v>
      </c>
      <c r="C1095" s="125">
        <v>15878.98</v>
      </c>
      <c r="E1095" s="141"/>
      <c r="F1095" s="141"/>
    </row>
    <row r="1096" spans="2:6" hidden="1" outlineLevel="1" x14ac:dyDescent="0.15">
      <c r="B1096" s="101">
        <v>43892</v>
      </c>
      <c r="C1096" s="125">
        <v>15632.14</v>
      </c>
      <c r="E1096" s="141"/>
      <c r="F1096" s="141"/>
    </row>
    <row r="1097" spans="2:6" hidden="1" outlineLevel="1" x14ac:dyDescent="0.15">
      <c r="B1097" s="101">
        <v>43889</v>
      </c>
      <c r="C1097" s="125">
        <v>15726.92</v>
      </c>
      <c r="E1097" s="141"/>
      <c r="F1097" s="141"/>
    </row>
    <row r="1098" spans="2:6" hidden="1" outlineLevel="1" x14ac:dyDescent="0.15">
      <c r="B1098" s="101">
        <v>43888</v>
      </c>
      <c r="C1098" s="125">
        <v>16332.81</v>
      </c>
      <c r="E1098" s="141"/>
      <c r="F1098" s="141"/>
    </row>
    <row r="1099" spans="2:6" hidden="1" outlineLevel="1" x14ac:dyDescent="0.15">
      <c r="B1099" s="101">
        <v>43887</v>
      </c>
      <c r="C1099" s="125">
        <v>16396.23</v>
      </c>
      <c r="E1099" s="141"/>
      <c r="F1099" s="141"/>
    </row>
    <row r="1100" spans="2:6" hidden="1" outlineLevel="1" x14ac:dyDescent="0.15">
      <c r="B1100" s="101">
        <v>43886</v>
      </c>
      <c r="C1100" s="125">
        <v>16563.91</v>
      </c>
      <c r="E1100" s="141"/>
      <c r="F1100" s="141"/>
    </row>
    <row r="1101" spans="2:6" hidden="1" outlineLevel="1" x14ac:dyDescent="0.15">
      <c r="B1101" s="101">
        <v>43885</v>
      </c>
      <c r="C1101" s="125">
        <v>16608.12</v>
      </c>
      <c r="E1101" s="141"/>
      <c r="F1101" s="141"/>
    </row>
    <row r="1102" spans="2:6" hidden="1" outlineLevel="1" x14ac:dyDescent="0.15">
      <c r="B1102" s="101">
        <v>43881</v>
      </c>
      <c r="C1102" s="125">
        <v>16961.16</v>
      </c>
      <c r="E1102" s="141"/>
      <c r="F1102" s="141"/>
    </row>
    <row r="1103" spans="2:6" hidden="1" outlineLevel="1" x14ac:dyDescent="0.15">
      <c r="B1103" s="101">
        <v>43880</v>
      </c>
      <c r="C1103" s="125">
        <v>17024.41</v>
      </c>
      <c r="E1103" s="141"/>
      <c r="F1103" s="141"/>
    </row>
    <row r="1104" spans="2:6" hidden="1" outlineLevel="1" x14ac:dyDescent="0.15">
      <c r="B1104" s="101">
        <v>43879</v>
      </c>
      <c r="C1104" s="125">
        <v>16837.080000000002</v>
      </c>
      <c r="E1104" s="141"/>
      <c r="F1104" s="141"/>
    </row>
    <row r="1105" spans="2:6" hidden="1" outlineLevel="1" x14ac:dyDescent="0.15">
      <c r="B1105" s="101">
        <v>43878</v>
      </c>
      <c r="C1105" s="125">
        <v>16911.919999999998</v>
      </c>
      <c r="E1105" s="141"/>
      <c r="F1105" s="141"/>
    </row>
    <row r="1106" spans="2:6" hidden="1" outlineLevel="1" x14ac:dyDescent="0.15">
      <c r="B1106" s="101">
        <v>43875</v>
      </c>
      <c r="C1106" s="125">
        <v>17002.89</v>
      </c>
      <c r="E1106" s="141"/>
      <c r="F1106" s="141"/>
    </row>
    <row r="1107" spans="2:6" hidden="1" outlineLevel="1" x14ac:dyDescent="0.15">
      <c r="B1107" s="101">
        <v>43874</v>
      </c>
      <c r="C1107" s="125">
        <v>17088.84</v>
      </c>
      <c r="E1107" s="141"/>
      <c r="F1107" s="141"/>
    </row>
    <row r="1108" spans="2:6" hidden="1" outlineLevel="1" x14ac:dyDescent="0.15">
      <c r="B1108" s="101">
        <v>43873</v>
      </c>
      <c r="C1108" s="125">
        <v>17126.07</v>
      </c>
      <c r="E1108" s="141"/>
      <c r="F1108" s="141"/>
    </row>
    <row r="1109" spans="2:6" hidden="1" outlineLevel="1" x14ac:dyDescent="0.15">
      <c r="B1109" s="101">
        <v>43872</v>
      </c>
      <c r="C1109" s="125">
        <v>16995.099999999999</v>
      </c>
      <c r="E1109" s="141"/>
      <c r="F1109" s="141"/>
    </row>
    <row r="1110" spans="2:6" hidden="1" outlineLevel="1" x14ac:dyDescent="0.15">
      <c r="B1110" s="101">
        <v>43871</v>
      </c>
      <c r="C1110" s="125">
        <v>16887.86</v>
      </c>
      <c r="E1110" s="141"/>
      <c r="F1110" s="141"/>
    </row>
    <row r="1111" spans="2:6" hidden="1" outlineLevel="1" x14ac:dyDescent="0.15">
      <c r="B1111" s="101">
        <v>43868</v>
      </c>
      <c r="C1111" s="125">
        <v>16981.75</v>
      </c>
      <c r="E1111" s="141"/>
      <c r="F1111" s="141"/>
    </row>
    <row r="1112" spans="2:6" hidden="1" outlineLevel="1" x14ac:dyDescent="0.15">
      <c r="B1112" s="101">
        <v>43867</v>
      </c>
      <c r="C1112" s="125">
        <v>17037.28</v>
      </c>
      <c r="E1112" s="141"/>
      <c r="F1112" s="141"/>
    </row>
    <row r="1113" spans="2:6" hidden="1" outlineLevel="1" x14ac:dyDescent="0.15">
      <c r="B1113" s="101">
        <v>43866</v>
      </c>
      <c r="C1113" s="125">
        <v>16968.830000000002</v>
      </c>
      <c r="E1113" s="141"/>
      <c r="F1113" s="141"/>
    </row>
    <row r="1114" spans="2:6" hidden="1" outlineLevel="1" x14ac:dyDescent="0.15">
      <c r="B1114" s="101">
        <v>43865</v>
      </c>
      <c r="C1114" s="125">
        <v>16815.12</v>
      </c>
      <c r="E1114" s="141"/>
      <c r="F1114" s="141"/>
    </row>
    <row r="1115" spans="2:6" hidden="1" outlineLevel="1" x14ac:dyDescent="0.15">
      <c r="B1115" s="101">
        <v>43864</v>
      </c>
      <c r="C1115" s="125">
        <v>16433.650000000001</v>
      </c>
      <c r="E1115" s="141"/>
      <c r="F1115" s="141"/>
    </row>
    <row r="1116" spans="2:6" hidden="1" outlineLevel="1" x14ac:dyDescent="0.15">
      <c r="B1116" s="101">
        <v>43862</v>
      </c>
      <c r="C1116" s="125">
        <v>16369</v>
      </c>
      <c r="E1116" s="141"/>
      <c r="F1116" s="141"/>
    </row>
    <row r="1117" spans="2:6" hidden="1" outlineLevel="1" x14ac:dyDescent="0.15">
      <c r="B1117" s="101">
        <v>43861</v>
      </c>
      <c r="C1117" s="125">
        <v>16790.45</v>
      </c>
      <c r="E1117" s="141"/>
      <c r="F1117" s="141"/>
    </row>
    <row r="1118" spans="2:6" hidden="1" outlineLevel="1" x14ac:dyDescent="0.15">
      <c r="B1118" s="101">
        <v>43860</v>
      </c>
      <c r="C1118" s="125">
        <v>16893.91</v>
      </c>
      <c r="E1118" s="141"/>
      <c r="F1118" s="141"/>
    </row>
    <row r="1119" spans="2:6" hidden="1" outlineLevel="1" x14ac:dyDescent="0.15">
      <c r="B1119" s="101">
        <v>43859</v>
      </c>
      <c r="C1119" s="125">
        <v>17025.46</v>
      </c>
      <c r="E1119" s="141"/>
      <c r="F1119" s="141"/>
    </row>
    <row r="1120" spans="2:6" hidden="1" outlineLevel="1" x14ac:dyDescent="0.15">
      <c r="B1120" s="101">
        <v>43858</v>
      </c>
      <c r="C1120" s="125">
        <v>16922.009999999998</v>
      </c>
      <c r="E1120" s="141"/>
      <c r="F1120" s="141"/>
    </row>
    <row r="1121" spans="2:6" hidden="1" outlineLevel="1" x14ac:dyDescent="0.15">
      <c r="B1121" s="101">
        <v>43857</v>
      </c>
      <c r="C1121" s="125">
        <v>17010.7</v>
      </c>
      <c r="E1121" s="141"/>
      <c r="F1121" s="141"/>
    </row>
    <row r="1122" spans="2:6" hidden="1" outlineLevel="1" x14ac:dyDescent="0.15">
      <c r="B1122" s="101">
        <v>43854</v>
      </c>
      <c r="C1122" s="125">
        <v>17192.150000000001</v>
      </c>
      <c r="E1122" s="141"/>
      <c r="F1122" s="141"/>
    </row>
    <row r="1123" spans="2:6" hidden="1" outlineLevel="1" x14ac:dyDescent="0.15">
      <c r="B1123" s="101">
        <v>43853</v>
      </c>
      <c r="C1123" s="125">
        <v>17095.61</v>
      </c>
      <c r="E1123" s="141"/>
      <c r="F1123" s="141"/>
    </row>
    <row r="1124" spans="2:6" hidden="1" outlineLevel="1" x14ac:dyDescent="0.15">
      <c r="B1124" s="101">
        <v>43852</v>
      </c>
      <c r="C1124" s="125">
        <v>16990.68</v>
      </c>
      <c r="E1124" s="141"/>
      <c r="F1124" s="141"/>
    </row>
    <row r="1125" spans="2:6" hidden="1" outlineLevel="1" x14ac:dyDescent="0.15">
      <c r="B1125" s="101">
        <v>43851</v>
      </c>
      <c r="C1125" s="125">
        <v>17079.07</v>
      </c>
      <c r="E1125" s="141"/>
      <c r="F1125" s="141"/>
    </row>
    <row r="1126" spans="2:6" hidden="1" outlineLevel="1" x14ac:dyDescent="0.15">
      <c r="B1126" s="101">
        <v>43850</v>
      </c>
      <c r="C1126" s="125">
        <v>17155.830000000002</v>
      </c>
      <c r="E1126" s="141"/>
      <c r="F1126" s="141"/>
    </row>
    <row r="1127" spans="2:6" hidden="1" outlineLevel="1" x14ac:dyDescent="0.15">
      <c r="B1127" s="101">
        <v>43847</v>
      </c>
      <c r="C1127" s="125">
        <v>17335.2</v>
      </c>
      <c r="E1127" s="141"/>
      <c r="F1127" s="141"/>
    </row>
    <row r="1128" spans="2:6" hidden="1" outlineLevel="1" x14ac:dyDescent="0.15">
      <c r="B1128" s="101">
        <v>43846</v>
      </c>
      <c r="C1128" s="125">
        <v>17339.57</v>
      </c>
      <c r="E1128" s="141"/>
      <c r="F1128" s="141"/>
    </row>
    <row r="1129" spans="2:6" hidden="1" outlineLevel="1" x14ac:dyDescent="0.15">
      <c r="B1129" s="101">
        <v>43845</v>
      </c>
      <c r="C1129" s="125">
        <v>17322.5</v>
      </c>
      <c r="E1129" s="141"/>
      <c r="F1129" s="141"/>
    </row>
    <row r="1130" spans="2:6" hidden="1" outlineLevel="1" x14ac:dyDescent="0.15">
      <c r="B1130" s="101">
        <v>43844</v>
      </c>
      <c r="C1130" s="125">
        <v>17349.12</v>
      </c>
      <c r="E1130" s="141"/>
      <c r="F1130" s="141"/>
    </row>
    <row r="1131" spans="2:6" hidden="1" outlineLevel="1" x14ac:dyDescent="0.15">
      <c r="B1131" s="101">
        <v>43843</v>
      </c>
      <c r="C1131" s="125">
        <v>17303.2</v>
      </c>
      <c r="E1131" s="141"/>
      <c r="F1131" s="141"/>
    </row>
    <row r="1132" spans="2:6" hidden="1" outlineLevel="1" x14ac:dyDescent="0.15">
      <c r="B1132" s="101">
        <v>43840</v>
      </c>
      <c r="C1132" s="125">
        <v>17201.080000000002</v>
      </c>
      <c r="E1132" s="141"/>
      <c r="F1132" s="141"/>
    </row>
    <row r="1133" spans="2:6" hidden="1" outlineLevel="1" x14ac:dyDescent="0.15">
      <c r="B1133" s="101">
        <v>43839</v>
      </c>
      <c r="C1133" s="125">
        <v>17143.650000000001</v>
      </c>
      <c r="E1133" s="141"/>
      <c r="F1133" s="141"/>
    </row>
    <row r="1134" spans="2:6" hidden="1" outlineLevel="1" x14ac:dyDescent="0.15">
      <c r="B1134" s="101">
        <v>43838</v>
      </c>
      <c r="C1134" s="125">
        <v>16876.240000000002</v>
      </c>
      <c r="E1134" s="141"/>
      <c r="F1134" s="141"/>
    </row>
    <row r="1135" spans="2:6" hidden="1" outlineLevel="1" x14ac:dyDescent="0.15">
      <c r="B1135" s="101">
        <v>43837</v>
      </c>
      <c r="C1135" s="125">
        <v>16915.03</v>
      </c>
      <c r="E1135" s="141"/>
      <c r="F1135" s="141"/>
    </row>
    <row r="1136" spans="2:6" hidden="1" outlineLevel="1" x14ac:dyDescent="0.15">
      <c r="B1136" s="101">
        <v>43836</v>
      </c>
      <c r="C1136" s="125">
        <v>16830.93</v>
      </c>
      <c r="E1136" s="141"/>
      <c r="F1136" s="141"/>
    </row>
    <row r="1137" spans="2:6" hidden="1" outlineLevel="1" x14ac:dyDescent="0.15">
      <c r="B1137" s="101">
        <v>43833</v>
      </c>
      <c r="C1137" s="125">
        <v>17158.75</v>
      </c>
      <c r="E1137" s="141"/>
      <c r="F1137" s="141"/>
    </row>
    <row r="1138" spans="2:6" hidden="1" outlineLevel="1" x14ac:dyDescent="0.15">
      <c r="B1138" s="101">
        <v>43832</v>
      </c>
      <c r="C1138" s="125">
        <v>17236.7</v>
      </c>
      <c r="E1138" s="141"/>
      <c r="F1138" s="141"/>
    </row>
    <row r="1139" spans="2:6" hidden="1" outlineLevel="1" x14ac:dyDescent="0.15">
      <c r="B1139" s="101">
        <v>43831</v>
      </c>
      <c r="C1139" s="125">
        <v>17096.830000000002</v>
      </c>
      <c r="E1139" s="141"/>
      <c r="F1139" s="141"/>
    </row>
    <row r="1140" spans="2:6" hidden="1" outlineLevel="1" x14ac:dyDescent="0.15">
      <c r="B1140" s="101">
        <v>43830</v>
      </c>
      <c r="C1140" s="125">
        <v>17077.060000000001</v>
      </c>
      <c r="E1140" s="141"/>
      <c r="F1140" s="141"/>
    </row>
    <row r="1141" spans="2:6" hidden="1" outlineLevel="1" x14ac:dyDescent="0.15">
      <c r="B1141" s="101">
        <v>43829</v>
      </c>
      <c r="C1141" s="125">
        <v>17199.73</v>
      </c>
      <c r="E1141" s="141"/>
      <c r="F1141" s="141"/>
    </row>
    <row r="1142" spans="2:6" hidden="1" outlineLevel="1" x14ac:dyDescent="0.15">
      <c r="B1142" s="101">
        <v>43826</v>
      </c>
      <c r="C1142" s="125">
        <v>17185.66</v>
      </c>
      <c r="E1142" s="141"/>
      <c r="F1142" s="141"/>
    </row>
    <row r="1143" spans="2:6" hidden="1" outlineLevel="1" x14ac:dyDescent="0.15">
      <c r="B1143" s="101">
        <v>43825</v>
      </c>
      <c r="C1143" s="125">
        <v>17018.259999999998</v>
      </c>
      <c r="E1143" s="141"/>
      <c r="F1143" s="141"/>
    </row>
    <row r="1144" spans="2:6" hidden="1" outlineLevel="1" x14ac:dyDescent="0.15">
      <c r="B1144" s="101">
        <v>43823</v>
      </c>
      <c r="C1144" s="125">
        <v>17141.8</v>
      </c>
      <c r="E1144" s="141"/>
      <c r="F1144" s="141"/>
    </row>
    <row r="1145" spans="2:6" hidden="1" outlineLevel="1" x14ac:dyDescent="0.15">
      <c r="B1145" s="101">
        <v>43822</v>
      </c>
      <c r="C1145" s="125">
        <v>17209.400000000001</v>
      </c>
      <c r="E1145" s="141"/>
      <c r="F1145" s="141"/>
    </row>
    <row r="1146" spans="2:6" hidden="1" outlineLevel="1" x14ac:dyDescent="0.15">
      <c r="B1146" s="101">
        <v>43819</v>
      </c>
      <c r="C1146" s="125">
        <v>17222.14</v>
      </c>
      <c r="E1146" s="141"/>
      <c r="F1146" s="141"/>
    </row>
    <row r="1147" spans="2:6" hidden="1" outlineLevel="1" x14ac:dyDescent="0.15">
      <c r="B1147" s="101">
        <v>43818</v>
      </c>
      <c r="C1147" s="125">
        <v>17205.12</v>
      </c>
      <c r="E1147" s="141"/>
      <c r="F1147" s="141"/>
    </row>
    <row r="1148" spans="2:6" hidden="1" outlineLevel="1" x14ac:dyDescent="0.15">
      <c r="B1148" s="101">
        <v>43817</v>
      </c>
      <c r="C1148" s="125">
        <v>17150.93</v>
      </c>
      <c r="E1148" s="141"/>
      <c r="F1148" s="141"/>
    </row>
    <row r="1149" spans="2:6" hidden="1" outlineLevel="1" x14ac:dyDescent="0.15">
      <c r="B1149" s="101">
        <v>43816</v>
      </c>
      <c r="C1149" s="125">
        <v>17071.490000000002</v>
      </c>
      <c r="E1149" s="141"/>
      <c r="F1149" s="141"/>
    </row>
    <row r="1150" spans="2:6" hidden="1" outlineLevel="1" x14ac:dyDescent="0.15">
      <c r="B1150" s="101">
        <v>43815</v>
      </c>
      <c r="C1150" s="125">
        <v>16915.650000000001</v>
      </c>
      <c r="E1150" s="141"/>
      <c r="F1150" s="141"/>
    </row>
    <row r="1151" spans="2:6" hidden="1" outlineLevel="1" x14ac:dyDescent="0.15">
      <c r="B1151" s="101">
        <v>43812</v>
      </c>
      <c r="C1151" s="125">
        <v>16961.560000000001</v>
      </c>
      <c r="E1151" s="141"/>
      <c r="F1151" s="141"/>
    </row>
    <row r="1152" spans="2:6" hidden="1" outlineLevel="1" x14ac:dyDescent="0.15">
      <c r="B1152" s="101">
        <v>43811</v>
      </c>
      <c r="C1152" s="125">
        <v>16800.36</v>
      </c>
      <c r="E1152" s="141"/>
      <c r="F1152" s="141"/>
    </row>
    <row r="1153" spans="2:6" hidden="1" outlineLevel="1" x14ac:dyDescent="0.15">
      <c r="B1153" s="101">
        <v>43810</v>
      </c>
      <c r="C1153" s="125">
        <v>16713.79</v>
      </c>
      <c r="E1153" s="141"/>
      <c r="F1153" s="141"/>
    </row>
    <row r="1154" spans="2:6" hidden="1" outlineLevel="1" x14ac:dyDescent="0.15">
      <c r="B1154" s="101">
        <v>43809</v>
      </c>
      <c r="C1154" s="125">
        <v>16638.939999999999</v>
      </c>
      <c r="E1154" s="141"/>
      <c r="F1154" s="141"/>
    </row>
    <row r="1155" spans="2:6" hidden="1" outlineLevel="1" x14ac:dyDescent="0.15">
      <c r="B1155" s="101">
        <v>43808</v>
      </c>
      <c r="C1155" s="125">
        <v>16751.53</v>
      </c>
      <c r="E1155" s="141"/>
      <c r="F1155" s="141"/>
    </row>
    <row r="1156" spans="2:6" hidden="1" outlineLevel="1" x14ac:dyDescent="0.15">
      <c r="B1156" s="101">
        <v>43805</v>
      </c>
      <c r="C1156" s="125">
        <v>16729.080000000002</v>
      </c>
      <c r="E1156" s="141"/>
      <c r="F1156" s="141"/>
    </row>
    <row r="1157" spans="2:6" hidden="1" outlineLevel="1" x14ac:dyDescent="0.15">
      <c r="B1157" s="101">
        <v>43804</v>
      </c>
      <c r="C1157" s="125">
        <v>16865.04</v>
      </c>
      <c r="E1157" s="141"/>
      <c r="F1157" s="141"/>
    </row>
    <row r="1158" spans="2:6" hidden="1" outlineLevel="1" x14ac:dyDescent="0.15">
      <c r="B1158" s="101">
        <v>43803</v>
      </c>
      <c r="C1158" s="125">
        <v>16899.88</v>
      </c>
      <c r="E1158" s="141"/>
      <c r="F1158" s="141"/>
    </row>
    <row r="1159" spans="2:6" hidden="1" outlineLevel="1" x14ac:dyDescent="0.15">
      <c r="B1159" s="101">
        <v>43802</v>
      </c>
      <c r="C1159" s="125">
        <v>16831.11</v>
      </c>
      <c r="E1159" s="141"/>
      <c r="F1159" s="141"/>
    </row>
    <row r="1160" spans="2:6" hidden="1" outlineLevel="1" x14ac:dyDescent="0.15">
      <c r="B1160" s="101">
        <v>43801</v>
      </c>
      <c r="C1160" s="125">
        <v>16906.88</v>
      </c>
      <c r="E1160" s="141"/>
      <c r="F1160" s="141"/>
    </row>
    <row r="1161" spans="2:6" hidden="1" outlineLevel="1" x14ac:dyDescent="0.15">
      <c r="B1161" s="101">
        <v>43798</v>
      </c>
      <c r="C1161" s="125">
        <v>16917.89</v>
      </c>
      <c r="E1161" s="141"/>
      <c r="F1161" s="141"/>
    </row>
    <row r="1162" spans="2:6" hidden="1" outlineLevel="1" x14ac:dyDescent="0.15">
      <c r="B1162" s="101">
        <v>43797</v>
      </c>
      <c r="C1162" s="125">
        <v>17051.310000000001</v>
      </c>
      <c r="E1162" s="141"/>
      <c r="F1162" s="141"/>
    </row>
    <row r="1163" spans="2:6" hidden="1" outlineLevel="1" x14ac:dyDescent="0.15">
      <c r="B1163" s="101">
        <v>43796</v>
      </c>
      <c r="C1163" s="125">
        <v>16980.54</v>
      </c>
      <c r="E1163" s="141"/>
      <c r="F1163" s="141"/>
    </row>
    <row r="1164" spans="2:6" hidden="1" outlineLevel="1" x14ac:dyDescent="0.15">
      <c r="B1164" s="101">
        <v>43795</v>
      </c>
      <c r="C1164" s="125">
        <v>16892.150000000001</v>
      </c>
      <c r="E1164" s="141"/>
      <c r="F1164" s="141"/>
    </row>
    <row r="1165" spans="2:6" hidden="1" outlineLevel="1" x14ac:dyDescent="0.15">
      <c r="B1165" s="101">
        <v>43794</v>
      </c>
      <c r="C1165" s="125">
        <v>16942.7</v>
      </c>
      <c r="E1165" s="141"/>
      <c r="F1165" s="141"/>
    </row>
    <row r="1166" spans="2:6" hidden="1" outlineLevel="1" x14ac:dyDescent="0.15">
      <c r="B1166" s="101">
        <v>43791</v>
      </c>
      <c r="C1166" s="125">
        <v>16719.11</v>
      </c>
      <c r="E1166" s="141"/>
      <c r="F1166" s="141"/>
    </row>
    <row r="1167" spans="2:6" hidden="1" outlineLevel="1" x14ac:dyDescent="0.15">
      <c r="B1167" s="101">
        <v>43790</v>
      </c>
      <c r="C1167" s="125">
        <v>16794.86</v>
      </c>
      <c r="E1167" s="141"/>
      <c r="F1167" s="141"/>
    </row>
    <row r="1168" spans="2:6" hidden="1" outlineLevel="1" x14ac:dyDescent="0.15">
      <c r="B1168" s="101">
        <v>43789</v>
      </c>
      <c r="C1168" s="125">
        <v>16837.96</v>
      </c>
      <c r="E1168" s="141"/>
      <c r="F1168" s="141"/>
    </row>
    <row r="1169" spans="2:6" hidden="1" outlineLevel="1" x14ac:dyDescent="0.15">
      <c r="B1169" s="101">
        <v>43788</v>
      </c>
      <c r="C1169" s="125">
        <v>16755.150000000001</v>
      </c>
      <c r="E1169" s="141"/>
      <c r="F1169" s="141"/>
    </row>
    <row r="1170" spans="2:6" hidden="1" outlineLevel="1" x14ac:dyDescent="0.15">
      <c r="B1170" s="101">
        <v>43787</v>
      </c>
      <c r="C1170" s="125">
        <v>16677.14</v>
      </c>
      <c r="E1170" s="141"/>
      <c r="F1170" s="141"/>
    </row>
    <row r="1171" spans="2:6" hidden="1" outlineLevel="1" x14ac:dyDescent="0.15">
      <c r="B1171" s="101">
        <v>43784</v>
      </c>
      <c r="C1171" s="125">
        <v>16692.52</v>
      </c>
      <c r="E1171" s="141"/>
      <c r="F1171" s="141"/>
    </row>
    <row r="1172" spans="2:6" hidden="1" outlineLevel="1" x14ac:dyDescent="0.15">
      <c r="B1172" s="101">
        <v>43783</v>
      </c>
      <c r="C1172" s="125">
        <v>16659.78</v>
      </c>
      <c r="E1172" s="141"/>
      <c r="F1172" s="141"/>
    </row>
    <row r="1173" spans="2:6" hidden="1" outlineLevel="1" x14ac:dyDescent="0.15">
      <c r="B1173" s="101">
        <v>43782</v>
      </c>
      <c r="C1173" s="125">
        <v>16615.37</v>
      </c>
      <c r="E1173" s="141"/>
      <c r="F1173" s="141"/>
    </row>
    <row r="1174" spans="2:6" hidden="1" outlineLevel="1" x14ac:dyDescent="0.15">
      <c r="B1174" s="101">
        <v>43780</v>
      </c>
      <c r="C1174" s="125">
        <v>16717.75</v>
      </c>
      <c r="E1174" s="141"/>
      <c r="F1174" s="141"/>
    </row>
    <row r="1175" spans="2:6" hidden="1" outlineLevel="1" x14ac:dyDescent="0.15">
      <c r="B1175" s="101">
        <v>43777</v>
      </c>
      <c r="C1175" s="125">
        <v>16710.37</v>
      </c>
      <c r="E1175" s="141"/>
      <c r="F1175" s="141"/>
    </row>
    <row r="1176" spans="2:6" hidden="1" outlineLevel="1" x14ac:dyDescent="0.15">
      <c r="B1176" s="101">
        <v>43776</v>
      </c>
      <c r="C1176" s="125">
        <v>16856.169999999998</v>
      </c>
      <c r="E1176" s="141"/>
      <c r="F1176" s="141"/>
    </row>
    <row r="1177" spans="2:6" hidden="1" outlineLevel="1" x14ac:dyDescent="0.15">
      <c r="B1177" s="101">
        <v>43775</v>
      </c>
      <c r="C1177" s="125">
        <v>16791.61</v>
      </c>
      <c r="E1177" s="141"/>
      <c r="F1177" s="141"/>
    </row>
    <row r="1178" spans="2:6" hidden="1" outlineLevel="1" x14ac:dyDescent="0.15">
      <c r="B1178" s="101">
        <v>43774</v>
      </c>
      <c r="C1178" s="125">
        <v>16723.060000000001</v>
      </c>
      <c r="E1178" s="141"/>
      <c r="F1178" s="141"/>
    </row>
    <row r="1179" spans="2:6" hidden="1" outlineLevel="1" x14ac:dyDescent="0.15">
      <c r="B1179" s="101">
        <v>43773</v>
      </c>
      <c r="C1179" s="125">
        <v>16756.87</v>
      </c>
      <c r="E1179" s="141"/>
      <c r="F1179" s="141"/>
    </row>
    <row r="1180" spans="2:6" hidden="1" outlineLevel="1" x14ac:dyDescent="0.15">
      <c r="B1180" s="101">
        <v>43770</v>
      </c>
      <c r="C1180" s="125">
        <v>16685.73</v>
      </c>
      <c r="E1180" s="141"/>
      <c r="F1180" s="141"/>
    </row>
    <row r="1181" spans="2:6" hidden="1" outlineLevel="1" x14ac:dyDescent="0.15">
      <c r="B1181" s="101">
        <v>43769</v>
      </c>
      <c r="C1181" s="125">
        <v>16667.29</v>
      </c>
      <c r="E1181" s="141"/>
      <c r="F1181" s="141"/>
    </row>
    <row r="1182" spans="2:6" hidden="1" outlineLevel="1" x14ac:dyDescent="0.15">
      <c r="B1182" s="101">
        <v>43768</v>
      </c>
      <c r="C1182" s="125">
        <v>16620.07</v>
      </c>
      <c r="E1182" s="141"/>
      <c r="F1182" s="141"/>
    </row>
    <row r="1183" spans="2:6" hidden="1" outlineLevel="1" x14ac:dyDescent="0.15">
      <c r="B1183" s="101">
        <v>43767</v>
      </c>
      <c r="C1183" s="125">
        <v>16539.23</v>
      </c>
      <c r="E1183" s="141"/>
      <c r="F1183" s="141"/>
    </row>
    <row r="1184" spans="2:6" hidden="1" outlineLevel="1" x14ac:dyDescent="0.15">
      <c r="B1184" s="101">
        <v>43765</v>
      </c>
      <c r="C1184" s="125">
        <v>16315.17</v>
      </c>
      <c r="E1184" s="141"/>
      <c r="F1184" s="141"/>
    </row>
    <row r="1185" spans="2:6" hidden="1" outlineLevel="1" x14ac:dyDescent="0.15">
      <c r="B1185" s="101">
        <v>43763</v>
      </c>
      <c r="C1185" s="125">
        <v>16254.45</v>
      </c>
      <c r="E1185" s="141"/>
      <c r="F1185" s="141"/>
    </row>
    <row r="1186" spans="2:6" hidden="1" outlineLevel="1" x14ac:dyDescent="0.15">
      <c r="B1186" s="101">
        <v>43762</v>
      </c>
      <c r="C1186" s="125">
        <v>16252.63</v>
      </c>
      <c r="E1186" s="141"/>
      <c r="F1186" s="141"/>
    </row>
    <row r="1187" spans="2:6" hidden="1" outlineLevel="1" x14ac:dyDescent="0.15">
      <c r="B1187" s="101">
        <v>43761</v>
      </c>
      <c r="C1187" s="125">
        <v>16282.84</v>
      </c>
      <c r="E1187" s="141"/>
      <c r="F1187" s="141"/>
    </row>
    <row r="1188" spans="2:6" hidden="1" outlineLevel="1" x14ac:dyDescent="0.15">
      <c r="B1188" s="101">
        <v>43760</v>
      </c>
      <c r="C1188" s="125">
        <v>16248.11</v>
      </c>
      <c r="E1188" s="141"/>
      <c r="F1188" s="141"/>
    </row>
    <row r="1189" spans="2:6" hidden="1" outlineLevel="1" x14ac:dyDescent="0.15">
      <c r="B1189" s="101">
        <v>43756</v>
      </c>
      <c r="C1189" s="125">
        <v>16351.16</v>
      </c>
      <c r="E1189" s="141"/>
      <c r="F1189" s="141"/>
    </row>
    <row r="1190" spans="2:6" hidden="1" outlineLevel="1" x14ac:dyDescent="0.15">
      <c r="B1190" s="101">
        <v>43755</v>
      </c>
      <c r="C1190" s="125">
        <v>16245.31</v>
      </c>
      <c r="E1190" s="141"/>
      <c r="F1190" s="141"/>
    </row>
    <row r="1191" spans="2:6" hidden="1" outlineLevel="1" x14ac:dyDescent="0.15">
      <c r="B1191" s="101">
        <v>43754</v>
      </c>
      <c r="C1191" s="125">
        <v>16057.85</v>
      </c>
      <c r="E1191" s="141"/>
      <c r="F1191" s="141"/>
    </row>
    <row r="1192" spans="2:6" hidden="1" outlineLevel="1" x14ac:dyDescent="0.15">
      <c r="B1192" s="101">
        <v>43753</v>
      </c>
      <c r="C1192" s="125">
        <v>16007.83</v>
      </c>
      <c r="E1192" s="141"/>
      <c r="F1192" s="141"/>
    </row>
    <row r="1193" spans="2:6" hidden="1" outlineLevel="1" x14ac:dyDescent="0.15">
      <c r="B1193" s="101">
        <v>43752</v>
      </c>
      <c r="C1193" s="125">
        <v>15885.74</v>
      </c>
      <c r="E1193" s="141"/>
      <c r="F1193" s="141"/>
    </row>
    <row r="1194" spans="2:6" hidden="1" outlineLevel="1" x14ac:dyDescent="0.15">
      <c r="B1194" s="101">
        <v>43749</v>
      </c>
      <c r="C1194" s="125">
        <v>15835.17</v>
      </c>
      <c r="E1194" s="141"/>
      <c r="F1194" s="141"/>
    </row>
    <row r="1195" spans="2:6" hidden="1" outlineLevel="1" x14ac:dyDescent="0.15">
      <c r="B1195" s="101">
        <v>43748</v>
      </c>
      <c r="C1195" s="125">
        <v>15736.44</v>
      </c>
      <c r="E1195" s="141"/>
      <c r="F1195" s="141"/>
    </row>
    <row r="1196" spans="2:6" hidden="1" outlineLevel="1" x14ac:dyDescent="0.15">
      <c r="B1196" s="101">
        <v>43747</v>
      </c>
      <c r="C1196" s="125">
        <v>15846.77</v>
      </c>
      <c r="E1196" s="141"/>
      <c r="F1196" s="141"/>
    </row>
    <row r="1197" spans="2:6" hidden="1" outlineLevel="1" x14ac:dyDescent="0.15">
      <c r="B1197" s="101">
        <v>43745</v>
      </c>
      <c r="C1197" s="125">
        <v>15584.94</v>
      </c>
      <c r="E1197" s="141"/>
      <c r="F1197" s="141"/>
    </row>
    <row r="1198" spans="2:6" hidden="1" outlineLevel="1" x14ac:dyDescent="0.15">
      <c r="B1198" s="101">
        <v>43742</v>
      </c>
      <c r="C1198" s="125">
        <v>15652.7</v>
      </c>
      <c r="E1198" s="141"/>
      <c r="F1198" s="141"/>
    </row>
    <row r="1199" spans="2:6" hidden="1" outlineLevel="1" x14ac:dyDescent="0.15">
      <c r="B1199" s="101">
        <v>43741</v>
      </c>
      <c r="C1199" s="125">
        <v>15847.7</v>
      </c>
      <c r="E1199" s="141"/>
      <c r="F1199" s="141"/>
    </row>
    <row r="1200" spans="2:6" hidden="1" outlineLevel="1" x14ac:dyDescent="0.15">
      <c r="B1200" s="101">
        <v>43739</v>
      </c>
      <c r="C1200" s="125">
        <v>15912.03</v>
      </c>
      <c r="E1200" s="141"/>
      <c r="F1200" s="141"/>
    </row>
    <row r="1201" spans="2:6" hidden="1" outlineLevel="1" x14ac:dyDescent="0.15">
      <c r="B1201" s="101">
        <v>43738</v>
      </c>
      <c r="C1201" s="125">
        <v>16072.5</v>
      </c>
      <c r="E1201" s="141"/>
      <c r="F1201" s="141"/>
    </row>
    <row r="1202" spans="2:6" hidden="1" outlineLevel="1" x14ac:dyDescent="0.15">
      <c r="B1202" s="101">
        <v>43735</v>
      </c>
      <c r="C1202" s="125">
        <v>16125.65</v>
      </c>
      <c r="E1202" s="141"/>
      <c r="F1202" s="141"/>
    </row>
    <row r="1203" spans="2:6" hidden="1" outlineLevel="1" x14ac:dyDescent="0.15">
      <c r="B1203" s="101">
        <v>43734</v>
      </c>
      <c r="C1203" s="125">
        <v>16207.96</v>
      </c>
      <c r="E1203" s="141"/>
      <c r="F1203" s="141"/>
    </row>
    <row r="1204" spans="2:6" hidden="1" outlineLevel="1" x14ac:dyDescent="0.15">
      <c r="B1204" s="101">
        <v>43733</v>
      </c>
      <c r="C1204" s="125">
        <v>16024.49</v>
      </c>
      <c r="E1204" s="141"/>
      <c r="F1204" s="141"/>
    </row>
    <row r="1205" spans="2:6" hidden="1" outlineLevel="1" x14ac:dyDescent="0.15">
      <c r="B1205" s="101">
        <v>43732</v>
      </c>
      <c r="C1205" s="125">
        <v>16231.83</v>
      </c>
      <c r="E1205" s="141"/>
      <c r="F1205" s="141"/>
    </row>
    <row r="1206" spans="2:6" hidden="1" outlineLevel="1" x14ac:dyDescent="0.15">
      <c r="B1206" s="101">
        <v>43731</v>
      </c>
      <c r="C1206" s="125">
        <v>16248.62</v>
      </c>
      <c r="E1206" s="141"/>
      <c r="F1206" s="141"/>
    </row>
    <row r="1207" spans="2:6" hidden="1" outlineLevel="1" x14ac:dyDescent="0.15">
      <c r="B1207" s="101">
        <v>43728</v>
      </c>
      <c r="C1207" s="125">
        <v>15791.99</v>
      </c>
      <c r="E1207" s="141"/>
      <c r="F1207" s="141"/>
    </row>
    <row r="1208" spans="2:6" hidden="1" outlineLevel="1" x14ac:dyDescent="0.15">
      <c r="B1208" s="101">
        <v>43727</v>
      </c>
      <c r="C1208" s="125">
        <v>14994.39</v>
      </c>
      <c r="E1208" s="141"/>
      <c r="F1208" s="141"/>
    </row>
    <row r="1209" spans="2:6" hidden="1" outlineLevel="1" x14ac:dyDescent="0.15">
      <c r="B1209" s="101">
        <v>43726</v>
      </c>
      <c r="C1209" s="125">
        <v>15184.69</v>
      </c>
      <c r="E1209" s="141"/>
      <c r="F1209" s="141"/>
    </row>
    <row r="1210" spans="2:6" hidden="1" outlineLevel="1" x14ac:dyDescent="0.15">
      <c r="B1210" s="101">
        <v>43725</v>
      </c>
      <c r="C1210" s="125">
        <v>15152.39</v>
      </c>
      <c r="E1210" s="141"/>
      <c r="F1210" s="141"/>
    </row>
    <row r="1211" spans="2:6" hidden="1" outlineLevel="1" x14ac:dyDescent="0.15">
      <c r="B1211" s="101">
        <v>43724</v>
      </c>
      <c r="C1211" s="125">
        <v>15412.83</v>
      </c>
      <c r="E1211" s="141"/>
      <c r="F1211" s="141"/>
    </row>
    <row r="1212" spans="2:6" hidden="1" outlineLevel="1" x14ac:dyDescent="0.15">
      <c r="B1212" s="101">
        <v>43721</v>
      </c>
      <c r="C1212" s="125">
        <v>15514.2</v>
      </c>
      <c r="E1212" s="141"/>
      <c r="F1212" s="141"/>
    </row>
    <row r="1213" spans="2:6" hidden="1" outlineLevel="1" x14ac:dyDescent="0.15">
      <c r="B1213" s="101">
        <v>43720</v>
      </c>
      <c r="C1213" s="125">
        <v>15383.82</v>
      </c>
      <c r="E1213" s="141"/>
      <c r="F1213" s="141"/>
    </row>
    <row r="1214" spans="2:6" hidden="1" outlineLevel="1" x14ac:dyDescent="0.15">
      <c r="B1214" s="101">
        <v>43719</v>
      </c>
      <c r="C1214" s="125">
        <v>15457.9</v>
      </c>
      <c r="E1214" s="141"/>
      <c r="F1214" s="141"/>
    </row>
    <row r="1215" spans="2:6" hidden="1" outlineLevel="1" x14ac:dyDescent="0.15">
      <c r="B1215" s="101">
        <v>43717</v>
      </c>
      <c r="C1215" s="125">
        <v>15412.14</v>
      </c>
      <c r="E1215" s="141"/>
      <c r="F1215" s="141"/>
    </row>
    <row r="1216" spans="2:6" hidden="1" outlineLevel="1" x14ac:dyDescent="0.15">
      <c r="B1216" s="101">
        <v>43714</v>
      </c>
      <c r="C1216" s="125">
        <v>15332.57</v>
      </c>
      <c r="E1216" s="141"/>
      <c r="F1216" s="141"/>
    </row>
    <row r="1217" spans="2:6" hidden="1" outlineLevel="1" x14ac:dyDescent="0.15">
      <c r="B1217" s="101">
        <v>43713</v>
      </c>
      <c r="C1217" s="125">
        <v>15194.86</v>
      </c>
      <c r="E1217" s="141"/>
      <c r="F1217" s="141"/>
    </row>
    <row r="1218" spans="2:6" hidden="1" outlineLevel="1" x14ac:dyDescent="0.15">
      <c r="B1218" s="101">
        <v>43712</v>
      </c>
      <c r="C1218" s="125">
        <v>15190.3</v>
      </c>
      <c r="E1218" s="141"/>
      <c r="F1218" s="141"/>
    </row>
    <row r="1219" spans="2:6" hidden="1" outlineLevel="1" x14ac:dyDescent="0.15">
      <c r="B1219" s="101">
        <v>43711</v>
      </c>
      <c r="C1219" s="125">
        <v>15124.8</v>
      </c>
      <c r="E1219" s="141"/>
      <c r="F1219" s="141"/>
    </row>
    <row r="1220" spans="2:6" hidden="1" outlineLevel="1" x14ac:dyDescent="0.15">
      <c r="B1220" s="101">
        <v>43707</v>
      </c>
      <c r="C1220" s="125">
        <v>15440.47</v>
      </c>
      <c r="E1220" s="141"/>
      <c r="F1220" s="141"/>
    </row>
    <row r="1221" spans="2:6" hidden="1" outlineLevel="1" x14ac:dyDescent="0.15">
      <c r="B1221" s="101">
        <v>43706</v>
      </c>
      <c r="C1221" s="125">
        <v>15335.45</v>
      </c>
      <c r="E1221" s="141"/>
      <c r="F1221" s="141"/>
    </row>
    <row r="1222" spans="2:6" hidden="1" outlineLevel="1" x14ac:dyDescent="0.15">
      <c r="B1222" s="101">
        <v>43705</v>
      </c>
      <c r="C1222" s="125">
        <v>15472.44</v>
      </c>
      <c r="E1222" s="141"/>
      <c r="F1222" s="141"/>
    </row>
    <row r="1223" spans="2:6" hidden="1" outlineLevel="1" x14ac:dyDescent="0.15">
      <c r="B1223" s="101">
        <v>43704</v>
      </c>
      <c r="C1223" s="125">
        <v>15555.44</v>
      </c>
      <c r="E1223" s="141"/>
      <c r="F1223" s="141"/>
    </row>
    <row r="1224" spans="2:6" hidden="1" outlineLevel="1" x14ac:dyDescent="0.15">
      <c r="B1224" s="101">
        <v>43703</v>
      </c>
      <c r="C1224" s="125">
        <v>15488.96</v>
      </c>
      <c r="E1224" s="141"/>
      <c r="F1224" s="141"/>
    </row>
    <row r="1225" spans="2:6" hidden="1" outlineLevel="1" x14ac:dyDescent="0.15">
      <c r="B1225" s="101">
        <v>43700</v>
      </c>
      <c r="C1225" s="125">
        <v>15168.88</v>
      </c>
      <c r="E1225" s="141"/>
      <c r="F1225" s="141"/>
    </row>
    <row r="1226" spans="2:6" hidden="1" outlineLevel="1" x14ac:dyDescent="0.15">
      <c r="B1226" s="101">
        <v>43699</v>
      </c>
      <c r="C1226" s="125">
        <v>15045.62</v>
      </c>
      <c r="E1226" s="141"/>
      <c r="F1226" s="141"/>
    </row>
    <row r="1227" spans="2:6" hidden="1" outlineLevel="1" x14ac:dyDescent="0.15">
      <c r="B1227" s="101">
        <v>43698</v>
      </c>
      <c r="C1227" s="125">
        <v>15290.85</v>
      </c>
      <c r="E1227" s="141"/>
      <c r="F1227" s="141"/>
    </row>
    <row r="1228" spans="2:6" hidden="1" outlineLevel="1" x14ac:dyDescent="0.15">
      <c r="B1228" s="101">
        <v>43697</v>
      </c>
      <c r="C1228" s="125">
        <v>15425.45</v>
      </c>
      <c r="E1228" s="141"/>
      <c r="F1228" s="141"/>
    </row>
    <row r="1229" spans="2:6" hidden="1" outlineLevel="1" x14ac:dyDescent="0.15">
      <c r="B1229" s="101">
        <v>43696</v>
      </c>
      <c r="C1229" s="125">
        <v>15476.07</v>
      </c>
      <c r="E1229" s="141"/>
      <c r="F1229" s="141"/>
    </row>
    <row r="1230" spans="2:6" hidden="1" outlineLevel="1" x14ac:dyDescent="0.15">
      <c r="B1230" s="101">
        <v>43693</v>
      </c>
      <c r="C1230" s="125">
        <v>15464.58</v>
      </c>
      <c r="E1230" s="141"/>
      <c r="F1230" s="141"/>
    </row>
    <row r="1231" spans="2:6" hidden="1" outlineLevel="1" x14ac:dyDescent="0.15">
      <c r="B1231" s="101">
        <v>43691</v>
      </c>
      <c r="C1231" s="125">
        <v>15438.86</v>
      </c>
      <c r="E1231" s="141"/>
      <c r="F1231" s="141"/>
    </row>
    <row r="1232" spans="2:6" hidden="1" outlineLevel="1" x14ac:dyDescent="0.15">
      <c r="B1232" s="101">
        <v>43690</v>
      </c>
      <c r="C1232" s="125">
        <v>15289.35</v>
      </c>
      <c r="E1232" s="141"/>
      <c r="F1232" s="141"/>
    </row>
    <row r="1233" spans="2:6" hidden="1" outlineLevel="1" x14ac:dyDescent="0.15">
      <c r="B1233" s="101">
        <v>43686</v>
      </c>
      <c r="C1233" s="125">
        <v>15542.72</v>
      </c>
      <c r="E1233" s="141"/>
      <c r="F1233" s="141"/>
    </row>
    <row r="1234" spans="2:6" hidden="1" outlineLevel="1" x14ac:dyDescent="0.15">
      <c r="B1234" s="101">
        <v>43685</v>
      </c>
      <c r="C1234" s="125">
        <v>15434.73</v>
      </c>
      <c r="E1234" s="141"/>
      <c r="F1234" s="141"/>
    </row>
    <row r="1235" spans="2:6" hidden="1" outlineLevel="1" x14ac:dyDescent="0.15">
      <c r="B1235" s="101">
        <v>43684</v>
      </c>
      <c r="C1235" s="125">
        <v>15184.34</v>
      </c>
      <c r="E1235" s="141"/>
      <c r="F1235" s="141"/>
    </row>
    <row r="1236" spans="2:6" hidden="1" outlineLevel="1" x14ac:dyDescent="0.15">
      <c r="B1236" s="101">
        <v>43683</v>
      </c>
      <c r="C1236" s="125">
        <v>15314.03</v>
      </c>
      <c r="E1236" s="141"/>
      <c r="F1236" s="141"/>
    </row>
    <row r="1237" spans="2:6" hidden="1" outlineLevel="1" x14ac:dyDescent="0.15">
      <c r="B1237" s="101">
        <v>43682</v>
      </c>
      <c r="C1237" s="125">
        <v>15194.27</v>
      </c>
      <c r="E1237" s="141"/>
      <c r="F1237" s="141"/>
    </row>
    <row r="1238" spans="2:6" hidden="1" outlineLevel="1" x14ac:dyDescent="0.15">
      <c r="B1238" s="101">
        <v>43679</v>
      </c>
      <c r="C1238" s="125">
        <v>15382.73</v>
      </c>
      <c r="E1238" s="141"/>
      <c r="F1238" s="141"/>
    </row>
    <row r="1239" spans="2:6" hidden="1" outlineLevel="1" x14ac:dyDescent="0.15">
      <c r="B1239" s="101">
        <v>43678</v>
      </c>
      <c r="C1239" s="125">
        <v>15350.83</v>
      </c>
      <c r="E1239" s="141"/>
      <c r="F1239" s="141"/>
    </row>
    <row r="1240" spans="2:6" hidden="1" outlineLevel="1" x14ac:dyDescent="0.15">
      <c r="B1240" s="101">
        <v>43677</v>
      </c>
      <c r="C1240" s="125">
        <v>15539.43</v>
      </c>
      <c r="E1240" s="141"/>
      <c r="F1240" s="141"/>
    </row>
    <row r="1241" spans="2:6" hidden="1" outlineLevel="1" x14ac:dyDescent="0.15">
      <c r="B1241" s="101">
        <v>43676</v>
      </c>
      <c r="C1241" s="125">
        <v>15493.33</v>
      </c>
      <c r="E1241" s="141"/>
      <c r="F1241" s="141"/>
    </row>
    <row r="1242" spans="2:6" hidden="1" outlineLevel="1" x14ac:dyDescent="0.15">
      <c r="B1242" s="101">
        <v>43675</v>
      </c>
      <c r="C1242" s="125">
        <v>15638.42</v>
      </c>
      <c r="E1242" s="141"/>
      <c r="F1242" s="141"/>
    </row>
    <row r="1243" spans="2:6" hidden="1" outlineLevel="1" x14ac:dyDescent="0.15">
      <c r="B1243" s="101">
        <v>43672</v>
      </c>
      <c r="C1243" s="125">
        <v>15770.63</v>
      </c>
      <c r="E1243" s="141"/>
      <c r="F1243" s="141"/>
    </row>
    <row r="1244" spans="2:6" hidden="1" outlineLevel="1" x14ac:dyDescent="0.15">
      <c r="B1244" s="101">
        <v>43671</v>
      </c>
      <c r="C1244" s="125">
        <v>15725.6</v>
      </c>
      <c r="E1244" s="141"/>
      <c r="F1244" s="141"/>
    </row>
    <row r="1245" spans="2:6" hidden="1" outlineLevel="1" x14ac:dyDescent="0.15">
      <c r="B1245" s="101">
        <v>43670</v>
      </c>
      <c r="C1245" s="125">
        <v>15749.37</v>
      </c>
      <c r="E1245" s="141"/>
      <c r="F1245" s="141"/>
    </row>
    <row r="1246" spans="2:6" hidden="1" outlineLevel="1" x14ac:dyDescent="0.15">
      <c r="B1246" s="101">
        <v>43669</v>
      </c>
      <c r="C1246" s="125">
        <v>15824.55</v>
      </c>
      <c r="E1246" s="141"/>
      <c r="F1246" s="141"/>
    </row>
    <row r="1247" spans="2:6" hidden="1" outlineLevel="1" x14ac:dyDescent="0.15">
      <c r="B1247" s="101">
        <v>43668</v>
      </c>
      <c r="C1247" s="125">
        <v>15845.74</v>
      </c>
      <c r="E1247" s="141"/>
      <c r="F1247" s="141"/>
    </row>
    <row r="1248" spans="2:6" hidden="1" outlineLevel="1" x14ac:dyDescent="0.15">
      <c r="B1248" s="101">
        <v>43665</v>
      </c>
      <c r="C1248" s="125">
        <v>15945.55</v>
      </c>
      <c r="E1248" s="141"/>
      <c r="F1248" s="141"/>
    </row>
    <row r="1249" spans="2:6" hidden="1" outlineLevel="1" x14ac:dyDescent="0.15">
      <c r="B1249" s="101">
        <v>43664</v>
      </c>
      <c r="C1249" s="125">
        <v>16183.16</v>
      </c>
      <c r="E1249" s="141"/>
      <c r="F1249" s="141"/>
    </row>
    <row r="1250" spans="2:6" hidden="1" outlineLevel="1" x14ac:dyDescent="0.15">
      <c r="B1250" s="101">
        <v>43663</v>
      </c>
      <c r="C1250" s="125">
        <v>16306.82</v>
      </c>
      <c r="E1250" s="141"/>
      <c r="F1250" s="141"/>
    </row>
    <row r="1251" spans="2:6" hidden="1" outlineLevel="1" x14ac:dyDescent="0.15">
      <c r="B1251" s="101">
        <v>43662</v>
      </c>
      <c r="C1251" s="125">
        <v>16272.08</v>
      </c>
      <c r="E1251" s="141"/>
      <c r="F1251" s="141"/>
    </row>
    <row r="1252" spans="2:6" hidden="1" outlineLevel="1" x14ac:dyDescent="0.15">
      <c r="B1252" s="101">
        <v>43661</v>
      </c>
      <c r="C1252" s="125">
        <v>16165.28</v>
      </c>
      <c r="E1252" s="141"/>
      <c r="F1252" s="141"/>
    </row>
    <row r="1253" spans="2:6" hidden="1" outlineLevel="1" x14ac:dyDescent="0.15">
      <c r="B1253" s="101">
        <v>43658</v>
      </c>
      <c r="C1253" s="125">
        <v>16113.75</v>
      </c>
      <c r="E1253" s="141"/>
      <c r="F1253" s="141"/>
    </row>
    <row r="1254" spans="2:6" hidden="1" outlineLevel="1" x14ac:dyDescent="0.15">
      <c r="B1254" s="101">
        <v>43657</v>
      </c>
      <c r="C1254" s="125">
        <v>16155.78</v>
      </c>
      <c r="E1254" s="141"/>
      <c r="F1254" s="141"/>
    </row>
    <row r="1255" spans="2:6" hidden="1" outlineLevel="1" x14ac:dyDescent="0.15">
      <c r="B1255" s="101">
        <v>43656</v>
      </c>
      <c r="C1255" s="125">
        <v>16035.44</v>
      </c>
      <c r="E1255" s="141"/>
      <c r="F1255" s="141"/>
    </row>
    <row r="1256" spans="2:6" hidden="1" outlineLevel="1" x14ac:dyDescent="0.15">
      <c r="B1256" s="101">
        <v>43655</v>
      </c>
      <c r="C1256" s="125">
        <v>16114.46</v>
      </c>
      <c r="E1256" s="141"/>
      <c r="F1256" s="141"/>
    </row>
    <row r="1257" spans="2:6" hidden="1" outlineLevel="1" x14ac:dyDescent="0.15">
      <c r="B1257" s="101">
        <v>43654</v>
      </c>
      <c r="C1257" s="125">
        <v>16118.27</v>
      </c>
      <c r="E1257" s="141"/>
      <c r="F1257" s="141"/>
    </row>
    <row r="1258" spans="2:6" hidden="1" outlineLevel="1" x14ac:dyDescent="0.15">
      <c r="B1258" s="101">
        <v>43651</v>
      </c>
      <c r="C1258" s="125">
        <v>16468.990000000002</v>
      </c>
      <c r="E1258" s="141"/>
      <c r="F1258" s="141"/>
    </row>
    <row r="1259" spans="2:6" hidden="1" outlineLevel="1" x14ac:dyDescent="0.15">
      <c r="B1259" s="101">
        <v>43650</v>
      </c>
      <c r="C1259" s="125">
        <v>16658.04</v>
      </c>
      <c r="E1259" s="141"/>
      <c r="F1259" s="141"/>
    </row>
    <row r="1260" spans="2:6" hidden="1" outlineLevel="1" x14ac:dyDescent="0.15">
      <c r="B1260" s="101">
        <v>43649</v>
      </c>
      <c r="C1260" s="125">
        <v>16612.16</v>
      </c>
      <c r="E1260" s="141"/>
      <c r="F1260" s="141"/>
    </row>
    <row r="1261" spans="2:6" hidden="1" outlineLevel="1" x14ac:dyDescent="0.15">
      <c r="B1261" s="101">
        <v>43648</v>
      </c>
      <c r="C1261" s="125">
        <v>16603.169999999998</v>
      </c>
      <c r="E1261" s="141"/>
      <c r="F1261" s="141"/>
    </row>
    <row r="1262" spans="2:6" hidden="1" outlineLevel="1" x14ac:dyDescent="0.15">
      <c r="B1262" s="101">
        <v>43647</v>
      </c>
      <c r="C1262" s="125">
        <v>16540.88</v>
      </c>
      <c r="E1262" s="141"/>
      <c r="F1262" s="141"/>
    </row>
    <row r="1263" spans="2:6" hidden="1" outlineLevel="1" x14ac:dyDescent="0.15">
      <c r="B1263" s="101">
        <v>43644</v>
      </c>
      <c r="C1263" s="125">
        <v>16433.849999999999</v>
      </c>
      <c r="E1263" s="141"/>
      <c r="F1263" s="141"/>
    </row>
    <row r="1264" spans="2:6" hidden="1" outlineLevel="1" x14ac:dyDescent="0.15">
      <c r="B1264" s="101">
        <v>43643</v>
      </c>
      <c r="C1264" s="125">
        <v>16507.34</v>
      </c>
      <c r="E1264" s="141"/>
      <c r="F1264" s="141"/>
    </row>
    <row r="1265" spans="2:6" hidden="1" outlineLevel="1" x14ac:dyDescent="0.15">
      <c r="B1265" s="101">
        <v>43642</v>
      </c>
      <c r="C1265" s="125">
        <v>16515.68</v>
      </c>
      <c r="E1265" s="141"/>
      <c r="F1265" s="141"/>
    </row>
    <row r="1266" spans="2:6" hidden="1" outlineLevel="1" x14ac:dyDescent="0.15">
      <c r="B1266" s="101">
        <v>43641</v>
      </c>
      <c r="C1266" s="125">
        <v>16444.46</v>
      </c>
      <c r="E1266" s="141"/>
      <c r="F1266" s="141"/>
    </row>
    <row r="1267" spans="2:6" hidden="1" outlineLevel="1" x14ac:dyDescent="0.15">
      <c r="B1267" s="101">
        <v>43640</v>
      </c>
      <c r="C1267" s="125">
        <v>16309.52</v>
      </c>
      <c r="E1267" s="141"/>
      <c r="F1267" s="141"/>
    </row>
    <row r="1268" spans="2:6" hidden="1" outlineLevel="1" x14ac:dyDescent="0.15">
      <c r="B1268" s="101">
        <v>43637</v>
      </c>
      <c r="C1268" s="125">
        <v>16343.59</v>
      </c>
      <c r="E1268" s="141"/>
      <c r="F1268" s="141"/>
    </row>
    <row r="1269" spans="2:6" hidden="1" outlineLevel="1" x14ac:dyDescent="0.15">
      <c r="B1269" s="101">
        <v>43636</v>
      </c>
      <c r="C1269" s="125">
        <v>16493.650000000001</v>
      </c>
      <c r="E1269" s="141"/>
      <c r="F1269" s="141"/>
    </row>
    <row r="1270" spans="2:6" hidden="1" outlineLevel="1" x14ac:dyDescent="0.15">
      <c r="B1270" s="101">
        <v>43635</v>
      </c>
      <c r="C1270" s="125">
        <v>16283.94</v>
      </c>
      <c r="E1270" s="141"/>
      <c r="F1270" s="141"/>
    </row>
    <row r="1271" spans="2:6" hidden="1" outlineLevel="1" x14ac:dyDescent="0.15">
      <c r="B1271" s="101">
        <v>43634</v>
      </c>
      <c r="C1271" s="125">
        <v>16283.98</v>
      </c>
      <c r="E1271" s="141"/>
      <c r="F1271" s="141"/>
    </row>
    <row r="1272" spans="2:6" hidden="1" outlineLevel="1" x14ac:dyDescent="0.15">
      <c r="B1272" s="101">
        <v>43633</v>
      </c>
      <c r="C1272" s="125">
        <v>16257.06</v>
      </c>
      <c r="E1272" s="141"/>
      <c r="F1272" s="141"/>
    </row>
    <row r="1273" spans="2:6" hidden="1" outlineLevel="1" x14ac:dyDescent="0.15">
      <c r="B1273" s="101">
        <v>43630</v>
      </c>
      <c r="C1273" s="125">
        <v>16467.55</v>
      </c>
      <c r="E1273" s="141"/>
      <c r="F1273" s="141"/>
    </row>
    <row r="1274" spans="2:6" hidden="1" outlineLevel="1" x14ac:dyDescent="0.15">
      <c r="B1274" s="101">
        <v>43629</v>
      </c>
      <c r="C1274" s="125">
        <v>16593.97</v>
      </c>
      <c r="E1274" s="141"/>
      <c r="F1274" s="141"/>
    </row>
    <row r="1275" spans="2:6" hidden="1" outlineLevel="1" x14ac:dyDescent="0.15">
      <c r="B1275" s="101">
        <v>43628</v>
      </c>
      <c r="C1275" s="125">
        <v>16568.09</v>
      </c>
      <c r="E1275" s="141"/>
      <c r="F1275" s="141"/>
    </row>
    <row r="1276" spans="2:6" hidden="1" outlineLevel="1" x14ac:dyDescent="0.15">
      <c r="B1276" s="101">
        <v>43627</v>
      </c>
      <c r="C1276" s="125">
        <v>16650.75</v>
      </c>
      <c r="E1276" s="141"/>
      <c r="F1276" s="141"/>
    </row>
    <row r="1277" spans="2:6" hidden="1" outlineLevel="1" x14ac:dyDescent="0.15">
      <c r="B1277" s="101">
        <v>43626</v>
      </c>
      <c r="C1277" s="125">
        <v>16590.990000000002</v>
      </c>
      <c r="E1277" s="141"/>
      <c r="F1277" s="141"/>
    </row>
    <row r="1278" spans="2:6" hidden="1" outlineLevel="1" x14ac:dyDescent="0.15">
      <c r="B1278" s="101">
        <v>43623</v>
      </c>
      <c r="C1278" s="125">
        <v>16518.62</v>
      </c>
      <c r="E1278" s="141"/>
      <c r="F1278" s="141"/>
    </row>
    <row r="1279" spans="2:6" hidden="1" outlineLevel="1" x14ac:dyDescent="0.15">
      <c r="B1279" s="101">
        <v>43622</v>
      </c>
      <c r="C1279" s="125">
        <v>16481.14</v>
      </c>
      <c r="E1279" s="141"/>
      <c r="F1279" s="141"/>
    </row>
    <row r="1280" spans="2:6" hidden="1" outlineLevel="1" x14ac:dyDescent="0.15">
      <c r="B1280" s="101">
        <v>43620</v>
      </c>
      <c r="C1280" s="125">
        <v>16728.740000000002</v>
      </c>
      <c r="E1280" s="141"/>
      <c r="F1280" s="141"/>
    </row>
    <row r="1281" spans="2:6" hidden="1" outlineLevel="1" x14ac:dyDescent="0.15">
      <c r="B1281" s="101">
        <v>43619</v>
      </c>
      <c r="C1281" s="125">
        <v>16815.25</v>
      </c>
      <c r="E1281" s="141"/>
      <c r="F1281" s="141"/>
    </row>
    <row r="1282" spans="2:6" hidden="1" outlineLevel="1" x14ac:dyDescent="0.15">
      <c r="B1282" s="101">
        <v>43616</v>
      </c>
      <c r="C1282" s="125">
        <v>16583.46</v>
      </c>
      <c r="E1282" s="141"/>
      <c r="F1282" s="141"/>
    </row>
    <row r="1283" spans="2:6" hidden="1" outlineLevel="1" x14ac:dyDescent="0.15">
      <c r="B1283" s="101">
        <v>43615</v>
      </c>
      <c r="C1283" s="125">
        <v>16615.59</v>
      </c>
      <c r="E1283" s="141"/>
      <c r="F1283" s="141"/>
    </row>
    <row r="1284" spans="2:6" hidden="1" outlineLevel="1" x14ac:dyDescent="0.15">
      <c r="B1284" s="101">
        <v>43614</v>
      </c>
      <c r="C1284" s="125">
        <v>16497.62</v>
      </c>
      <c r="E1284" s="141"/>
      <c r="F1284" s="141"/>
    </row>
    <row r="1285" spans="2:6" hidden="1" outlineLevel="1" x14ac:dyDescent="0.15">
      <c r="B1285" s="101">
        <v>43613</v>
      </c>
      <c r="C1285" s="125">
        <v>16591.7</v>
      </c>
      <c r="E1285" s="141"/>
      <c r="F1285" s="141"/>
    </row>
    <row r="1286" spans="2:6" hidden="1" outlineLevel="1" x14ac:dyDescent="0.15">
      <c r="B1286" s="101">
        <v>43612</v>
      </c>
      <c r="C1286" s="125">
        <v>16585.13</v>
      </c>
      <c r="E1286" s="141"/>
      <c r="F1286" s="141"/>
    </row>
    <row r="1287" spans="2:6" hidden="1" outlineLevel="1" x14ac:dyDescent="0.15">
      <c r="B1287" s="101">
        <v>43609</v>
      </c>
      <c r="C1287" s="125">
        <v>16472.95</v>
      </c>
      <c r="E1287" s="141"/>
      <c r="F1287" s="141"/>
    </row>
    <row r="1288" spans="2:6" hidden="1" outlineLevel="1" x14ac:dyDescent="0.15">
      <c r="B1288" s="101">
        <v>43608</v>
      </c>
      <c r="C1288" s="125">
        <v>16212.78</v>
      </c>
      <c r="E1288" s="141"/>
      <c r="F1288" s="141"/>
    </row>
    <row r="1289" spans="2:6" hidden="1" outlineLevel="1" x14ac:dyDescent="0.15">
      <c r="B1289" s="101">
        <v>43607</v>
      </c>
      <c r="C1289" s="125">
        <v>16325.28</v>
      </c>
      <c r="E1289" s="141"/>
      <c r="F1289" s="141"/>
    </row>
    <row r="1290" spans="2:6" hidden="1" outlineLevel="1" x14ac:dyDescent="0.15">
      <c r="B1290" s="101">
        <v>43606</v>
      </c>
      <c r="C1290" s="125">
        <v>16268.26</v>
      </c>
      <c r="E1290" s="141"/>
      <c r="F1290" s="141"/>
    </row>
    <row r="1291" spans="2:6" hidden="1" outlineLevel="1" x14ac:dyDescent="0.15">
      <c r="B1291" s="101">
        <v>43605</v>
      </c>
      <c r="C1291" s="125">
        <v>16433.77</v>
      </c>
      <c r="E1291" s="141"/>
      <c r="F1291" s="141"/>
    </row>
    <row r="1292" spans="2:6" hidden="1" outlineLevel="1" x14ac:dyDescent="0.15">
      <c r="B1292" s="101">
        <v>43602</v>
      </c>
      <c r="C1292" s="125">
        <v>15848.71</v>
      </c>
      <c r="E1292" s="141"/>
      <c r="F1292" s="141"/>
    </row>
    <row r="1293" spans="2:6" hidden="1" outlineLevel="1" x14ac:dyDescent="0.15">
      <c r="B1293" s="101">
        <v>43601</v>
      </c>
      <c r="C1293" s="125">
        <v>15640.22</v>
      </c>
      <c r="E1293" s="141"/>
      <c r="F1293" s="141"/>
    </row>
    <row r="1294" spans="2:6" hidden="1" outlineLevel="1" x14ac:dyDescent="0.15">
      <c r="B1294" s="101">
        <v>43600</v>
      </c>
      <c r="C1294" s="125">
        <v>15500.82</v>
      </c>
      <c r="E1294" s="141"/>
      <c r="F1294" s="141"/>
    </row>
    <row r="1295" spans="2:6" hidden="1" outlineLevel="1" x14ac:dyDescent="0.15">
      <c r="B1295" s="101">
        <v>43599</v>
      </c>
      <c r="C1295" s="125">
        <v>15591.19</v>
      </c>
      <c r="E1295" s="141"/>
      <c r="F1295" s="141"/>
    </row>
    <row r="1296" spans="2:6" hidden="1" outlineLevel="1" x14ac:dyDescent="0.15">
      <c r="B1296" s="101">
        <v>43598</v>
      </c>
      <c r="C1296" s="125">
        <v>15488.6</v>
      </c>
      <c r="E1296" s="141"/>
      <c r="F1296" s="141"/>
    </row>
    <row r="1297" spans="2:6" hidden="1" outlineLevel="1" x14ac:dyDescent="0.15">
      <c r="B1297" s="101">
        <v>43595</v>
      </c>
      <c r="C1297" s="125">
        <v>15670.18</v>
      </c>
      <c r="E1297" s="141"/>
      <c r="F1297" s="141"/>
    </row>
    <row r="1298" spans="2:6" hidden="1" outlineLevel="1" x14ac:dyDescent="0.15">
      <c r="B1298" s="101">
        <v>43594</v>
      </c>
      <c r="C1298" s="125">
        <v>15701.95</v>
      </c>
      <c r="E1298" s="141"/>
      <c r="F1298" s="141"/>
    </row>
    <row r="1299" spans="2:6" hidden="1" outlineLevel="1" x14ac:dyDescent="0.15">
      <c r="B1299" s="101">
        <v>43593</v>
      </c>
      <c r="C1299" s="125">
        <v>15782.09</v>
      </c>
      <c r="E1299" s="141"/>
      <c r="F1299" s="141"/>
    </row>
    <row r="1300" spans="2:6" hidden="1" outlineLevel="1" x14ac:dyDescent="0.15">
      <c r="B1300" s="101">
        <v>43592</v>
      </c>
      <c r="C1300" s="125">
        <v>15974.41</v>
      </c>
      <c r="E1300" s="141"/>
      <c r="F1300" s="141"/>
    </row>
    <row r="1301" spans="2:6" hidden="1" outlineLevel="1" x14ac:dyDescent="0.15">
      <c r="B1301" s="101">
        <v>43591</v>
      </c>
      <c r="C1301" s="125">
        <v>16110.44</v>
      </c>
      <c r="E1301" s="141"/>
      <c r="F1301" s="141"/>
    </row>
    <row r="1302" spans="2:6" hidden="1" outlineLevel="1" x14ac:dyDescent="0.15">
      <c r="B1302" s="101">
        <v>43588</v>
      </c>
      <c r="C1302" s="125">
        <v>16268.79</v>
      </c>
      <c r="E1302" s="141"/>
      <c r="F1302" s="141"/>
    </row>
    <row r="1303" spans="2:6" hidden="1" outlineLevel="1" x14ac:dyDescent="0.15">
      <c r="B1303" s="101">
        <v>43587</v>
      </c>
      <c r="C1303" s="125">
        <v>16286.18</v>
      </c>
      <c r="E1303" s="141"/>
      <c r="F1303" s="141"/>
    </row>
    <row r="1304" spans="2:6" hidden="1" outlineLevel="1" x14ac:dyDescent="0.15">
      <c r="B1304" s="101">
        <v>43585</v>
      </c>
      <c r="C1304" s="125">
        <v>16318.66</v>
      </c>
      <c r="E1304" s="141"/>
      <c r="F1304" s="141"/>
    </row>
    <row r="1305" spans="2:6" hidden="1" outlineLevel="1" x14ac:dyDescent="0.15">
      <c r="B1305" s="101">
        <v>43581</v>
      </c>
      <c r="C1305" s="125">
        <v>16327.7</v>
      </c>
      <c r="E1305" s="141"/>
      <c r="F1305" s="141"/>
    </row>
    <row r="1306" spans="2:6" hidden="1" outlineLevel="1" x14ac:dyDescent="0.15">
      <c r="B1306" s="101">
        <v>43580</v>
      </c>
      <c r="C1306" s="125">
        <v>16170.98</v>
      </c>
      <c r="E1306" s="141"/>
      <c r="F1306" s="141"/>
    </row>
    <row r="1307" spans="2:6" hidden="1" outlineLevel="1" x14ac:dyDescent="0.15">
      <c r="B1307" s="101">
        <v>43579</v>
      </c>
      <c r="C1307" s="125">
        <v>16288.16</v>
      </c>
      <c r="E1307" s="141"/>
      <c r="F1307" s="141"/>
    </row>
    <row r="1308" spans="2:6" hidden="1" outlineLevel="1" x14ac:dyDescent="0.15">
      <c r="B1308" s="101">
        <v>43578</v>
      </c>
      <c r="C1308" s="125">
        <v>16079.51</v>
      </c>
      <c r="E1308" s="141"/>
      <c r="F1308" s="141"/>
    </row>
    <row r="1309" spans="2:6" hidden="1" outlineLevel="1" x14ac:dyDescent="0.15">
      <c r="B1309" s="101">
        <v>43577</v>
      </c>
      <c r="C1309" s="125">
        <v>16105.19</v>
      </c>
      <c r="E1309" s="141"/>
      <c r="F1309" s="141"/>
    </row>
    <row r="1310" spans="2:6" hidden="1" outlineLevel="1" x14ac:dyDescent="0.15">
      <c r="B1310" s="101">
        <v>43573</v>
      </c>
      <c r="C1310" s="125">
        <v>16325.13</v>
      </c>
      <c r="E1310" s="141"/>
      <c r="F1310" s="141"/>
    </row>
    <row r="1311" spans="2:6" hidden="1" outlineLevel="1" x14ac:dyDescent="0.15">
      <c r="B1311" s="101">
        <v>43571</v>
      </c>
      <c r="C1311" s="125">
        <v>16372.86</v>
      </c>
      <c r="E1311" s="141"/>
      <c r="F1311" s="141"/>
    </row>
    <row r="1312" spans="2:6" hidden="1" outlineLevel="1" x14ac:dyDescent="0.15">
      <c r="B1312" s="101">
        <v>43570</v>
      </c>
      <c r="C1312" s="125">
        <v>16238.41</v>
      </c>
      <c r="E1312" s="141"/>
      <c r="F1312" s="141"/>
    </row>
    <row r="1313" spans="2:6" hidden="1" outlineLevel="1" x14ac:dyDescent="0.15">
      <c r="B1313" s="101">
        <v>43567</v>
      </c>
      <c r="C1313" s="125">
        <v>16173.27</v>
      </c>
      <c r="E1313" s="141"/>
      <c r="F1313" s="141"/>
    </row>
    <row r="1314" spans="2:6" hidden="1" outlineLevel="1" x14ac:dyDescent="0.15">
      <c r="B1314" s="101">
        <v>43566</v>
      </c>
      <c r="C1314" s="125">
        <v>16108.32</v>
      </c>
      <c r="E1314" s="141"/>
      <c r="F1314" s="141"/>
    </row>
    <row r="1315" spans="2:6" hidden="1" outlineLevel="1" x14ac:dyDescent="0.15">
      <c r="B1315" s="101">
        <v>43565</v>
      </c>
      <c r="C1315" s="125">
        <v>16091.08</v>
      </c>
      <c r="E1315" s="141"/>
      <c r="F1315" s="141"/>
    </row>
    <row r="1316" spans="2:6" hidden="1" outlineLevel="1" x14ac:dyDescent="0.15">
      <c r="B1316" s="101">
        <v>43564</v>
      </c>
      <c r="C1316" s="125">
        <v>16212.81</v>
      </c>
      <c r="E1316" s="141"/>
      <c r="F1316" s="141"/>
    </row>
    <row r="1317" spans="2:6" hidden="1" outlineLevel="1" x14ac:dyDescent="0.15">
      <c r="B1317" s="101">
        <v>43563</v>
      </c>
      <c r="C1317" s="125">
        <v>16119.14</v>
      </c>
      <c r="E1317" s="141"/>
      <c r="F1317" s="141"/>
    </row>
    <row r="1318" spans="2:6" hidden="1" outlineLevel="1" x14ac:dyDescent="0.15">
      <c r="B1318" s="101">
        <v>43560</v>
      </c>
      <c r="C1318" s="125">
        <v>16204.48</v>
      </c>
      <c r="E1318" s="141"/>
      <c r="F1318" s="141"/>
    </row>
    <row r="1319" spans="2:6" hidden="1" outlineLevel="1" x14ac:dyDescent="0.15">
      <c r="B1319" s="101">
        <v>43559</v>
      </c>
      <c r="C1319" s="125">
        <v>16110.09</v>
      </c>
      <c r="E1319" s="141"/>
      <c r="F1319" s="141"/>
    </row>
    <row r="1320" spans="2:6" hidden="1" outlineLevel="1" x14ac:dyDescent="0.15">
      <c r="B1320" s="101">
        <v>43558</v>
      </c>
      <c r="C1320" s="125">
        <v>16173.92</v>
      </c>
      <c r="E1320" s="141"/>
      <c r="F1320" s="141"/>
    </row>
    <row r="1321" spans="2:6" hidden="1" outlineLevel="1" x14ac:dyDescent="0.15">
      <c r="B1321" s="101">
        <v>43557</v>
      </c>
      <c r="C1321" s="125">
        <v>16270.13</v>
      </c>
      <c r="E1321" s="141"/>
      <c r="F1321" s="141"/>
    </row>
    <row r="1322" spans="2:6" hidden="1" outlineLevel="1" x14ac:dyDescent="0.15">
      <c r="B1322" s="101">
        <v>43556</v>
      </c>
      <c r="C1322" s="125">
        <v>16208.94</v>
      </c>
      <c r="E1322" s="141"/>
      <c r="F1322" s="141"/>
    </row>
    <row r="1323" spans="2:6" hidden="1" outlineLevel="1" x14ac:dyDescent="0.15">
      <c r="B1323" s="101">
        <v>43553</v>
      </c>
      <c r="C1323" s="125">
        <v>16146.11</v>
      </c>
      <c r="E1323" s="141"/>
      <c r="F1323" s="141"/>
    </row>
    <row r="1324" spans="2:6" hidden="1" outlineLevel="1" x14ac:dyDescent="0.15">
      <c r="B1324" s="101">
        <v>43552</v>
      </c>
      <c r="C1324" s="125">
        <v>16071.26</v>
      </c>
      <c r="E1324" s="141"/>
      <c r="F1324" s="141"/>
    </row>
    <row r="1325" spans="2:6" hidden="1" outlineLevel="1" x14ac:dyDescent="0.15">
      <c r="B1325" s="101">
        <v>43551</v>
      </c>
      <c r="C1325" s="125">
        <v>15897.65</v>
      </c>
      <c r="E1325" s="141"/>
      <c r="F1325" s="141"/>
    </row>
    <row r="1326" spans="2:6" hidden="1" outlineLevel="1" x14ac:dyDescent="0.15">
      <c r="B1326" s="101">
        <v>43550</v>
      </c>
      <c r="C1326" s="125">
        <v>15949.46</v>
      </c>
      <c r="E1326" s="141"/>
      <c r="F1326" s="141"/>
    </row>
    <row r="1327" spans="2:6" hidden="1" outlineLevel="1" x14ac:dyDescent="0.15">
      <c r="B1327" s="101">
        <v>43549</v>
      </c>
      <c r="C1327" s="125">
        <v>15770.26</v>
      </c>
      <c r="E1327" s="141"/>
      <c r="F1327" s="141"/>
    </row>
    <row r="1328" spans="2:6" hidden="1" outlineLevel="1" x14ac:dyDescent="0.15">
      <c r="B1328" s="101">
        <v>43546</v>
      </c>
      <c r="C1328" s="125">
        <v>15912.88</v>
      </c>
      <c r="E1328" s="141"/>
      <c r="F1328" s="141"/>
    </row>
    <row r="1329" spans="2:6" hidden="1" outlineLevel="1" x14ac:dyDescent="0.15">
      <c r="B1329" s="101">
        <v>43544</v>
      </c>
      <c r="C1329" s="125">
        <v>15998.51</v>
      </c>
      <c r="E1329" s="141"/>
      <c r="F1329" s="141"/>
    </row>
    <row r="1330" spans="2:6" hidden="1" outlineLevel="1" x14ac:dyDescent="0.15">
      <c r="B1330" s="101">
        <v>43543</v>
      </c>
      <c r="C1330" s="125">
        <v>16014.33</v>
      </c>
      <c r="E1330" s="141"/>
      <c r="F1330" s="141"/>
    </row>
    <row r="1331" spans="2:6" hidden="1" outlineLevel="1" x14ac:dyDescent="0.15">
      <c r="B1331" s="101">
        <v>43542</v>
      </c>
      <c r="C1331" s="125">
        <v>15916.8</v>
      </c>
      <c r="E1331" s="141"/>
      <c r="F1331" s="141"/>
    </row>
    <row r="1332" spans="2:6" hidden="1" outlineLevel="1" x14ac:dyDescent="0.15">
      <c r="B1332" s="101">
        <v>43539</v>
      </c>
      <c r="C1332" s="125">
        <v>15867.74</v>
      </c>
      <c r="E1332" s="141"/>
      <c r="F1332" s="141"/>
    </row>
    <row r="1333" spans="2:6" hidden="1" outlineLevel="1" x14ac:dyDescent="0.15">
      <c r="B1333" s="101">
        <v>43538</v>
      </c>
      <c r="C1333" s="125">
        <v>15749.67</v>
      </c>
      <c r="E1333" s="141"/>
      <c r="F1333" s="141"/>
    </row>
    <row r="1334" spans="2:6" hidden="1" outlineLevel="1" x14ac:dyDescent="0.15">
      <c r="B1334" s="101">
        <v>43537</v>
      </c>
      <c r="C1334" s="125">
        <v>15742.86</v>
      </c>
      <c r="E1334" s="141"/>
      <c r="F1334" s="141"/>
    </row>
    <row r="1335" spans="2:6" hidden="1" outlineLevel="1" x14ac:dyDescent="0.15">
      <c r="B1335" s="101">
        <v>43536</v>
      </c>
      <c r="C1335" s="125">
        <v>15685.41</v>
      </c>
      <c r="E1335" s="141"/>
      <c r="F1335" s="141"/>
    </row>
    <row r="1336" spans="2:6" hidden="1" outlineLevel="1" x14ac:dyDescent="0.15">
      <c r="B1336" s="101">
        <v>43535</v>
      </c>
      <c r="C1336" s="125">
        <v>15500.61</v>
      </c>
      <c r="E1336" s="141"/>
      <c r="F1336" s="141"/>
    </row>
    <row r="1337" spans="2:6" hidden="1" outlineLevel="1" x14ac:dyDescent="0.15">
      <c r="B1337" s="101">
        <v>43532</v>
      </c>
      <c r="C1337" s="125">
        <v>15316.51</v>
      </c>
      <c r="E1337" s="141"/>
      <c r="F1337" s="141"/>
    </row>
    <row r="1338" spans="2:6" hidden="1" outlineLevel="1" x14ac:dyDescent="0.15">
      <c r="B1338" s="101">
        <v>43531</v>
      </c>
      <c r="C1338" s="125">
        <v>15348.14</v>
      </c>
      <c r="E1338" s="141"/>
      <c r="F1338" s="141"/>
    </row>
    <row r="1339" spans="2:6" hidden="1" outlineLevel="1" x14ac:dyDescent="0.15">
      <c r="B1339" s="101">
        <v>43530</v>
      </c>
      <c r="C1339" s="125">
        <v>15340.93</v>
      </c>
      <c r="E1339" s="141"/>
      <c r="F1339" s="141"/>
    </row>
    <row r="1340" spans="2:6" hidden="1" outlineLevel="1" x14ac:dyDescent="0.15">
      <c r="B1340" s="101">
        <v>43529</v>
      </c>
      <c r="C1340" s="125">
        <v>15249.97</v>
      </c>
      <c r="E1340" s="141"/>
      <c r="F1340" s="141"/>
    </row>
    <row r="1341" spans="2:6" hidden="1" outlineLevel="1" x14ac:dyDescent="0.15">
      <c r="B1341" s="101">
        <v>43525</v>
      </c>
      <c r="C1341" s="125">
        <v>15077.91</v>
      </c>
      <c r="E1341" s="141"/>
      <c r="F1341" s="141"/>
    </row>
    <row r="1342" spans="2:6" hidden="1" outlineLevel="1" x14ac:dyDescent="0.15">
      <c r="B1342" s="101">
        <v>43524</v>
      </c>
      <c r="C1342" s="125">
        <v>14979.39</v>
      </c>
      <c r="E1342" s="141"/>
      <c r="F1342" s="141"/>
    </row>
    <row r="1343" spans="2:6" hidden="1" outlineLevel="1" x14ac:dyDescent="0.15">
      <c r="B1343" s="101">
        <v>43523</v>
      </c>
      <c r="C1343" s="125">
        <v>14993.45</v>
      </c>
      <c r="E1343" s="141"/>
      <c r="F1343" s="141"/>
    </row>
    <row r="1344" spans="2:6" hidden="1" outlineLevel="1" x14ac:dyDescent="0.15">
      <c r="B1344" s="101">
        <v>43522</v>
      </c>
      <c r="C1344" s="125">
        <v>15033.15</v>
      </c>
      <c r="E1344" s="141"/>
      <c r="F1344" s="141"/>
    </row>
    <row r="1345" spans="2:6" hidden="1" outlineLevel="1" x14ac:dyDescent="0.15">
      <c r="B1345" s="101">
        <v>43521</v>
      </c>
      <c r="C1345" s="125">
        <v>15095.33</v>
      </c>
      <c r="E1345" s="141"/>
      <c r="F1345" s="141"/>
    </row>
    <row r="1346" spans="2:6" hidden="1" outlineLevel="1" x14ac:dyDescent="0.15">
      <c r="B1346" s="101">
        <v>43518</v>
      </c>
      <c r="C1346" s="125">
        <v>14972.58</v>
      </c>
      <c r="E1346" s="141"/>
      <c r="F1346" s="141"/>
    </row>
    <row r="1347" spans="2:6" hidden="1" outlineLevel="1" x14ac:dyDescent="0.15">
      <c r="B1347" s="101">
        <v>43517</v>
      </c>
      <c r="C1347" s="125">
        <v>14970.12</v>
      </c>
      <c r="E1347" s="141"/>
      <c r="F1347" s="141"/>
    </row>
    <row r="1348" spans="2:6" hidden="1" outlineLevel="1" x14ac:dyDescent="0.15">
      <c r="B1348" s="101">
        <v>43516</v>
      </c>
      <c r="C1348" s="125">
        <v>14891.6</v>
      </c>
      <c r="E1348" s="141"/>
      <c r="F1348" s="141"/>
    </row>
    <row r="1349" spans="2:6" hidden="1" outlineLevel="1" x14ac:dyDescent="0.15">
      <c r="B1349" s="101">
        <v>43515</v>
      </c>
      <c r="C1349" s="125">
        <v>14709.75</v>
      </c>
      <c r="E1349" s="141"/>
      <c r="F1349" s="141"/>
    </row>
    <row r="1350" spans="2:6" hidden="1" outlineLevel="1" x14ac:dyDescent="0.15">
      <c r="B1350" s="101">
        <v>43514</v>
      </c>
      <c r="C1350" s="125">
        <v>14760.48</v>
      </c>
      <c r="E1350" s="141"/>
      <c r="F1350" s="141"/>
    </row>
    <row r="1351" spans="2:6" hidden="1" outlineLevel="1" x14ac:dyDescent="0.15">
      <c r="B1351" s="101">
        <v>43511</v>
      </c>
      <c r="C1351" s="125">
        <v>14876.27</v>
      </c>
      <c r="E1351" s="141"/>
      <c r="F1351" s="141"/>
    </row>
    <row r="1352" spans="2:6" hidden="1" outlineLevel="1" x14ac:dyDescent="0.15">
      <c r="B1352" s="101">
        <v>43510</v>
      </c>
      <c r="C1352" s="125">
        <v>14906.26</v>
      </c>
      <c r="E1352" s="141"/>
      <c r="F1352" s="141"/>
    </row>
    <row r="1353" spans="2:6" hidden="1" outlineLevel="1" x14ac:dyDescent="0.15">
      <c r="B1353" s="101">
        <v>43509</v>
      </c>
      <c r="C1353" s="125">
        <v>14970.62</v>
      </c>
      <c r="E1353" s="141"/>
      <c r="F1353" s="141"/>
    </row>
    <row r="1354" spans="2:6" hidden="1" outlineLevel="1" x14ac:dyDescent="0.15">
      <c r="B1354" s="101">
        <v>43508</v>
      </c>
      <c r="C1354" s="125">
        <v>15023.02</v>
      </c>
      <c r="E1354" s="141"/>
      <c r="F1354" s="141"/>
    </row>
    <row r="1355" spans="2:6" hidden="1" outlineLevel="1" x14ac:dyDescent="0.15">
      <c r="B1355" s="101">
        <v>43507</v>
      </c>
      <c r="C1355" s="125">
        <v>15100.61</v>
      </c>
      <c r="E1355" s="141"/>
      <c r="F1355" s="141"/>
    </row>
    <row r="1356" spans="2:6" hidden="1" outlineLevel="1" x14ac:dyDescent="0.15">
      <c r="B1356" s="101">
        <v>43504</v>
      </c>
      <c r="C1356" s="125">
        <v>15173.02</v>
      </c>
      <c r="E1356" s="141"/>
      <c r="F1356" s="141"/>
    </row>
    <row r="1357" spans="2:6" hidden="1" outlineLevel="1" x14ac:dyDescent="0.15">
      <c r="B1357" s="101">
        <v>43503</v>
      </c>
      <c r="C1357" s="125">
        <v>15347.41</v>
      </c>
      <c r="E1357" s="141"/>
      <c r="F1357" s="141"/>
    </row>
    <row r="1358" spans="2:6" hidden="1" outlineLevel="1" x14ac:dyDescent="0.15">
      <c r="B1358" s="101">
        <v>43502</v>
      </c>
      <c r="C1358" s="125">
        <v>15337.8</v>
      </c>
      <c r="E1358" s="141"/>
      <c r="F1358" s="141"/>
    </row>
    <row r="1359" spans="2:6" hidden="1" outlineLevel="1" x14ac:dyDescent="0.15">
      <c r="B1359" s="101">
        <v>43501</v>
      </c>
      <c r="C1359" s="125">
        <v>15155.99</v>
      </c>
      <c r="E1359" s="141"/>
      <c r="F1359" s="141"/>
    </row>
    <row r="1360" spans="2:6" hidden="1" outlineLevel="1" x14ac:dyDescent="0.15">
      <c r="B1360" s="101">
        <v>43500</v>
      </c>
      <c r="C1360" s="125">
        <v>15125.02</v>
      </c>
      <c r="E1360" s="141"/>
      <c r="F1360" s="141"/>
    </row>
    <row r="1361" spans="2:6" hidden="1" outlineLevel="1" x14ac:dyDescent="0.15">
      <c r="B1361" s="101">
        <v>43497</v>
      </c>
      <c r="C1361" s="125">
        <v>15099.21</v>
      </c>
      <c r="E1361" s="141"/>
      <c r="F1361" s="141"/>
    </row>
    <row r="1362" spans="2:6" hidden="1" outlineLevel="1" x14ac:dyDescent="0.15">
      <c r="B1362" s="101">
        <v>43496</v>
      </c>
      <c r="C1362" s="125">
        <v>15012.34</v>
      </c>
      <c r="E1362" s="141"/>
      <c r="F1362" s="141"/>
    </row>
    <row r="1363" spans="2:6" hidden="1" outlineLevel="1" x14ac:dyDescent="0.15">
      <c r="B1363" s="101">
        <v>43495</v>
      </c>
      <c r="C1363" s="125">
        <v>14764.02</v>
      </c>
      <c r="E1363" s="141"/>
      <c r="F1363" s="141"/>
    </row>
    <row r="1364" spans="2:6" hidden="1" outlineLevel="1" x14ac:dyDescent="0.15">
      <c r="B1364" s="101">
        <v>43494</v>
      </c>
      <c r="C1364" s="125">
        <v>14764.59</v>
      </c>
      <c r="E1364" s="141"/>
      <c r="F1364" s="141"/>
    </row>
    <row r="1365" spans="2:6" hidden="1" outlineLevel="1" x14ac:dyDescent="0.15">
      <c r="B1365" s="101">
        <v>43493</v>
      </c>
      <c r="C1365" s="125">
        <v>14777.11</v>
      </c>
      <c r="E1365" s="141"/>
      <c r="F1365" s="141"/>
    </row>
    <row r="1366" spans="2:6" hidden="1" outlineLevel="1" x14ac:dyDescent="0.15">
      <c r="B1366" s="101">
        <v>43490</v>
      </c>
      <c r="C1366" s="125">
        <v>14942.09</v>
      </c>
      <c r="E1366" s="141"/>
      <c r="F1366" s="141"/>
    </row>
    <row r="1367" spans="2:6" hidden="1" outlineLevel="1" x14ac:dyDescent="0.15">
      <c r="B1367" s="101">
        <v>43489</v>
      </c>
      <c r="C1367" s="125">
        <v>15038.07</v>
      </c>
      <c r="E1367" s="141"/>
      <c r="F1367" s="141"/>
    </row>
    <row r="1368" spans="2:6" hidden="1" outlineLevel="1" x14ac:dyDescent="0.15">
      <c r="B1368" s="101">
        <v>43488</v>
      </c>
      <c r="C1368" s="125">
        <v>15007.4</v>
      </c>
      <c r="E1368" s="141"/>
      <c r="F1368" s="141"/>
    </row>
    <row r="1369" spans="2:6" hidden="1" outlineLevel="1" x14ac:dyDescent="0.15">
      <c r="B1369" s="101">
        <v>43487</v>
      </c>
      <c r="C1369" s="125">
        <v>15133.83</v>
      </c>
      <c r="E1369" s="141"/>
      <c r="F1369" s="141"/>
    </row>
    <row r="1370" spans="2:6" hidden="1" outlineLevel="1" x14ac:dyDescent="0.15">
      <c r="B1370" s="101">
        <v>43486</v>
      </c>
      <c r="C1370" s="125">
        <v>15188</v>
      </c>
      <c r="E1370" s="141"/>
      <c r="F1370" s="141"/>
    </row>
    <row r="1371" spans="2:6" hidden="1" outlineLevel="1" x14ac:dyDescent="0.15">
      <c r="B1371" s="101">
        <v>43483</v>
      </c>
      <c r="C1371" s="125">
        <v>15111.95</v>
      </c>
      <c r="E1371" s="141"/>
      <c r="F1371" s="141"/>
    </row>
    <row r="1372" spans="2:6" hidden="1" outlineLevel="1" x14ac:dyDescent="0.15">
      <c r="B1372" s="101">
        <v>43482</v>
      </c>
      <c r="C1372" s="125">
        <v>15109.54</v>
      </c>
      <c r="E1372" s="141"/>
      <c r="F1372" s="141"/>
    </row>
    <row r="1373" spans="2:6" hidden="1" outlineLevel="1" x14ac:dyDescent="0.15">
      <c r="B1373" s="101">
        <v>43481</v>
      </c>
      <c r="C1373" s="125">
        <v>15087.41</v>
      </c>
      <c r="E1373" s="141"/>
      <c r="F1373" s="141"/>
    </row>
    <row r="1374" spans="2:6" hidden="1" outlineLevel="1" x14ac:dyDescent="0.15">
      <c r="B1374" s="101">
        <v>43480</v>
      </c>
      <c r="C1374" s="125">
        <v>15082.59</v>
      </c>
      <c r="E1374" s="141"/>
      <c r="F1374" s="141"/>
    </row>
    <row r="1375" spans="2:6" hidden="1" outlineLevel="1" x14ac:dyDescent="0.15">
      <c r="B1375" s="101">
        <v>43479</v>
      </c>
      <c r="C1375" s="125">
        <v>14875.92</v>
      </c>
      <c r="E1375" s="141"/>
      <c r="F1375" s="141"/>
    </row>
    <row r="1376" spans="2:6" hidden="1" outlineLevel="1" x14ac:dyDescent="0.15">
      <c r="B1376" s="101">
        <v>43476</v>
      </c>
      <c r="C1376" s="125">
        <v>14955.33</v>
      </c>
      <c r="E1376" s="141"/>
      <c r="F1376" s="141"/>
    </row>
    <row r="1377" spans="2:6" hidden="1" outlineLevel="1" x14ac:dyDescent="0.15">
      <c r="B1377" s="101">
        <v>43475</v>
      </c>
      <c r="C1377" s="125">
        <v>14992.23</v>
      </c>
      <c r="E1377" s="141"/>
      <c r="F1377" s="141"/>
    </row>
    <row r="1378" spans="2:6" hidden="1" outlineLevel="1" x14ac:dyDescent="0.15">
      <c r="B1378" s="101">
        <v>43474</v>
      </c>
      <c r="C1378" s="125">
        <v>15038.74</v>
      </c>
      <c r="E1378" s="141"/>
      <c r="F1378" s="141"/>
    </row>
    <row r="1379" spans="2:6" hidden="1" outlineLevel="1" x14ac:dyDescent="0.15">
      <c r="B1379" s="101">
        <v>43473</v>
      </c>
      <c r="C1379" s="125">
        <v>14965.34</v>
      </c>
      <c r="E1379" s="141"/>
      <c r="F1379" s="141"/>
    </row>
    <row r="1380" spans="2:6" hidden="1" outlineLevel="1" x14ac:dyDescent="0.15">
      <c r="B1380" s="101">
        <v>43472</v>
      </c>
      <c r="C1380" s="125">
        <v>14923.27</v>
      </c>
      <c r="E1380" s="141"/>
      <c r="F1380" s="141"/>
    </row>
    <row r="1381" spans="2:6" hidden="1" outlineLevel="1" x14ac:dyDescent="0.15">
      <c r="B1381" s="101">
        <v>43469</v>
      </c>
      <c r="C1381" s="125">
        <v>14861.69</v>
      </c>
      <c r="E1381" s="141"/>
      <c r="F1381" s="141"/>
    </row>
    <row r="1382" spans="2:6" hidden="1" outlineLevel="1" x14ac:dyDescent="0.15">
      <c r="B1382" s="101">
        <v>43468</v>
      </c>
      <c r="C1382" s="125">
        <v>14785.38</v>
      </c>
      <c r="E1382" s="141"/>
      <c r="F1382" s="141"/>
    </row>
    <row r="1383" spans="2:6" hidden="1" outlineLevel="1" x14ac:dyDescent="0.15">
      <c r="B1383" s="101">
        <v>43467</v>
      </c>
      <c r="C1383" s="125">
        <v>14951.96</v>
      </c>
      <c r="E1383" s="141"/>
      <c r="F1383" s="141"/>
    </row>
    <row r="1384" spans="2:6" hidden="1" outlineLevel="1" x14ac:dyDescent="0.15">
      <c r="B1384" s="101">
        <v>43466</v>
      </c>
      <c r="C1384" s="125">
        <v>15114.9</v>
      </c>
      <c r="E1384" s="141"/>
      <c r="F1384" s="141"/>
    </row>
    <row r="1385" spans="2:6" hidden="1" outlineLevel="1" x14ac:dyDescent="0.15">
      <c r="B1385" s="101">
        <v>43465</v>
      </c>
      <c r="C1385" s="125">
        <v>15048.98</v>
      </c>
      <c r="E1385" s="141"/>
      <c r="F1385" s="141"/>
    </row>
    <row r="1386" spans="2:6" hidden="1" outlineLevel="1" x14ac:dyDescent="0.15">
      <c r="B1386" s="101">
        <v>43462</v>
      </c>
      <c r="C1386" s="125">
        <v>15045.34</v>
      </c>
      <c r="E1386" s="141"/>
      <c r="F1386" s="141"/>
    </row>
    <row r="1387" spans="2:6" hidden="1" outlineLevel="1" x14ac:dyDescent="0.15">
      <c r="B1387" s="101">
        <v>43461</v>
      </c>
      <c r="C1387" s="125">
        <v>14930.18</v>
      </c>
      <c r="E1387" s="141"/>
      <c r="F1387" s="141"/>
    </row>
    <row r="1388" spans="2:6" hidden="1" outlineLevel="1" x14ac:dyDescent="0.15">
      <c r="B1388" s="101">
        <v>43460</v>
      </c>
      <c r="C1388" s="125">
        <v>14860.97</v>
      </c>
      <c r="E1388" s="141"/>
      <c r="F1388" s="141"/>
    </row>
    <row r="1389" spans="2:6" hidden="1" outlineLevel="1" x14ac:dyDescent="0.15">
      <c r="B1389" s="101">
        <v>43458</v>
      </c>
      <c r="C1389" s="125">
        <v>14769.13</v>
      </c>
      <c r="E1389" s="141"/>
      <c r="F1389" s="141"/>
    </row>
    <row r="1390" spans="2:6" hidden="1" outlineLevel="1" x14ac:dyDescent="0.15">
      <c r="B1390" s="101">
        <v>43455</v>
      </c>
      <c r="C1390" s="125">
        <v>14894.42</v>
      </c>
      <c r="E1390" s="141"/>
      <c r="F1390" s="141"/>
    </row>
    <row r="1391" spans="2:6" hidden="1" outlineLevel="1" x14ac:dyDescent="0.15">
      <c r="B1391" s="101">
        <v>43454</v>
      </c>
      <c r="C1391" s="125">
        <v>15163.14</v>
      </c>
      <c r="E1391" s="141"/>
      <c r="F1391" s="141"/>
    </row>
    <row r="1392" spans="2:6" hidden="1" outlineLevel="1" x14ac:dyDescent="0.15">
      <c r="B1392" s="101">
        <v>43453</v>
      </c>
      <c r="C1392" s="125">
        <v>15184.78</v>
      </c>
      <c r="E1392" s="141"/>
      <c r="F1392" s="141"/>
    </row>
    <row r="1393" spans="2:6" hidden="1" outlineLevel="1" x14ac:dyDescent="0.15">
      <c r="B1393" s="101">
        <v>43452</v>
      </c>
      <c r="C1393" s="125">
        <v>15103.63</v>
      </c>
      <c r="E1393" s="141"/>
      <c r="F1393" s="141"/>
    </row>
    <row r="1394" spans="2:6" hidden="1" outlineLevel="1" x14ac:dyDescent="0.15">
      <c r="B1394" s="101">
        <v>43451</v>
      </c>
      <c r="C1394" s="125">
        <v>15075.46</v>
      </c>
      <c r="E1394" s="141"/>
      <c r="F1394" s="141"/>
    </row>
    <row r="1395" spans="2:6" hidden="1" outlineLevel="1" x14ac:dyDescent="0.15">
      <c r="B1395" s="101">
        <v>43448</v>
      </c>
      <c r="C1395" s="125">
        <v>14960.64</v>
      </c>
      <c r="E1395" s="141"/>
      <c r="F1395" s="141"/>
    </row>
    <row r="1396" spans="2:6" hidden="1" outlineLevel="1" x14ac:dyDescent="0.15">
      <c r="B1396" s="101">
        <v>43447</v>
      </c>
      <c r="C1396" s="125">
        <v>14941.4</v>
      </c>
      <c r="E1396" s="141"/>
      <c r="F1396" s="141"/>
    </row>
    <row r="1397" spans="2:6" hidden="1" outlineLevel="1" x14ac:dyDescent="0.15">
      <c r="B1397" s="101">
        <v>43446</v>
      </c>
      <c r="C1397" s="125">
        <v>14866.71</v>
      </c>
      <c r="E1397" s="141"/>
      <c r="F1397" s="141"/>
    </row>
    <row r="1398" spans="2:6" hidden="1" outlineLevel="1" x14ac:dyDescent="0.15">
      <c r="B1398" s="101">
        <v>43445</v>
      </c>
      <c r="C1398" s="125">
        <v>14605.79</v>
      </c>
      <c r="E1398" s="141"/>
      <c r="F1398" s="141"/>
    </row>
    <row r="1399" spans="2:6" hidden="1" outlineLevel="1" x14ac:dyDescent="0.15">
      <c r="B1399" s="101">
        <v>43444</v>
      </c>
      <c r="C1399" s="125">
        <v>14521.73</v>
      </c>
      <c r="E1399" s="141"/>
      <c r="F1399" s="141"/>
    </row>
    <row r="1400" spans="2:6" hidden="1" outlineLevel="1" x14ac:dyDescent="0.15">
      <c r="B1400" s="101">
        <v>43441</v>
      </c>
      <c r="C1400" s="125">
        <v>14805.93</v>
      </c>
      <c r="E1400" s="141"/>
      <c r="F1400" s="141"/>
    </row>
    <row r="1401" spans="2:6" hidden="1" outlineLevel="1" x14ac:dyDescent="0.15">
      <c r="B1401" s="101">
        <v>43440</v>
      </c>
      <c r="C1401" s="125">
        <v>14677.79</v>
      </c>
      <c r="E1401" s="141"/>
      <c r="F1401" s="141"/>
    </row>
    <row r="1402" spans="2:6" hidden="1" outlineLevel="1" x14ac:dyDescent="0.15">
      <c r="B1402" s="101">
        <v>43439</v>
      </c>
      <c r="C1402" s="125">
        <v>14929.43</v>
      </c>
      <c r="E1402" s="141"/>
      <c r="F1402" s="141"/>
    </row>
    <row r="1403" spans="2:6" hidden="1" outlineLevel="1" x14ac:dyDescent="0.15">
      <c r="B1403" s="101">
        <v>43438</v>
      </c>
      <c r="C1403" s="125">
        <v>15049.32</v>
      </c>
      <c r="E1403" s="141"/>
      <c r="F1403" s="141"/>
    </row>
    <row r="1404" spans="2:6" hidden="1" outlineLevel="1" x14ac:dyDescent="0.15">
      <c r="B1404" s="101">
        <v>43437</v>
      </c>
      <c r="C1404" s="125">
        <v>15069.07</v>
      </c>
      <c r="E1404" s="141"/>
      <c r="F1404" s="141"/>
    </row>
    <row r="1405" spans="2:6" hidden="1" outlineLevel="1" x14ac:dyDescent="0.15">
      <c r="B1405" s="101">
        <v>43434</v>
      </c>
      <c r="C1405" s="125">
        <v>15059.37</v>
      </c>
      <c r="E1405" s="141"/>
      <c r="F1405" s="141"/>
    </row>
    <row r="1406" spans="2:6" hidden="1" outlineLevel="1" x14ac:dyDescent="0.15">
      <c r="B1406" s="101">
        <v>43433</v>
      </c>
      <c r="C1406" s="125">
        <v>15034.36</v>
      </c>
      <c r="E1406" s="141"/>
      <c r="F1406" s="141"/>
    </row>
    <row r="1407" spans="2:6" hidden="1" outlineLevel="1" x14ac:dyDescent="0.15">
      <c r="B1407" s="101">
        <v>43432</v>
      </c>
      <c r="C1407" s="125">
        <v>14854.61</v>
      </c>
      <c r="E1407" s="141"/>
      <c r="F1407" s="141"/>
    </row>
    <row r="1408" spans="2:6" hidden="1" outlineLevel="1" x14ac:dyDescent="0.15">
      <c r="B1408" s="101">
        <v>43431</v>
      </c>
      <c r="C1408" s="125">
        <v>14794.7</v>
      </c>
      <c r="E1408" s="141"/>
      <c r="F1408" s="141"/>
    </row>
    <row r="1409" spans="2:6" hidden="1" outlineLevel="1" x14ac:dyDescent="0.15">
      <c r="B1409" s="101">
        <v>43430</v>
      </c>
      <c r="C1409" s="125">
        <v>14715.81</v>
      </c>
      <c r="E1409" s="141"/>
      <c r="F1409" s="141"/>
    </row>
    <row r="1410" spans="2:6" hidden="1" outlineLevel="1" x14ac:dyDescent="0.15">
      <c r="B1410" s="101">
        <v>43426</v>
      </c>
      <c r="C1410" s="125">
        <v>14574.82</v>
      </c>
      <c r="E1410" s="141"/>
      <c r="F1410" s="141"/>
    </row>
    <row r="1411" spans="2:6" hidden="1" outlineLevel="1" x14ac:dyDescent="0.15">
      <c r="B1411" s="101">
        <v>43425</v>
      </c>
      <c r="C1411" s="125">
        <v>14676.29</v>
      </c>
      <c r="E1411" s="141"/>
      <c r="F1411" s="141"/>
    </row>
    <row r="1412" spans="2:6" hidden="1" outlineLevel="1" x14ac:dyDescent="0.15">
      <c r="B1412" s="101">
        <v>43424</v>
      </c>
      <c r="C1412" s="125">
        <v>14754.03</v>
      </c>
      <c r="E1412" s="141"/>
      <c r="F1412" s="141"/>
    </row>
    <row r="1413" spans="2:6" hidden="1" outlineLevel="1" x14ac:dyDescent="0.15">
      <c r="B1413" s="101">
        <v>43423</v>
      </c>
      <c r="C1413" s="125">
        <v>14902.44</v>
      </c>
      <c r="E1413" s="141"/>
      <c r="F1413" s="141"/>
    </row>
    <row r="1414" spans="2:6" hidden="1" outlineLevel="1" x14ac:dyDescent="0.15">
      <c r="B1414" s="101">
        <v>43420</v>
      </c>
      <c r="C1414" s="125">
        <v>14790.05</v>
      </c>
      <c r="E1414" s="141"/>
      <c r="F1414" s="141"/>
    </row>
    <row r="1415" spans="2:6" hidden="1" outlineLevel="1" x14ac:dyDescent="0.15">
      <c r="B1415" s="101">
        <v>43419</v>
      </c>
      <c r="C1415" s="125">
        <v>14699.33</v>
      </c>
      <c r="E1415" s="141"/>
      <c r="F1415" s="141"/>
    </row>
    <row r="1416" spans="2:6" hidden="1" outlineLevel="1" x14ac:dyDescent="0.15">
      <c r="B1416" s="101">
        <v>43418</v>
      </c>
      <c r="C1416" s="125">
        <v>14643.42</v>
      </c>
      <c r="E1416" s="141"/>
      <c r="F1416" s="141"/>
    </row>
    <row r="1417" spans="2:6" hidden="1" outlineLevel="1" x14ac:dyDescent="0.15">
      <c r="B1417" s="101">
        <v>43417</v>
      </c>
      <c r="C1417" s="125">
        <v>14651.98</v>
      </c>
      <c r="E1417" s="141"/>
      <c r="F1417" s="141"/>
    </row>
    <row r="1418" spans="2:6" hidden="1" outlineLevel="1" x14ac:dyDescent="0.15">
      <c r="B1418" s="101">
        <v>43416</v>
      </c>
      <c r="C1418" s="125">
        <v>14513.12</v>
      </c>
      <c r="E1418" s="141"/>
      <c r="F1418" s="141"/>
    </row>
    <row r="1419" spans="2:6" hidden="1" outlineLevel="1" x14ac:dyDescent="0.15">
      <c r="B1419" s="101">
        <v>43413</v>
      </c>
      <c r="C1419" s="125">
        <v>14655.69</v>
      </c>
      <c r="E1419" s="141"/>
      <c r="F1419" s="141"/>
    </row>
    <row r="1420" spans="2:6" hidden="1" outlineLevel="1" x14ac:dyDescent="0.15">
      <c r="B1420" s="101">
        <v>43411</v>
      </c>
      <c r="C1420" s="125">
        <v>14673.98</v>
      </c>
      <c r="E1420" s="141"/>
      <c r="F1420" s="141"/>
    </row>
    <row r="1421" spans="2:6" hidden="1" outlineLevel="1" x14ac:dyDescent="0.15">
      <c r="B1421" s="101">
        <v>43410</v>
      </c>
      <c r="C1421" s="125">
        <v>14579.28</v>
      </c>
      <c r="E1421" s="141"/>
      <c r="F1421" s="141"/>
    </row>
    <row r="1422" spans="2:6" hidden="1" outlineLevel="1" x14ac:dyDescent="0.15">
      <c r="B1422" s="101">
        <v>43409</v>
      </c>
      <c r="C1422" s="125">
        <v>14570.98</v>
      </c>
      <c r="E1422" s="141"/>
      <c r="F1422" s="141"/>
    </row>
    <row r="1423" spans="2:6" hidden="1" outlineLevel="1" x14ac:dyDescent="0.15">
      <c r="B1423" s="101">
        <v>43406</v>
      </c>
      <c r="C1423" s="125">
        <v>14609.96</v>
      </c>
      <c r="E1423" s="141"/>
      <c r="F1423" s="141"/>
    </row>
    <row r="1424" spans="2:6" hidden="1" outlineLevel="1" x14ac:dyDescent="0.15">
      <c r="B1424" s="101">
        <v>43405</v>
      </c>
      <c r="C1424" s="125">
        <v>14371.1</v>
      </c>
      <c r="E1424" s="141"/>
      <c r="F1424" s="141"/>
    </row>
    <row r="1425" spans="2:6" hidden="1" outlineLevel="1" x14ac:dyDescent="0.15">
      <c r="B1425" s="101">
        <v>43404</v>
      </c>
      <c r="C1425" s="125">
        <v>14377.38</v>
      </c>
      <c r="E1425" s="141"/>
      <c r="F1425" s="141"/>
    </row>
    <row r="1426" spans="2:6" hidden="1" outlineLevel="1" x14ac:dyDescent="0.15">
      <c r="B1426" s="101">
        <v>43403</v>
      </c>
      <c r="C1426" s="125">
        <v>14116.91</v>
      </c>
      <c r="E1426" s="141"/>
      <c r="F1426" s="141"/>
    </row>
    <row r="1427" spans="2:6" hidden="1" outlineLevel="1" x14ac:dyDescent="0.15">
      <c r="B1427" s="101">
        <v>43402</v>
      </c>
      <c r="C1427" s="125">
        <v>14189.11</v>
      </c>
      <c r="E1427" s="141"/>
      <c r="F1427" s="141"/>
    </row>
    <row r="1428" spans="2:6" hidden="1" outlineLevel="1" x14ac:dyDescent="0.15">
      <c r="B1428" s="101">
        <v>43399</v>
      </c>
      <c r="C1428" s="125">
        <v>13882.95</v>
      </c>
      <c r="E1428" s="141"/>
      <c r="F1428" s="141"/>
    </row>
    <row r="1429" spans="2:6" hidden="1" outlineLevel="1" x14ac:dyDescent="0.15">
      <c r="B1429" s="101">
        <v>43398</v>
      </c>
      <c r="C1429" s="125">
        <v>14014.33</v>
      </c>
      <c r="E1429" s="141"/>
      <c r="F1429" s="141"/>
    </row>
    <row r="1430" spans="2:6" hidden="1" outlineLevel="1" x14ac:dyDescent="0.15">
      <c r="B1430" s="101">
        <v>43397</v>
      </c>
      <c r="C1430" s="125">
        <v>14139.75</v>
      </c>
      <c r="E1430" s="141"/>
      <c r="F1430" s="141"/>
    </row>
    <row r="1431" spans="2:6" hidden="1" outlineLevel="1" x14ac:dyDescent="0.15">
      <c r="B1431" s="101">
        <v>43396</v>
      </c>
      <c r="C1431" s="125">
        <v>14031.96</v>
      </c>
      <c r="E1431" s="141"/>
      <c r="F1431" s="141"/>
    </row>
    <row r="1432" spans="2:6" hidden="1" outlineLevel="1" x14ac:dyDescent="0.15">
      <c r="B1432" s="101">
        <v>43395</v>
      </c>
      <c r="C1432" s="125">
        <v>14166.64</v>
      </c>
      <c r="E1432" s="141"/>
      <c r="F1432" s="141"/>
    </row>
    <row r="1433" spans="2:6" hidden="1" outlineLevel="1" x14ac:dyDescent="0.15">
      <c r="B1433" s="101">
        <v>43392</v>
      </c>
      <c r="C1433" s="125">
        <v>14247.22</v>
      </c>
      <c r="E1433" s="141"/>
      <c r="F1433" s="141"/>
    </row>
    <row r="1434" spans="2:6" hidden="1" outlineLevel="1" x14ac:dyDescent="0.15">
      <c r="B1434" s="101">
        <v>43390</v>
      </c>
      <c r="C1434" s="125">
        <v>14453.94</v>
      </c>
      <c r="E1434" s="141"/>
      <c r="F1434" s="141"/>
    </row>
    <row r="1435" spans="2:6" hidden="1" outlineLevel="1" x14ac:dyDescent="0.15">
      <c r="B1435" s="101">
        <v>43389</v>
      </c>
      <c r="C1435" s="125">
        <v>14636.1</v>
      </c>
      <c r="E1435" s="141"/>
      <c r="F1435" s="141"/>
    </row>
    <row r="1436" spans="2:6" hidden="1" outlineLevel="1" x14ac:dyDescent="0.15">
      <c r="B1436" s="101">
        <v>43388</v>
      </c>
      <c r="C1436" s="125">
        <v>14536.17</v>
      </c>
      <c r="E1436" s="141"/>
      <c r="F1436" s="141"/>
    </row>
    <row r="1437" spans="2:6" hidden="1" outlineLevel="1" x14ac:dyDescent="0.15">
      <c r="B1437" s="101">
        <v>43385</v>
      </c>
      <c r="C1437" s="125">
        <v>14480.86</v>
      </c>
      <c r="E1437" s="141"/>
      <c r="F1437" s="141"/>
    </row>
    <row r="1438" spans="2:6" hidden="1" outlineLevel="1" x14ac:dyDescent="0.15">
      <c r="B1438" s="101">
        <v>43384</v>
      </c>
      <c r="C1438" s="125">
        <v>14152</v>
      </c>
      <c r="E1438" s="141"/>
      <c r="F1438" s="141"/>
    </row>
    <row r="1439" spans="2:6" hidden="1" outlineLevel="1" x14ac:dyDescent="0.15">
      <c r="B1439" s="101">
        <v>43383</v>
      </c>
      <c r="C1439" s="125">
        <v>14463.71</v>
      </c>
      <c r="E1439" s="141"/>
      <c r="F1439" s="141"/>
    </row>
    <row r="1440" spans="2:6" hidden="1" outlineLevel="1" x14ac:dyDescent="0.15">
      <c r="B1440" s="101">
        <v>43382</v>
      </c>
      <c r="C1440" s="125">
        <v>14243.79</v>
      </c>
      <c r="E1440" s="141"/>
      <c r="F1440" s="141"/>
    </row>
    <row r="1441" spans="2:6" hidden="1" outlineLevel="1" x14ac:dyDescent="0.15">
      <c r="B1441" s="101">
        <v>43381</v>
      </c>
      <c r="C1441" s="125">
        <v>14308.79</v>
      </c>
      <c r="E1441" s="141"/>
      <c r="F1441" s="141"/>
    </row>
    <row r="1442" spans="2:6" hidden="1" outlineLevel="1" x14ac:dyDescent="0.15">
      <c r="B1442" s="101">
        <v>43378</v>
      </c>
      <c r="C1442" s="125">
        <v>14265.08</v>
      </c>
      <c r="E1442" s="141"/>
      <c r="F1442" s="141"/>
    </row>
    <row r="1443" spans="2:6" hidden="1" outlineLevel="1" x14ac:dyDescent="0.15">
      <c r="B1443" s="101">
        <v>43377</v>
      </c>
      <c r="C1443" s="125">
        <v>14656.09</v>
      </c>
      <c r="E1443" s="141"/>
      <c r="F1443" s="141"/>
    </row>
    <row r="1444" spans="2:6" hidden="1" outlineLevel="1" x14ac:dyDescent="0.15">
      <c r="B1444" s="101">
        <v>43376</v>
      </c>
      <c r="C1444" s="125">
        <v>15014.23</v>
      </c>
      <c r="E1444" s="141"/>
      <c r="F1444" s="141"/>
    </row>
    <row r="1445" spans="2:6" hidden="1" outlineLevel="1" x14ac:dyDescent="0.15">
      <c r="B1445" s="101">
        <v>43374</v>
      </c>
      <c r="C1445" s="125">
        <v>15221.75</v>
      </c>
      <c r="E1445" s="141"/>
      <c r="F1445" s="141"/>
    </row>
    <row r="1446" spans="2:6" hidden="1" outlineLevel="1" x14ac:dyDescent="0.15">
      <c r="B1446" s="101">
        <v>43371</v>
      </c>
      <c r="C1446" s="125">
        <v>15114.08</v>
      </c>
      <c r="E1446" s="141"/>
      <c r="F1446" s="141"/>
    </row>
    <row r="1447" spans="2:6" hidden="1" outlineLevel="1" x14ac:dyDescent="0.15">
      <c r="B1447" s="101">
        <v>43370</v>
      </c>
      <c r="C1447" s="125">
        <v>15179.24</v>
      </c>
      <c r="E1447" s="141"/>
      <c r="F1447" s="141"/>
    </row>
    <row r="1448" spans="2:6" hidden="1" outlineLevel="1" x14ac:dyDescent="0.15">
      <c r="B1448" s="101">
        <v>43369</v>
      </c>
      <c r="C1448" s="125">
        <v>15284.67</v>
      </c>
      <c r="E1448" s="141"/>
      <c r="F1448" s="141"/>
    </row>
    <row r="1449" spans="2:6" hidden="1" outlineLevel="1" x14ac:dyDescent="0.15">
      <c r="B1449" s="101">
        <v>43368</v>
      </c>
      <c r="C1449" s="125">
        <v>15303.55</v>
      </c>
      <c r="E1449" s="141"/>
      <c r="F1449" s="141"/>
    </row>
    <row r="1450" spans="2:6" hidden="1" outlineLevel="1" x14ac:dyDescent="0.15">
      <c r="B1450" s="101">
        <v>43367</v>
      </c>
      <c r="C1450" s="125">
        <v>15165.18</v>
      </c>
      <c r="E1450" s="141"/>
      <c r="F1450" s="141"/>
    </row>
    <row r="1451" spans="2:6" hidden="1" outlineLevel="1" x14ac:dyDescent="0.15">
      <c r="B1451" s="101">
        <v>43364</v>
      </c>
      <c r="C1451" s="125">
        <v>15408.16</v>
      </c>
      <c r="E1451" s="141"/>
      <c r="F1451" s="141"/>
    </row>
    <row r="1452" spans="2:6" hidden="1" outlineLevel="1" x14ac:dyDescent="0.15">
      <c r="B1452" s="101">
        <v>43362</v>
      </c>
      <c r="C1452" s="125">
        <v>15534.28</v>
      </c>
      <c r="E1452" s="141"/>
      <c r="F1452" s="141"/>
    </row>
    <row r="1453" spans="2:6" hidden="1" outlineLevel="1" x14ac:dyDescent="0.15">
      <c r="B1453" s="101">
        <v>43361</v>
      </c>
      <c r="C1453" s="125">
        <v>15594.57</v>
      </c>
      <c r="E1453" s="141"/>
      <c r="F1453" s="141"/>
    </row>
    <row r="1454" spans="2:6" hidden="1" outlineLevel="1" x14ac:dyDescent="0.15">
      <c r="B1454" s="101">
        <v>43360</v>
      </c>
      <c r="C1454" s="125">
        <v>15731.26</v>
      </c>
      <c r="E1454" s="141"/>
      <c r="F1454" s="141"/>
    </row>
    <row r="1455" spans="2:6" hidden="1" outlineLevel="1" x14ac:dyDescent="0.15">
      <c r="B1455" s="101">
        <v>43357</v>
      </c>
      <c r="C1455" s="125">
        <v>15920.48</v>
      </c>
      <c r="E1455" s="141"/>
      <c r="F1455" s="141"/>
    </row>
    <row r="1456" spans="2:6" hidden="1" outlineLevel="1" x14ac:dyDescent="0.15">
      <c r="B1456" s="101">
        <v>43355</v>
      </c>
      <c r="C1456" s="125">
        <v>15719.62</v>
      </c>
      <c r="E1456" s="141"/>
      <c r="F1456" s="141"/>
    </row>
    <row r="1457" spans="2:6" hidden="1" outlineLevel="1" x14ac:dyDescent="0.15">
      <c r="B1457" s="101">
        <v>43354</v>
      </c>
      <c r="C1457" s="125">
        <v>15605.11</v>
      </c>
      <c r="E1457" s="141"/>
      <c r="F1457" s="141"/>
    </row>
    <row r="1458" spans="2:6" hidden="1" outlineLevel="1" x14ac:dyDescent="0.15">
      <c r="B1458" s="101">
        <v>43353</v>
      </c>
      <c r="C1458" s="125">
        <v>15813.26</v>
      </c>
      <c r="E1458" s="141"/>
      <c r="F1458" s="141"/>
    </row>
    <row r="1459" spans="2:6" hidden="1" outlineLevel="1" x14ac:dyDescent="0.15">
      <c r="B1459" s="101">
        <v>43350</v>
      </c>
      <c r="C1459" s="125">
        <v>16019.84</v>
      </c>
      <c r="E1459" s="141"/>
      <c r="F1459" s="141"/>
    </row>
    <row r="1460" spans="2:6" hidden="1" outlineLevel="1" x14ac:dyDescent="0.15">
      <c r="B1460" s="101">
        <v>43349</v>
      </c>
      <c r="C1460" s="125">
        <v>15947.67</v>
      </c>
      <c r="E1460" s="141"/>
      <c r="F1460" s="141"/>
    </row>
    <row r="1461" spans="2:6" hidden="1" outlineLevel="1" x14ac:dyDescent="0.15">
      <c r="B1461" s="101">
        <v>43348</v>
      </c>
      <c r="C1461" s="125">
        <v>15862.15</v>
      </c>
      <c r="E1461" s="141"/>
      <c r="F1461" s="141"/>
    </row>
    <row r="1462" spans="2:6" hidden="1" outlineLevel="1" x14ac:dyDescent="0.15">
      <c r="B1462" s="101">
        <v>43347</v>
      </c>
      <c r="C1462" s="125">
        <v>15922.09</v>
      </c>
      <c r="E1462" s="141"/>
      <c r="F1462" s="141"/>
    </row>
    <row r="1463" spans="2:6" hidden="1" outlineLevel="1" x14ac:dyDescent="0.15">
      <c r="B1463" s="101">
        <v>43346</v>
      </c>
      <c r="C1463" s="125">
        <v>16007.84</v>
      </c>
      <c r="E1463" s="141"/>
      <c r="F1463" s="141"/>
    </row>
    <row r="1464" spans="2:6" hidden="1" outlineLevel="1" x14ac:dyDescent="0.15">
      <c r="B1464" s="101">
        <v>43343</v>
      </c>
      <c r="C1464" s="125">
        <v>16143.51</v>
      </c>
      <c r="E1464" s="141"/>
      <c r="F1464" s="141"/>
    </row>
    <row r="1465" spans="2:6" hidden="1" outlineLevel="1" x14ac:dyDescent="0.15">
      <c r="B1465" s="101">
        <v>43342</v>
      </c>
      <c r="C1465" s="125">
        <v>16135.61</v>
      </c>
      <c r="E1465" s="141"/>
      <c r="F1465" s="141"/>
    </row>
    <row r="1466" spans="2:6" hidden="1" outlineLevel="1" x14ac:dyDescent="0.15">
      <c r="B1466" s="101">
        <v>43341</v>
      </c>
      <c r="C1466" s="125">
        <v>16156.02</v>
      </c>
      <c r="E1466" s="141"/>
      <c r="F1466" s="141"/>
    </row>
    <row r="1467" spans="2:6" hidden="1" outlineLevel="1" x14ac:dyDescent="0.15">
      <c r="B1467" s="101">
        <v>43340</v>
      </c>
      <c r="C1467" s="125">
        <v>16220.45</v>
      </c>
      <c r="E1467" s="141"/>
      <c r="F1467" s="141"/>
    </row>
    <row r="1468" spans="2:6" hidden="1" outlineLevel="1" x14ac:dyDescent="0.15">
      <c r="B1468" s="101">
        <v>43339</v>
      </c>
      <c r="C1468" s="125">
        <v>16156.09</v>
      </c>
      <c r="E1468" s="141"/>
      <c r="F1468" s="141"/>
    </row>
    <row r="1469" spans="2:6" hidden="1" outlineLevel="1" x14ac:dyDescent="0.15">
      <c r="B1469" s="101">
        <v>43336</v>
      </c>
      <c r="C1469" s="125">
        <v>15969.8</v>
      </c>
      <c r="E1469" s="141"/>
      <c r="F1469" s="141"/>
    </row>
    <row r="1470" spans="2:6" hidden="1" outlineLevel="1" x14ac:dyDescent="0.15">
      <c r="B1470" s="101">
        <v>43335</v>
      </c>
      <c r="C1470" s="125">
        <v>16001.85</v>
      </c>
      <c r="E1470" s="141"/>
      <c r="F1470" s="141"/>
    </row>
    <row r="1471" spans="2:6" hidden="1" outlineLevel="1" x14ac:dyDescent="0.15">
      <c r="B1471" s="101">
        <v>43333</v>
      </c>
      <c r="C1471" s="125">
        <v>15985.48</v>
      </c>
      <c r="E1471" s="141"/>
      <c r="F1471" s="141"/>
    </row>
    <row r="1472" spans="2:6" hidden="1" outlineLevel="1" x14ac:dyDescent="0.15">
      <c r="B1472" s="101">
        <v>43332</v>
      </c>
      <c r="C1472" s="125">
        <v>15959.04</v>
      </c>
      <c r="E1472" s="141"/>
      <c r="F1472" s="141"/>
    </row>
    <row r="1473" spans="2:6" hidden="1" outlineLevel="1" x14ac:dyDescent="0.15">
      <c r="B1473" s="101">
        <v>43329</v>
      </c>
      <c r="C1473" s="125">
        <v>15845.64</v>
      </c>
      <c r="E1473" s="141"/>
      <c r="F1473" s="141"/>
    </row>
    <row r="1474" spans="2:6" hidden="1" outlineLevel="1" x14ac:dyDescent="0.15">
      <c r="B1474" s="101">
        <v>43328</v>
      </c>
      <c r="C1474" s="125">
        <v>15727.25</v>
      </c>
      <c r="E1474" s="141"/>
      <c r="F1474" s="141"/>
    </row>
    <row r="1475" spans="2:6" hidden="1" outlineLevel="1" x14ac:dyDescent="0.15">
      <c r="B1475" s="101">
        <v>43326</v>
      </c>
      <c r="C1475" s="125">
        <v>15796.36</v>
      </c>
      <c r="E1475" s="141"/>
      <c r="F1475" s="141"/>
    </row>
    <row r="1476" spans="2:6" hidden="1" outlineLevel="1" x14ac:dyDescent="0.15">
      <c r="B1476" s="101">
        <v>43325</v>
      </c>
      <c r="C1476" s="125">
        <v>15676.23</v>
      </c>
      <c r="E1476" s="141"/>
      <c r="F1476" s="141"/>
    </row>
    <row r="1477" spans="2:6" hidden="1" outlineLevel="1" x14ac:dyDescent="0.15">
      <c r="B1477" s="101">
        <v>43322</v>
      </c>
      <c r="C1477" s="125">
        <v>15776.32</v>
      </c>
      <c r="E1477" s="141"/>
      <c r="F1477" s="141"/>
    </row>
    <row r="1478" spans="2:6" hidden="1" outlineLevel="1" x14ac:dyDescent="0.15">
      <c r="B1478" s="101">
        <v>43321</v>
      </c>
      <c r="C1478" s="125">
        <v>15833.23</v>
      </c>
      <c r="E1478" s="141"/>
      <c r="F1478" s="141"/>
    </row>
    <row r="1479" spans="2:6" hidden="1" outlineLevel="1" x14ac:dyDescent="0.15">
      <c r="B1479" s="101">
        <v>43320</v>
      </c>
      <c r="C1479" s="125">
        <v>15803.64</v>
      </c>
      <c r="E1479" s="141"/>
      <c r="F1479" s="141"/>
    </row>
    <row r="1480" spans="2:6" hidden="1" outlineLevel="1" x14ac:dyDescent="0.15">
      <c r="B1480" s="101">
        <v>43319</v>
      </c>
      <c r="C1480" s="125">
        <v>15720.05</v>
      </c>
      <c r="E1480" s="141"/>
      <c r="F1480" s="141"/>
    </row>
    <row r="1481" spans="2:6" hidden="1" outlineLevel="1" x14ac:dyDescent="0.15">
      <c r="B1481" s="101">
        <v>43318</v>
      </c>
      <c r="C1481" s="125">
        <v>15716.78</v>
      </c>
      <c r="E1481" s="141"/>
      <c r="F1481" s="141"/>
    </row>
    <row r="1482" spans="2:6" hidden="1" outlineLevel="1" x14ac:dyDescent="0.15">
      <c r="B1482" s="101">
        <v>43315</v>
      </c>
      <c r="C1482" s="125">
        <v>15680.51</v>
      </c>
      <c r="E1482" s="141"/>
      <c r="F1482" s="141"/>
    </row>
    <row r="1483" spans="2:6" hidden="1" outlineLevel="1" x14ac:dyDescent="0.15">
      <c r="B1483" s="101">
        <v>43314</v>
      </c>
      <c r="C1483" s="125">
        <v>15520.25</v>
      </c>
      <c r="E1483" s="141"/>
      <c r="F1483" s="141"/>
    </row>
    <row r="1484" spans="2:6" hidden="1" outlineLevel="1" x14ac:dyDescent="0.15">
      <c r="B1484" s="101">
        <v>43313</v>
      </c>
      <c r="C1484" s="125">
        <v>15658.27</v>
      </c>
      <c r="E1484" s="141"/>
      <c r="F1484" s="141"/>
    </row>
    <row r="1485" spans="2:6" hidden="1" outlineLevel="1" x14ac:dyDescent="0.15">
      <c r="B1485" s="101">
        <v>43312</v>
      </c>
      <c r="C1485" s="125">
        <v>15672.47</v>
      </c>
      <c r="E1485" s="141"/>
      <c r="F1485" s="141"/>
    </row>
    <row r="1486" spans="2:6" hidden="1" outlineLevel="1" x14ac:dyDescent="0.15">
      <c r="B1486" s="101">
        <v>43311</v>
      </c>
      <c r="C1486" s="125">
        <v>15621.47</v>
      </c>
      <c r="E1486" s="141"/>
      <c r="F1486" s="141"/>
    </row>
    <row r="1487" spans="2:6" hidden="1" outlineLevel="1" x14ac:dyDescent="0.15">
      <c r="B1487" s="101">
        <v>43308</v>
      </c>
      <c r="C1487" s="125">
        <v>15564.19</v>
      </c>
      <c r="E1487" s="141"/>
      <c r="F1487" s="141"/>
    </row>
    <row r="1488" spans="2:6" hidden="1" outlineLevel="1" x14ac:dyDescent="0.15">
      <c r="B1488" s="101">
        <v>43307</v>
      </c>
      <c r="C1488" s="125">
        <v>15410.93</v>
      </c>
      <c r="E1488" s="141"/>
      <c r="F1488" s="141"/>
    </row>
    <row r="1489" spans="2:6" hidden="1" outlineLevel="1" x14ac:dyDescent="0.15">
      <c r="B1489" s="101">
        <v>43306</v>
      </c>
      <c r="C1489" s="125">
        <v>15358.72</v>
      </c>
      <c r="E1489" s="141"/>
      <c r="F1489" s="141"/>
    </row>
    <row r="1490" spans="2:6" hidden="1" outlineLevel="1" x14ac:dyDescent="0.15">
      <c r="B1490" s="101">
        <v>43305</v>
      </c>
      <c r="C1490" s="125">
        <v>15361.88</v>
      </c>
      <c r="E1490" s="141"/>
      <c r="F1490" s="141"/>
    </row>
    <row r="1491" spans="2:6" hidden="1" outlineLevel="1" x14ac:dyDescent="0.15">
      <c r="B1491" s="101">
        <v>43304</v>
      </c>
      <c r="C1491" s="125">
        <v>15293.5</v>
      </c>
      <c r="E1491" s="141"/>
      <c r="F1491" s="141"/>
    </row>
    <row r="1492" spans="2:6" hidden="1" outlineLevel="1" x14ac:dyDescent="0.15">
      <c r="B1492" s="101">
        <v>43301</v>
      </c>
      <c r="C1492" s="125">
        <v>15190.13</v>
      </c>
      <c r="E1492" s="141"/>
      <c r="F1492" s="141"/>
    </row>
    <row r="1493" spans="2:6" hidden="1" outlineLevel="1" x14ac:dyDescent="0.15">
      <c r="B1493" s="101">
        <v>43300</v>
      </c>
      <c r="C1493" s="125">
        <v>15116.83</v>
      </c>
      <c r="E1493" s="141"/>
      <c r="F1493" s="141"/>
    </row>
    <row r="1494" spans="2:6" hidden="1" outlineLevel="1" x14ac:dyDescent="0.15">
      <c r="B1494" s="101">
        <v>43299</v>
      </c>
      <c r="C1494" s="125">
        <v>15135.57</v>
      </c>
      <c r="E1494" s="141"/>
      <c r="F1494" s="141"/>
    </row>
    <row r="1495" spans="2:6" hidden="1" outlineLevel="1" x14ac:dyDescent="0.15">
      <c r="B1495" s="101">
        <v>43298</v>
      </c>
      <c r="C1495" s="125">
        <v>15172.31</v>
      </c>
      <c r="E1495" s="141"/>
      <c r="F1495" s="141"/>
    </row>
    <row r="1496" spans="2:6" hidden="1" outlineLevel="1" x14ac:dyDescent="0.15">
      <c r="B1496" s="101">
        <v>43297</v>
      </c>
      <c r="C1496" s="125">
        <v>15072.66</v>
      </c>
      <c r="E1496" s="141"/>
      <c r="F1496" s="141"/>
    </row>
    <row r="1497" spans="2:6" hidden="1" outlineLevel="1" x14ac:dyDescent="0.15">
      <c r="B1497" s="101">
        <v>43294</v>
      </c>
      <c r="C1497" s="125">
        <v>15184.88</v>
      </c>
      <c r="E1497" s="141"/>
      <c r="F1497" s="141"/>
    </row>
    <row r="1498" spans="2:6" hidden="1" outlineLevel="1" x14ac:dyDescent="0.15">
      <c r="B1498" s="101">
        <v>43293</v>
      </c>
      <c r="C1498" s="125">
        <v>15190.82</v>
      </c>
      <c r="E1498" s="141"/>
      <c r="F1498" s="141"/>
    </row>
    <row r="1499" spans="2:6" hidden="1" outlineLevel="1" x14ac:dyDescent="0.15">
      <c r="B1499" s="101">
        <v>43292</v>
      </c>
      <c r="C1499" s="125">
        <v>15085.15</v>
      </c>
      <c r="E1499" s="141"/>
      <c r="F1499" s="141"/>
    </row>
    <row r="1500" spans="2:6" hidden="1" outlineLevel="1" x14ac:dyDescent="0.15">
      <c r="B1500" s="101">
        <v>43291</v>
      </c>
      <c r="C1500" s="125">
        <v>15081.6</v>
      </c>
      <c r="E1500" s="141"/>
      <c r="F1500" s="141"/>
    </row>
    <row r="1501" spans="2:6" hidden="1" outlineLevel="1" x14ac:dyDescent="0.15">
      <c r="B1501" s="101">
        <v>43290</v>
      </c>
      <c r="C1501" s="125">
        <v>14951.2</v>
      </c>
      <c r="E1501" s="141"/>
      <c r="F1501" s="141"/>
    </row>
    <row r="1502" spans="2:6" hidden="1" outlineLevel="1" x14ac:dyDescent="0.15">
      <c r="B1502" s="101">
        <v>43287</v>
      </c>
      <c r="C1502" s="125">
        <v>14840.13</v>
      </c>
      <c r="E1502" s="141"/>
      <c r="F1502" s="141"/>
    </row>
    <row r="1503" spans="2:6" hidden="1" outlineLevel="1" x14ac:dyDescent="0.15">
      <c r="B1503" s="101">
        <v>43286</v>
      </c>
      <c r="C1503" s="125">
        <v>14808.54</v>
      </c>
      <c r="E1503" s="141"/>
      <c r="F1503" s="141"/>
    </row>
    <row r="1504" spans="2:6" hidden="1" outlineLevel="1" x14ac:dyDescent="0.15">
      <c r="B1504" s="101">
        <v>43285</v>
      </c>
      <c r="C1504" s="125">
        <v>14830.5</v>
      </c>
      <c r="E1504" s="141"/>
      <c r="F1504" s="141"/>
    </row>
    <row r="1505" spans="2:6" hidden="1" outlineLevel="1" x14ac:dyDescent="0.15">
      <c r="B1505" s="101">
        <v>43284</v>
      </c>
      <c r="C1505" s="125">
        <v>14734.11</v>
      </c>
      <c r="E1505" s="141"/>
      <c r="F1505" s="141"/>
    </row>
    <row r="1506" spans="2:6" hidden="1" outlineLevel="1" x14ac:dyDescent="0.15">
      <c r="B1506" s="101">
        <v>43283</v>
      </c>
      <c r="C1506" s="125">
        <v>14675.42</v>
      </c>
      <c r="E1506" s="141"/>
      <c r="F1506" s="141"/>
    </row>
    <row r="1507" spans="2:6" hidden="1" outlineLevel="1" x14ac:dyDescent="0.15">
      <c r="B1507" s="101">
        <v>43280</v>
      </c>
      <c r="C1507" s="125">
        <v>14753.91</v>
      </c>
      <c r="E1507" s="141"/>
      <c r="F1507" s="141"/>
    </row>
    <row r="1508" spans="2:6" hidden="1" outlineLevel="1" x14ac:dyDescent="0.15">
      <c r="B1508" s="101">
        <v>43279</v>
      </c>
      <c r="C1508" s="125">
        <v>14581.53</v>
      </c>
      <c r="E1508" s="141"/>
      <c r="F1508" s="141"/>
    </row>
    <row r="1509" spans="2:6" hidden="1" outlineLevel="1" x14ac:dyDescent="0.15">
      <c r="B1509" s="101">
        <v>43278</v>
      </c>
      <c r="C1509" s="125">
        <v>14694.16</v>
      </c>
      <c r="E1509" s="141"/>
      <c r="F1509" s="141"/>
    </row>
    <row r="1510" spans="2:6" hidden="1" outlineLevel="1" x14ac:dyDescent="0.15">
      <c r="B1510" s="101">
        <v>43277</v>
      </c>
      <c r="C1510" s="125">
        <v>14821.45</v>
      </c>
      <c r="E1510" s="141"/>
      <c r="F1510" s="141"/>
    </row>
    <row r="1511" spans="2:6" hidden="1" outlineLevel="1" x14ac:dyDescent="0.15">
      <c r="B1511" s="101">
        <v>43276</v>
      </c>
      <c r="C1511" s="125">
        <v>14812.28</v>
      </c>
      <c r="E1511" s="141"/>
      <c r="F1511" s="141"/>
    </row>
    <row r="1512" spans="2:6" hidden="1" outlineLevel="1" x14ac:dyDescent="0.15">
      <c r="B1512" s="101">
        <v>43273</v>
      </c>
      <c r="C1512" s="125">
        <v>14894.02</v>
      </c>
      <c r="E1512" s="141"/>
      <c r="F1512" s="141"/>
    </row>
    <row r="1513" spans="2:6" hidden="1" outlineLevel="1" x14ac:dyDescent="0.15">
      <c r="B1513" s="101">
        <v>43272</v>
      </c>
      <c r="C1513" s="125">
        <v>14782.87</v>
      </c>
      <c r="E1513" s="141"/>
      <c r="F1513" s="141"/>
    </row>
    <row r="1514" spans="2:6" hidden="1" outlineLevel="1" x14ac:dyDescent="0.15">
      <c r="B1514" s="101">
        <v>43271</v>
      </c>
      <c r="C1514" s="125">
        <v>14822.46</v>
      </c>
      <c r="E1514" s="141"/>
      <c r="F1514" s="141"/>
    </row>
    <row r="1515" spans="2:6" hidden="1" outlineLevel="1" x14ac:dyDescent="0.15">
      <c r="B1515" s="101">
        <v>43270</v>
      </c>
      <c r="C1515" s="125">
        <v>14737.7</v>
      </c>
      <c r="E1515" s="141"/>
      <c r="F1515" s="141"/>
    </row>
    <row r="1516" spans="2:6" hidden="1" outlineLevel="1" x14ac:dyDescent="0.15">
      <c r="B1516" s="101">
        <v>43269</v>
      </c>
      <c r="C1516" s="125">
        <v>14860.73</v>
      </c>
      <c r="E1516" s="141"/>
      <c r="F1516" s="141"/>
    </row>
    <row r="1517" spans="2:6" hidden="1" outlineLevel="1" x14ac:dyDescent="0.15">
      <c r="B1517" s="101">
        <v>43266</v>
      </c>
      <c r="C1517" s="125">
        <v>14885.3</v>
      </c>
      <c r="E1517" s="141"/>
      <c r="F1517" s="141"/>
    </row>
    <row r="1518" spans="2:6" hidden="1" outlineLevel="1" x14ac:dyDescent="0.15">
      <c r="B1518" s="101">
        <v>43265</v>
      </c>
      <c r="C1518" s="125">
        <v>14871.97</v>
      </c>
      <c r="E1518" s="141"/>
      <c r="F1518" s="141"/>
    </row>
    <row r="1519" spans="2:6" hidden="1" outlineLevel="1" x14ac:dyDescent="0.15">
      <c r="B1519" s="101">
        <v>43264</v>
      </c>
      <c r="C1519" s="125">
        <v>14917.68</v>
      </c>
      <c r="E1519" s="141"/>
      <c r="F1519" s="141"/>
    </row>
    <row r="1520" spans="2:6" hidden="1" outlineLevel="1" x14ac:dyDescent="0.15">
      <c r="B1520" s="101">
        <v>43263</v>
      </c>
      <c r="C1520" s="125">
        <v>14898.66</v>
      </c>
      <c r="E1520" s="141"/>
      <c r="F1520" s="141"/>
    </row>
    <row r="1521" spans="2:6" hidden="1" outlineLevel="1" x14ac:dyDescent="0.15">
      <c r="B1521" s="101">
        <v>43262</v>
      </c>
      <c r="C1521" s="125">
        <v>14821.8</v>
      </c>
      <c r="E1521" s="141"/>
      <c r="F1521" s="141"/>
    </row>
    <row r="1522" spans="2:6" hidden="1" outlineLevel="1" x14ac:dyDescent="0.15">
      <c r="B1522" s="101">
        <v>43259</v>
      </c>
      <c r="C1522" s="125">
        <v>14795.31</v>
      </c>
      <c r="E1522" s="141"/>
      <c r="F1522" s="141"/>
    </row>
    <row r="1523" spans="2:6" hidden="1" outlineLevel="1" x14ac:dyDescent="0.15">
      <c r="B1523" s="101">
        <v>43258</v>
      </c>
      <c r="C1523" s="125">
        <v>14796.24</v>
      </c>
      <c r="E1523" s="141"/>
      <c r="F1523" s="141"/>
    </row>
    <row r="1524" spans="2:6" hidden="1" outlineLevel="1" x14ac:dyDescent="0.15">
      <c r="B1524" s="101">
        <v>43257</v>
      </c>
      <c r="C1524" s="125">
        <v>14681.25</v>
      </c>
      <c r="E1524" s="141"/>
      <c r="F1524" s="141"/>
    </row>
    <row r="1525" spans="2:6" hidden="1" outlineLevel="1" x14ac:dyDescent="0.15">
      <c r="B1525" s="101">
        <v>43256</v>
      </c>
      <c r="C1525" s="125">
        <v>14555.52</v>
      </c>
      <c r="E1525" s="141"/>
      <c r="F1525" s="141"/>
    </row>
    <row r="1526" spans="2:6" hidden="1" outlineLevel="1" x14ac:dyDescent="0.15">
      <c r="B1526" s="101">
        <v>43255</v>
      </c>
      <c r="C1526" s="125">
        <v>14604.11</v>
      </c>
      <c r="E1526" s="141"/>
      <c r="F1526" s="141"/>
    </row>
    <row r="1527" spans="2:6" hidden="1" outlineLevel="1" x14ac:dyDescent="0.15">
      <c r="B1527" s="101">
        <v>43252</v>
      </c>
      <c r="C1527" s="125">
        <v>14695.4</v>
      </c>
      <c r="E1527" s="141"/>
      <c r="F1527" s="141"/>
    </row>
    <row r="1528" spans="2:6" hidden="1" outlineLevel="1" x14ac:dyDescent="0.15">
      <c r="B1528" s="101">
        <v>43251</v>
      </c>
      <c r="C1528" s="125">
        <v>14750.26</v>
      </c>
      <c r="E1528" s="141"/>
      <c r="F1528" s="141"/>
    </row>
    <row r="1529" spans="2:6" hidden="1" outlineLevel="1" x14ac:dyDescent="0.15">
      <c r="B1529" s="101">
        <v>43250</v>
      </c>
      <c r="C1529" s="125">
        <v>14568.75</v>
      </c>
      <c r="E1529" s="141"/>
      <c r="F1529" s="141"/>
    </row>
    <row r="1530" spans="2:6" hidden="1" outlineLevel="1" x14ac:dyDescent="0.15">
      <c r="B1530" s="101">
        <v>43249</v>
      </c>
      <c r="C1530" s="125">
        <v>14594.78</v>
      </c>
      <c r="E1530" s="141"/>
      <c r="F1530" s="141"/>
    </row>
    <row r="1531" spans="2:6" hidden="1" outlineLevel="1" x14ac:dyDescent="0.15">
      <c r="B1531" s="101">
        <v>43248</v>
      </c>
      <c r="C1531" s="125">
        <v>14670.76</v>
      </c>
      <c r="E1531" s="141"/>
      <c r="F1531" s="141"/>
    </row>
    <row r="1532" spans="2:6" hidden="1" outlineLevel="1" x14ac:dyDescent="0.15">
      <c r="B1532" s="101">
        <v>43245</v>
      </c>
      <c r="C1532" s="125">
        <v>14556.18</v>
      </c>
      <c r="E1532" s="141"/>
      <c r="F1532" s="141"/>
    </row>
    <row r="1533" spans="2:6" hidden="1" outlineLevel="1" x14ac:dyDescent="0.15">
      <c r="B1533" s="101">
        <v>43244</v>
      </c>
      <c r="C1533" s="125">
        <v>14415.65</v>
      </c>
      <c r="E1533" s="141"/>
      <c r="F1533" s="141"/>
    </row>
    <row r="1534" spans="2:6" hidden="1" outlineLevel="1" x14ac:dyDescent="0.15">
      <c r="B1534" s="101">
        <v>43243</v>
      </c>
      <c r="C1534" s="125">
        <v>14301.15</v>
      </c>
      <c r="E1534" s="141"/>
      <c r="F1534" s="141"/>
    </row>
    <row r="1535" spans="2:6" hidden="1" outlineLevel="1" x14ac:dyDescent="0.15">
      <c r="B1535" s="101">
        <v>43242</v>
      </c>
      <c r="C1535" s="125">
        <v>14446.97</v>
      </c>
      <c r="E1535" s="141"/>
      <c r="F1535" s="141"/>
    </row>
    <row r="1536" spans="2:6" hidden="1" outlineLevel="1" x14ac:dyDescent="0.15">
      <c r="B1536" s="101">
        <v>43241</v>
      </c>
      <c r="C1536" s="125">
        <v>14419.57</v>
      </c>
      <c r="E1536" s="141"/>
      <c r="F1536" s="141"/>
    </row>
    <row r="1537" spans="2:6" hidden="1" outlineLevel="1" x14ac:dyDescent="0.15">
      <c r="B1537" s="101">
        <v>43238</v>
      </c>
      <c r="C1537" s="125">
        <v>14528.82</v>
      </c>
      <c r="E1537" s="141"/>
      <c r="F1537" s="141"/>
    </row>
    <row r="1538" spans="2:6" hidden="1" outlineLevel="1" x14ac:dyDescent="0.15">
      <c r="B1538" s="101">
        <v>43237</v>
      </c>
      <c r="C1538" s="125">
        <v>14647.15</v>
      </c>
      <c r="E1538" s="141"/>
      <c r="F1538" s="141"/>
    </row>
    <row r="1539" spans="2:6" hidden="1" outlineLevel="1" x14ac:dyDescent="0.15">
      <c r="B1539" s="101">
        <v>43236</v>
      </c>
      <c r="C1539" s="125">
        <v>14727.26</v>
      </c>
      <c r="E1539" s="141"/>
      <c r="F1539" s="141"/>
    </row>
    <row r="1540" spans="2:6" hidden="1" outlineLevel="1" x14ac:dyDescent="0.15">
      <c r="B1540" s="101">
        <v>43235</v>
      </c>
      <c r="C1540" s="125">
        <v>14810.54</v>
      </c>
      <c r="E1540" s="141"/>
      <c r="F1540" s="141"/>
    </row>
    <row r="1541" spans="2:6" hidden="1" outlineLevel="1" x14ac:dyDescent="0.15">
      <c r="B1541" s="101">
        <v>43234</v>
      </c>
      <c r="C1541" s="125">
        <v>14817.01</v>
      </c>
      <c r="E1541" s="141"/>
      <c r="F1541" s="141"/>
    </row>
    <row r="1542" spans="2:6" hidden="1" outlineLevel="1" x14ac:dyDescent="0.15">
      <c r="B1542" s="101">
        <v>43231</v>
      </c>
      <c r="C1542" s="125">
        <v>14816.93</v>
      </c>
      <c r="E1542" s="141"/>
      <c r="F1542" s="141"/>
    </row>
    <row r="1543" spans="2:6" hidden="1" outlineLevel="1" x14ac:dyDescent="0.15">
      <c r="B1543" s="101">
        <v>43230</v>
      </c>
      <c r="C1543" s="125">
        <v>14693.55</v>
      </c>
      <c r="E1543" s="141"/>
      <c r="F1543" s="141"/>
    </row>
    <row r="1544" spans="2:6" hidden="1" outlineLevel="1" x14ac:dyDescent="0.15">
      <c r="B1544" s="101">
        <v>43229</v>
      </c>
      <c r="C1544" s="125">
        <v>14728.03</v>
      </c>
      <c r="E1544" s="141"/>
      <c r="F1544" s="141"/>
    </row>
    <row r="1545" spans="2:6" hidden="1" outlineLevel="1" x14ac:dyDescent="0.15">
      <c r="B1545" s="101">
        <v>43228</v>
      </c>
      <c r="C1545" s="125">
        <v>14694.93</v>
      </c>
      <c r="E1545" s="141"/>
      <c r="F1545" s="141"/>
    </row>
    <row r="1546" spans="2:6" hidden="1" outlineLevel="1" x14ac:dyDescent="0.15">
      <c r="B1546" s="101">
        <v>43227</v>
      </c>
      <c r="C1546" s="125">
        <v>14691.72</v>
      </c>
      <c r="E1546" s="141"/>
      <c r="F1546" s="141"/>
    </row>
    <row r="1547" spans="2:6" hidden="1" outlineLevel="1" x14ac:dyDescent="0.15">
      <c r="B1547" s="101">
        <v>43224</v>
      </c>
      <c r="C1547" s="125">
        <v>14558.42</v>
      </c>
      <c r="E1547" s="141"/>
      <c r="F1547" s="141"/>
    </row>
    <row r="1548" spans="2:6" hidden="1" outlineLevel="1" x14ac:dyDescent="0.15">
      <c r="B1548" s="101">
        <v>43223</v>
      </c>
      <c r="C1548" s="125">
        <v>14642.62</v>
      </c>
      <c r="E1548" s="141"/>
      <c r="F1548" s="141"/>
    </row>
    <row r="1549" spans="2:6" hidden="1" outlineLevel="1" x14ac:dyDescent="0.15">
      <c r="B1549" s="101">
        <v>43222</v>
      </c>
      <c r="C1549" s="125">
        <v>14695.26</v>
      </c>
      <c r="E1549" s="141"/>
      <c r="F1549" s="141"/>
    </row>
    <row r="1550" spans="2:6" hidden="1" outlineLevel="1" x14ac:dyDescent="0.15">
      <c r="B1550" s="101">
        <v>43220</v>
      </c>
      <c r="C1550" s="125">
        <v>14723.32</v>
      </c>
      <c r="E1550" s="141"/>
      <c r="F1550" s="141"/>
    </row>
    <row r="1551" spans="2:6" hidden="1" outlineLevel="1" x14ac:dyDescent="0.15">
      <c r="B1551" s="101">
        <v>43217</v>
      </c>
      <c r="C1551" s="125">
        <v>14658.83</v>
      </c>
      <c r="E1551" s="141"/>
      <c r="F1551" s="141"/>
    </row>
    <row r="1552" spans="2:6" hidden="1" outlineLevel="1" x14ac:dyDescent="0.15">
      <c r="B1552" s="101">
        <v>43216</v>
      </c>
      <c r="C1552" s="125">
        <v>14556.65</v>
      </c>
      <c r="E1552" s="141"/>
      <c r="F1552" s="141"/>
    </row>
    <row r="1553" spans="2:6" hidden="1" outlineLevel="1" x14ac:dyDescent="0.15">
      <c r="B1553" s="101">
        <v>43215</v>
      </c>
      <c r="C1553" s="125">
        <v>14491.88</v>
      </c>
      <c r="E1553" s="141"/>
      <c r="F1553" s="141"/>
    </row>
    <row r="1554" spans="2:6" hidden="1" outlineLevel="1" x14ac:dyDescent="0.15">
      <c r="B1554" s="101">
        <v>43214</v>
      </c>
      <c r="C1554" s="125">
        <v>14551.96</v>
      </c>
      <c r="E1554" s="141"/>
      <c r="F1554" s="141"/>
    </row>
    <row r="1555" spans="2:6" hidden="1" outlineLevel="1" x14ac:dyDescent="0.15">
      <c r="B1555" s="101">
        <v>43213</v>
      </c>
      <c r="C1555" s="125">
        <v>14511.28</v>
      </c>
      <c r="E1555" s="141"/>
      <c r="F1555" s="141"/>
    </row>
    <row r="1556" spans="2:6" hidden="1" outlineLevel="1" x14ac:dyDescent="0.15">
      <c r="B1556" s="101">
        <v>43210</v>
      </c>
      <c r="C1556" s="125">
        <v>14482.97</v>
      </c>
      <c r="E1556" s="141"/>
      <c r="F1556" s="141"/>
    </row>
    <row r="1557" spans="2:6" hidden="1" outlineLevel="1" x14ac:dyDescent="0.15">
      <c r="B1557" s="101">
        <v>43209</v>
      </c>
      <c r="C1557" s="125">
        <v>14484.7</v>
      </c>
      <c r="E1557" s="141"/>
      <c r="F1557" s="141"/>
    </row>
    <row r="1558" spans="2:6" hidden="1" outlineLevel="1" x14ac:dyDescent="0.15">
      <c r="B1558" s="101">
        <v>43208</v>
      </c>
      <c r="C1558" s="125">
        <v>14431.07</v>
      </c>
      <c r="E1558" s="141"/>
      <c r="F1558" s="141"/>
    </row>
    <row r="1559" spans="2:6" hidden="1" outlineLevel="1" x14ac:dyDescent="0.15">
      <c r="B1559" s="101">
        <v>43207</v>
      </c>
      <c r="C1559" s="125">
        <v>14461.97</v>
      </c>
      <c r="E1559" s="141"/>
      <c r="F1559" s="141"/>
    </row>
    <row r="1560" spans="2:6" hidden="1" outlineLevel="1" x14ac:dyDescent="0.15">
      <c r="B1560" s="101">
        <v>43206</v>
      </c>
      <c r="C1560" s="125">
        <v>14434.05</v>
      </c>
      <c r="E1560" s="141"/>
      <c r="F1560" s="141"/>
    </row>
    <row r="1561" spans="2:6" hidden="1" outlineLevel="1" x14ac:dyDescent="0.15">
      <c r="B1561" s="101">
        <v>43203</v>
      </c>
      <c r="C1561" s="125">
        <v>14368.56</v>
      </c>
      <c r="E1561" s="141"/>
      <c r="F1561" s="141"/>
    </row>
    <row r="1562" spans="2:6" hidden="1" outlineLevel="1" x14ac:dyDescent="0.15">
      <c r="B1562" s="101">
        <v>43202</v>
      </c>
      <c r="C1562" s="125">
        <v>14338.46</v>
      </c>
      <c r="E1562" s="141"/>
      <c r="F1562" s="141"/>
    </row>
    <row r="1563" spans="2:6" hidden="1" outlineLevel="1" x14ac:dyDescent="0.15">
      <c r="B1563" s="101">
        <v>43201</v>
      </c>
      <c r="C1563" s="125">
        <v>14281.6</v>
      </c>
      <c r="E1563" s="141"/>
      <c r="F1563" s="141"/>
    </row>
    <row r="1564" spans="2:6" hidden="1" outlineLevel="1" x14ac:dyDescent="0.15">
      <c r="B1564" s="101">
        <v>43200</v>
      </c>
      <c r="C1564" s="125">
        <v>14261.15</v>
      </c>
      <c r="E1564" s="141"/>
      <c r="F1564" s="141"/>
    </row>
    <row r="1565" spans="2:6" hidden="1" outlineLevel="1" x14ac:dyDescent="0.15">
      <c r="B1565" s="101">
        <v>43199</v>
      </c>
      <c r="C1565" s="125">
        <v>14229.77</v>
      </c>
      <c r="E1565" s="141"/>
      <c r="F1565" s="141"/>
    </row>
    <row r="1566" spans="2:6" hidden="1" outlineLevel="1" x14ac:dyDescent="0.15">
      <c r="B1566" s="101">
        <v>43196</v>
      </c>
      <c r="C1566" s="125">
        <v>14164.28</v>
      </c>
      <c r="E1566" s="141"/>
      <c r="F1566" s="141"/>
    </row>
    <row r="1567" spans="2:6" hidden="1" outlineLevel="1" x14ac:dyDescent="0.15">
      <c r="B1567" s="101">
        <v>43195</v>
      </c>
      <c r="C1567" s="125">
        <v>14155.47</v>
      </c>
      <c r="E1567" s="141"/>
      <c r="F1567" s="141"/>
    </row>
    <row r="1568" spans="2:6" hidden="1" outlineLevel="1" x14ac:dyDescent="0.15">
      <c r="B1568" s="101">
        <v>43194</v>
      </c>
      <c r="C1568" s="125">
        <v>13885.72</v>
      </c>
      <c r="E1568" s="141"/>
      <c r="F1568" s="141"/>
    </row>
    <row r="1569" spans="2:6" hidden="1" outlineLevel="1" x14ac:dyDescent="0.15">
      <c r="B1569" s="101">
        <v>43193</v>
      </c>
      <c r="C1569" s="125">
        <v>14045.55</v>
      </c>
      <c r="E1569" s="141"/>
      <c r="F1569" s="141"/>
    </row>
    <row r="1570" spans="2:6" hidden="1" outlineLevel="1" x14ac:dyDescent="0.15">
      <c r="B1570" s="101">
        <v>43192</v>
      </c>
      <c r="C1570" s="125">
        <v>14000.07</v>
      </c>
      <c r="E1570" s="141"/>
      <c r="F1570" s="141"/>
    </row>
    <row r="1571" spans="2:6" hidden="1" outlineLevel="1" x14ac:dyDescent="0.15">
      <c r="B1571" s="101">
        <v>43187</v>
      </c>
      <c r="C1571" s="125">
        <v>13865.57</v>
      </c>
      <c r="E1571" s="141"/>
      <c r="F1571" s="141"/>
    </row>
    <row r="1572" spans="2:6" hidden="1" outlineLevel="1" x14ac:dyDescent="0.15">
      <c r="B1572" s="101">
        <v>43186</v>
      </c>
      <c r="C1572" s="125">
        <v>13962.15</v>
      </c>
      <c r="E1572" s="141"/>
      <c r="F1572" s="141"/>
    </row>
    <row r="1573" spans="2:6" hidden="1" outlineLevel="1" x14ac:dyDescent="0.15">
      <c r="B1573" s="101">
        <v>43185</v>
      </c>
      <c r="C1573" s="125">
        <v>13888.82</v>
      </c>
      <c r="E1573" s="141"/>
      <c r="F1573" s="141"/>
    </row>
    <row r="1574" spans="2:6" hidden="1" outlineLevel="1" x14ac:dyDescent="0.15">
      <c r="B1574" s="101">
        <v>43182</v>
      </c>
      <c r="C1574" s="125">
        <v>13706.99</v>
      </c>
      <c r="E1574" s="141"/>
      <c r="F1574" s="141"/>
    </row>
    <row r="1575" spans="2:6" hidden="1" outlineLevel="1" x14ac:dyDescent="0.15">
      <c r="B1575" s="101">
        <v>43181</v>
      </c>
      <c r="C1575" s="125">
        <v>13867.01</v>
      </c>
      <c r="E1575" s="141"/>
      <c r="F1575" s="141"/>
    </row>
    <row r="1576" spans="2:6" hidden="1" outlineLevel="1" x14ac:dyDescent="0.15">
      <c r="B1576" s="101">
        <v>43180</v>
      </c>
      <c r="C1576" s="125">
        <v>13920.51</v>
      </c>
      <c r="E1576" s="141"/>
      <c r="F1576" s="141"/>
    </row>
    <row r="1577" spans="2:6" hidden="1" outlineLevel="1" x14ac:dyDescent="0.15">
      <c r="B1577" s="101">
        <v>43179</v>
      </c>
      <c r="C1577" s="125">
        <v>13878.17</v>
      </c>
      <c r="E1577" s="141"/>
      <c r="F1577" s="141"/>
    </row>
    <row r="1578" spans="2:6" hidden="1" outlineLevel="1" x14ac:dyDescent="0.15">
      <c r="B1578" s="101">
        <v>43178</v>
      </c>
      <c r="C1578" s="125">
        <v>13822.99</v>
      </c>
      <c r="E1578" s="141"/>
      <c r="F1578" s="141"/>
    </row>
    <row r="1579" spans="2:6" hidden="1" outlineLevel="1" x14ac:dyDescent="0.15">
      <c r="B1579" s="101">
        <v>43175</v>
      </c>
      <c r="C1579" s="125">
        <v>13961.14</v>
      </c>
      <c r="E1579" s="141"/>
      <c r="F1579" s="141"/>
    </row>
    <row r="1580" spans="2:6" hidden="1" outlineLevel="1" x14ac:dyDescent="0.15">
      <c r="B1580" s="101">
        <v>43174</v>
      </c>
      <c r="C1580" s="125">
        <v>14179.36</v>
      </c>
      <c r="E1580" s="141"/>
      <c r="F1580" s="141"/>
    </row>
    <row r="1581" spans="2:6" hidden="1" outlineLevel="1" x14ac:dyDescent="0.15">
      <c r="B1581" s="101">
        <v>43173</v>
      </c>
      <c r="C1581" s="125">
        <v>14248.81</v>
      </c>
      <c r="E1581" s="141"/>
      <c r="F1581" s="141"/>
    </row>
    <row r="1582" spans="2:6" hidden="1" outlineLevel="1" x14ac:dyDescent="0.15">
      <c r="B1582" s="101">
        <v>43172</v>
      </c>
      <c r="C1582" s="125">
        <v>14270.64</v>
      </c>
      <c r="E1582" s="141"/>
      <c r="F1582" s="141"/>
    </row>
    <row r="1583" spans="2:6" hidden="1" outlineLevel="1" x14ac:dyDescent="0.15">
      <c r="B1583" s="101">
        <v>43171</v>
      </c>
      <c r="C1583" s="125">
        <v>14260.92</v>
      </c>
      <c r="E1583" s="141"/>
      <c r="F1583" s="141"/>
    </row>
    <row r="1584" spans="2:6" hidden="1" outlineLevel="1" x14ac:dyDescent="0.15">
      <c r="B1584" s="101">
        <v>43168</v>
      </c>
      <c r="C1584" s="125">
        <v>13994.68</v>
      </c>
      <c r="E1584" s="141"/>
      <c r="F1584" s="141"/>
    </row>
    <row r="1585" spans="2:6" hidden="1" outlineLevel="1" x14ac:dyDescent="0.15">
      <c r="B1585" s="101">
        <v>43167</v>
      </c>
      <c r="C1585" s="125">
        <v>14016.3</v>
      </c>
      <c r="E1585" s="141"/>
      <c r="F1585" s="141"/>
    </row>
    <row r="1586" spans="2:6" hidden="1" outlineLevel="1" x14ac:dyDescent="0.15">
      <c r="B1586" s="101">
        <v>43166</v>
      </c>
      <c r="C1586" s="125">
        <v>13895.27</v>
      </c>
      <c r="E1586" s="141"/>
      <c r="F1586" s="141"/>
    </row>
    <row r="1587" spans="2:6" hidden="1" outlineLevel="1" x14ac:dyDescent="0.15">
      <c r="B1587" s="101">
        <v>43165</v>
      </c>
      <c r="C1587" s="125">
        <v>14025.34</v>
      </c>
      <c r="E1587" s="141"/>
      <c r="F1587" s="141"/>
    </row>
    <row r="1588" spans="2:6" hidden="1" outlineLevel="1" x14ac:dyDescent="0.15">
      <c r="B1588" s="101">
        <v>43164</v>
      </c>
      <c r="C1588" s="125">
        <v>14175.32</v>
      </c>
      <c r="E1588" s="141"/>
      <c r="F1588" s="141"/>
    </row>
    <row r="1589" spans="2:6" hidden="1" outlineLevel="1" x14ac:dyDescent="0.15">
      <c r="B1589" s="101">
        <v>43160</v>
      </c>
      <c r="C1589" s="125">
        <v>14311.52</v>
      </c>
      <c r="E1589" s="141"/>
      <c r="F1589" s="141"/>
    </row>
    <row r="1590" spans="2:6" hidden="1" outlineLevel="1" x14ac:dyDescent="0.15">
      <c r="B1590" s="101">
        <v>43159</v>
      </c>
      <c r="C1590" s="125">
        <v>14358.71</v>
      </c>
      <c r="E1590" s="141"/>
      <c r="F1590" s="141"/>
    </row>
    <row r="1591" spans="2:6" hidden="1" outlineLevel="1" x14ac:dyDescent="0.15">
      <c r="B1591" s="101">
        <v>43158</v>
      </c>
      <c r="C1591" s="125">
        <v>14438.9</v>
      </c>
      <c r="E1591" s="141"/>
      <c r="F1591" s="141"/>
    </row>
    <row r="1592" spans="2:6" hidden="1" outlineLevel="1" x14ac:dyDescent="0.15">
      <c r="B1592" s="101">
        <v>43157</v>
      </c>
      <c r="C1592" s="125">
        <v>14477.62</v>
      </c>
      <c r="E1592" s="141"/>
      <c r="F1592" s="141"/>
    </row>
    <row r="1593" spans="2:6" hidden="1" outlineLevel="1" x14ac:dyDescent="0.15">
      <c r="B1593" s="101">
        <v>43154</v>
      </c>
      <c r="C1593" s="125">
        <v>14352.4</v>
      </c>
      <c r="E1593" s="141"/>
      <c r="F1593" s="141"/>
    </row>
    <row r="1594" spans="2:6" hidden="1" outlineLevel="1" x14ac:dyDescent="0.15">
      <c r="B1594" s="101">
        <v>43153</v>
      </c>
      <c r="C1594" s="125">
        <v>14204.17</v>
      </c>
      <c r="E1594" s="141"/>
      <c r="F1594" s="141"/>
    </row>
    <row r="1595" spans="2:6" hidden="1" outlineLevel="1" x14ac:dyDescent="0.15">
      <c r="B1595" s="101">
        <v>43152</v>
      </c>
      <c r="C1595" s="125">
        <v>14220.48</v>
      </c>
      <c r="E1595" s="141"/>
      <c r="F1595" s="141"/>
    </row>
    <row r="1596" spans="2:6" hidden="1" outlineLevel="1" x14ac:dyDescent="0.15">
      <c r="B1596" s="101">
        <v>43151</v>
      </c>
      <c r="C1596" s="125">
        <v>14169.77</v>
      </c>
      <c r="E1596" s="141"/>
      <c r="F1596" s="141"/>
    </row>
    <row r="1597" spans="2:6" hidden="1" outlineLevel="1" x14ac:dyDescent="0.15">
      <c r="B1597" s="101">
        <v>43150</v>
      </c>
      <c r="C1597" s="125">
        <v>14194.28</v>
      </c>
      <c r="E1597" s="141"/>
      <c r="F1597" s="141"/>
    </row>
    <row r="1598" spans="2:6" hidden="1" outlineLevel="1" x14ac:dyDescent="0.15">
      <c r="B1598" s="101">
        <v>43147</v>
      </c>
      <c r="C1598" s="125">
        <v>14295.41</v>
      </c>
      <c r="E1598" s="141"/>
      <c r="F1598" s="141"/>
    </row>
    <row r="1599" spans="2:6" hidden="1" outlineLevel="1" x14ac:dyDescent="0.15">
      <c r="B1599" s="101">
        <v>43146</v>
      </c>
      <c r="C1599" s="125">
        <v>14422.85</v>
      </c>
      <c r="E1599" s="141"/>
      <c r="F1599" s="141"/>
    </row>
    <row r="1600" spans="2:6" hidden="1" outlineLevel="1" x14ac:dyDescent="0.15">
      <c r="B1600" s="101">
        <v>43145</v>
      </c>
      <c r="C1600" s="125">
        <v>14359.35</v>
      </c>
      <c r="E1600" s="141"/>
      <c r="F1600" s="141"/>
    </row>
    <row r="1601" spans="2:6" hidden="1" outlineLevel="1" x14ac:dyDescent="0.15">
      <c r="B1601" s="101">
        <v>43143</v>
      </c>
      <c r="C1601" s="125">
        <v>14412.46</v>
      </c>
      <c r="E1601" s="141"/>
      <c r="F1601" s="141"/>
    </row>
    <row r="1602" spans="2:6" hidden="1" outlineLevel="1" x14ac:dyDescent="0.15">
      <c r="B1602" s="101">
        <v>43140</v>
      </c>
      <c r="C1602" s="125">
        <v>14296.5</v>
      </c>
      <c r="E1602" s="141"/>
      <c r="F1602" s="141"/>
    </row>
    <row r="1603" spans="2:6" hidden="1" outlineLevel="1" x14ac:dyDescent="0.15">
      <c r="B1603" s="101">
        <v>43139</v>
      </c>
      <c r="C1603" s="125">
        <v>14463.16</v>
      </c>
      <c r="E1603" s="141"/>
      <c r="F1603" s="141"/>
    </row>
    <row r="1604" spans="2:6" hidden="1" outlineLevel="1" x14ac:dyDescent="0.15">
      <c r="B1604" s="101">
        <v>43138</v>
      </c>
      <c r="C1604" s="125">
        <v>14317.57</v>
      </c>
      <c r="E1604" s="141"/>
      <c r="F1604" s="141"/>
    </row>
    <row r="1605" spans="2:6" hidden="1" outlineLevel="1" x14ac:dyDescent="0.15">
      <c r="B1605" s="101">
        <v>43137</v>
      </c>
      <c r="C1605" s="125">
        <v>14344.02</v>
      </c>
      <c r="E1605" s="141"/>
      <c r="F1605" s="141"/>
    </row>
    <row r="1606" spans="2:6" hidden="1" outlineLevel="1" x14ac:dyDescent="0.15">
      <c r="B1606" s="101">
        <v>43136</v>
      </c>
      <c r="C1606" s="125">
        <v>14574</v>
      </c>
      <c r="E1606" s="141"/>
      <c r="F1606" s="141"/>
    </row>
    <row r="1607" spans="2:6" hidden="1" outlineLevel="1" x14ac:dyDescent="0.15">
      <c r="B1607" s="101">
        <v>43133</v>
      </c>
      <c r="C1607" s="125">
        <v>14702.49</v>
      </c>
      <c r="E1607" s="141"/>
      <c r="F1607" s="141"/>
    </row>
    <row r="1608" spans="2:6" hidden="1" outlineLevel="1" x14ac:dyDescent="0.15">
      <c r="B1608" s="101">
        <v>43132</v>
      </c>
      <c r="C1608" s="125">
        <v>15052.72</v>
      </c>
      <c r="E1608" s="141"/>
      <c r="F1608" s="141"/>
    </row>
    <row r="1609" spans="2:6" hidden="1" outlineLevel="1" x14ac:dyDescent="0.15">
      <c r="B1609" s="101">
        <v>43131</v>
      </c>
      <c r="C1609" s="125">
        <v>15065.82</v>
      </c>
      <c r="E1609" s="141"/>
      <c r="F1609" s="141"/>
    </row>
    <row r="1610" spans="2:6" hidden="1" outlineLevel="1" x14ac:dyDescent="0.15">
      <c r="B1610" s="101">
        <v>43130</v>
      </c>
      <c r="C1610" s="125">
        <v>15095.42</v>
      </c>
      <c r="E1610" s="141"/>
      <c r="F1610" s="141"/>
    </row>
    <row r="1611" spans="2:6" hidden="1" outlineLevel="1" x14ac:dyDescent="0.15">
      <c r="B1611" s="101">
        <v>43129</v>
      </c>
      <c r="C1611" s="125">
        <v>15204.42</v>
      </c>
      <c r="E1611" s="141"/>
      <c r="F1611" s="141"/>
    </row>
    <row r="1612" spans="2:6" hidden="1" outlineLevel="1" x14ac:dyDescent="0.15">
      <c r="B1612" s="101">
        <v>43125</v>
      </c>
      <c r="C1612" s="125">
        <v>15121</v>
      </c>
      <c r="E1612" s="141"/>
      <c r="F1612" s="141"/>
    </row>
    <row r="1613" spans="2:6" hidden="1" outlineLevel="1" x14ac:dyDescent="0.15">
      <c r="B1613" s="101">
        <v>43124</v>
      </c>
      <c r="C1613" s="125">
        <v>15143.35</v>
      </c>
      <c r="E1613" s="141"/>
      <c r="F1613" s="141"/>
    </row>
    <row r="1614" spans="2:6" hidden="1" outlineLevel="1" x14ac:dyDescent="0.15">
      <c r="B1614" s="101">
        <v>43123</v>
      </c>
      <c r="C1614" s="125">
        <v>15140.24</v>
      </c>
      <c r="E1614" s="141"/>
      <c r="F1614" s="141"/>
    </row>
    <row r="1615" spans="2:6" hidden="1" outlineLevel="1" x14ac:dyDescent="0.15">
      <c r="B1615" s="101">
        <v>43122</v>
      </c>
      <c r="C1615" s="125">
        <v>14979.72</v>
      </c>
      <c r="E1615" s="141"/>
      <c r="F1615" s="141"/>
    </row>
    <row r="1616" spans="2:6" hidden="1" outlineLevel="1" x14ac:dyDescent="0.15">
      <c r="B1616" s="101">
        <v>43119</v>
      </c>
      <c r="C1616" s="125">
        <v>14880.8</v>
      </c>
      <c r="E1616" s="141"/>
      <c r="F1616" s="141"/>
    </row>
    <row r="1617" spans="2:6" hidden="1" outlineLevel="1" x14ac:dyDescent="0.15">
      <c r="B1617" s="101">
        <v>43118</v>
      </c>
      <c r="C1617" s="125">
        <v>14774.67</v>
      </c>
      <c r="E1617" s="141"/>
      <c r="F1617" s="141"/>
    </row>
    <row r="1618" spans="2:6" hidden="1" outlineLevel="1" x14ac:dyDescent="0.15">
      <c r="B1618" s="101">
        <v>43117</v>
      </c>
      <c r="C1618" s="125">
        <v>14734.07</v>
      </c>
      <c r="E1618" s="141"/>
      <c r="F1618" s="141"/>
    </row>
    <row r="1619" spans="2:6" hidden="1" outlineLevel="1" x14ac:dyDescent="0.15">
      <c r="B1619" s="101">
        <v>43116</v>
      </c>
      <c r="C1619" s="125">
        <v>14613.79</v>
      </c>
      <c r="E1619" s="141"/>
      <c r="F1619" s="141"/>
    </row>
    <row r="1620" spans="2:6" hidden="1" outlineLevel="1" x14ac:dyDescent="0.15">
      <c r="B1620" s="101">
        <v>43115</v>
      </c>
      <c r="C1620" s="125">
        <v>14669.9</v>
      </c>
      <c r="E1620" s="141"/>
      <c r="F1620" s="141"/>
    </row>
    <row r="1621" spans="2:6" hidden="1" outlineLevel="1" x14ac:dyDescent="0.15">
      <c r="B1621" s="101">
        <v>43112</v>
      </c>
      <c r="C1621" s="125">
        <v>14587.54</v>
      </c>
      <c r="E1621" s="141"/>
      <c r="F1621" s="141"/>
    </row>
    <row r="1622" spans="2:6" hidden="1" outlineLevel="1" x14ac:dyDescent="0.15">
      <c r="B1622" s="101">
        <v>43111</v>
      </c>
      <c r="C1622" s="125">
        <v>14546.49</v>
      </c>
      <c r="E1622" s="141"/>
      <c r="F1622" s="141"/>
    </row>
    <row r="1623" spans="2:6" hidden="1" outlineLevel="1" x14ac:dyDescent="0.15">
      <c r="B1623" s="101">
        <v>43110</v>
      </c>
      <c r="C1623" s="125">
        <v>14520.56</v>
      </c>
      <c r="E1623" s="141"/>
      <c r="F1623" s="141"/>
    </row>
    <row r="1624" spans="2:6" hidden="1" outlineLevel="1" x14ac:dyDescent="0.15">
      <c r="B1624" s="101">
        <v>43109</v>
      </c>
      <c r="C1624" s="125">
        <v>14527.15</v>
      </c>
      <c r="E1624" s="141"/>
      <c r="F1624" s="141"/>
    </row>
    <row r="1625" spans="2:6" hidden="1" outlineLevel="1" x14ac:dyDescent="0.15">
      <c r="B1625" s="101">
        <v>43108</v>
      </c>
      <c r="C1625" s="125">
        <v>14508.81</v>
      </c>
      <c r="E1625" s="141"/>
      <c r="F1625" s="141"/>
    </row>
    <row r="1626" spans="2:6" hidden="1" outlineLevel="1" x14ac:dyDescent="0.15">
      <c r="B1626" s="101">
        <v>43105</v>
      </c>
      <c r="C1626" s="125">
        <v>14420.42</v>
      </c>
      <c r="E1626" s="141"/>
      <c r="F1626" s="141"/>
    </row>
    <row r="1627" spans="2:6" hidden="1" outlineLevel="1" x14ac:dyDescent="0.15">
      <c r="B1627" s="101">
        <v>43104</v>
      </c>
      <c r="C1627" s="125">
        <v>14346.59</v>
      </c>
      <c r="E1627" s="141"/>
      <c r="F1627" s="141"/>
    </row>
    <row r="1628" spans="2:6" hidden="1" outlineLevel="1" x14ac:dyDescent="0.15">
      <c r="B1628" s="101">
        <v>43103</v>
      </c>
      <c r="C1628" s="125">
        <v>14262.48</v>
      </c>
      <c r="E1628" s="141"/>
      <c r="F1628" s="141"/>
    </row>
    <row r="1629" spans="2:6" hidden="1" outlineLevel="1" x14ac:dyDescent="0.15">
      <c r="B1629" s="101">
        <v>43102</v>
      </c>
      <c r="C1629" s="125">
        <v>14261.1</v>
      </c>
      <c r="E1629" s="141"/>
      <c r="F1629" s="141"/>
    </row>
    <row r="1630" spans="2:6" hidden="1" outlineLevel="1" x14ac:dyDescent="0.15">
      <c r="B1630" s="101">
        <v>43101</v>
      </c>
      <c r="C1630" s="125">
        <v>14252.02</v>
      </c>
      <c r="E1630" s="141"/>
      <c r="F1630" s="141"/>
    </row>
    <row r="1631" spans="2:6" hidden="1" outlineLevel="1" x14ac:dyDescent="0.15">
      <c r="B1631" s="101">
        <v>43098</v>
      </c>
      <c r="C1631" s="125">
        <v>14381.92</v>
      </c>
      <c r="E1631" s="141"/>
      <c r="F1631" s="141"/>
    </row>
    <row r="1632" spans="2:6" hidden="1" outlineLevel="1" x14ac:dyDescent="0.15">
      <c r="B1632" s="101">
        <v>43097</v>
      </c>
      <c r="C1632" s="125">
        <v>14309.85</v>
      </c>
      <c r="E1632" s="141"/>
      <c r="F1632" s="141"/>
    </row>
    <row r="1633" spans="2:6" hidden="1" outlineLevel="1" x14ac:dyDescent="0.15">
      <c r="B1633" s="101">
        <v>43096</v>
      </c>
      <c r="C1633" s="125">
        <v>14327.42</v>
      </c>
      <c r="E1633" s="141"/>
      <c r="F1633" s="141"/>
    </row>
    <row r="1634" spans="2:6" hidden="1" outlineLevel="1" x14ac:dyDescent="0.15">
      <c r="B1634" s="101">
        <v>43095</v>
      </c>
      <c r="C1634" s="125">
        <v>14383.04</v>
      </c>
      <c r="E1634" s="141"/>
      <c r="F1634" s="141"/>
    </row>
    <row r="1635" spans="2:6" hidden="1" outlineLevel="1" x14ac:dyDescent="0.15">
      <c r="B1635" s="101">
        <v>43091</v>
      </c>
      <c r="C1635" s="125">
        <v>14330.49</v>
      </c>
      <c r="E1635" s="141"/>
      <c r="F1635" s="141"/>
    </row>
    <row r="1636" spans="2:6" hidden="1" outlineLevel="1" x14ac:dyDescent="0.15">
      <c r="B1636" s="101">
        <v>43090</v>
      </c>
      <c r="C1636" s="125">
        <v>14258.49</v>
      </c>
      <c r="E1636" s="141"/>
      <c r="F1636" s="141"/>
    </row>
    <row r="1637" spans="2:6" hidden="1" outlineLevel="1" x14ac:dyDescent="0.15">
      <c r="B1637" s="101">
        <v>43089</v>
      </c>
      <c r="C1637" s="125">
        <v>14263.81</v>
      </c>
      <c r="E1637" s="141"/>
      <c r="F1637" s="141"/>
    </row>
    <row r="1638" spans="2:6" hidden="1" outlineLevel="1" x14ac:dyDescent="0.15">
      <c r="B1638" s="101">
        <v>43088</v>
      </c>
      <c r="C1638" s="125">
        <v>14289.76</v>
      </c>
      <c r="E1638" s="141"/>
      <c r="F1638" s="141"/>
    </row>
    <row r="1639" spans="2:6" hidden="1" outlineLevel="1" x14ac:dyDescent="0.15">
      <c r="B1639" s="101">
        <v>43087</v>
      </c>
      <c r="C1639" s="125">
        <v>14188.11</v>
      </c>
      <c r="E1639" s="141"/>
      <c r="F1639" s="141"/>
    </row>
    <row r="1640" spans="2:6" hidden="1" outlineLevel="1" x14ac:dyDescent="0.15">
      <c r="B1640" s="101">
        <v>43084</v>
      </c>
      <c r="C1640" s="125">
        <v>14112.3</v>
      </c>
      <c r="E1640" s="141"/>
      <c r="F1640" s="141"/>
    </row>
    <row r="1641" spans="2:6" hidden="1" outlineLevel="1" x14ac:dyDescent="0.15">
      <c r="B1641" s="101">
        <v>43083</v>
      </c>
      <c r="C1641" s="125">
        <v>14001.49</v>
      </c>
      <c r="E1641" s="141"/>
      <c r="F1641" s="141"/>
    </row>
    <row r="1642" spans="2:6" hidden="1" outlineLevel="1" x14ac:dyDescent="0.15">
      <c r="B1642" s="101">
        <v>43082</v>
      </c>
      <c r="C1642" s="125">
        <v>13920.69</v>
      </c>
      <c r="E1642" s="141"/>
      <c r="F1642" s="141"/>
    </row>
    <row r="1643" spans="2:6" hidden="1" outlineLevel="1" x14ac:dyDescent="0.15">
      <c r="B1643" s="101">
        <v>43081</v>
      </c>
      <c r="C1643" s="125">
        <v>13985.11</v>
      </c>
      <c r="E1643" s="141"/>
      <c r="F1643" s="141"/>
    </row>
    <row r="1644" spans="2:6" hidden="1" outlineLevel="1" x14ac:dyDescent="0.15">
      <c r="B1644" s="101">
        <v>43080</v>
      </c>
      <c r="C1644" s="125">
        <v>14097.29</v>
      </c>
      <c r="E1644" s="141"/>
      <c r="F1644" s="141"/>
    </row>
    <row r="1645" spans="2:6" hidden="1" outlineLevel="1" x14ac:dyDescent="0.15">
      <c r="B1645" s="101">
        <v>43077</v>
      </c>
      <c r="C1645" s="125">
        <v>14019.95</v>
      </c>
      <c r="E1645" s="141"/>
      <c r="F1645" s="141"/>
    </row>
    <row r="1646" spans="2:6" hidden="1" outlineLevel="1" x14ac:dyDescent="0.15">
      <c r="B1646" s="101">
        <v>43076</v>
      </c>
      <c r="C1646" s="125">
        <v>13884.82</v>
      </c>
      <c r="E1646" s="141"/>
      <c r="F1646" s="141"/>
    </row>
    <row r="1647" spans="2:6" hidden="1" outlineLevel="1" x14ac:dyDescent="0.15">
      <c r="B1647" s="101">
        <v>43075</v>
      </c>
      <c r="C1647" s="125">
        <v>13717.36</v>
      </c>
      <c r="E1647" s="141"/>
      <c r="F1647" s="141"/>
    </row>
    <row r="1648" spans="2:6" hidden="1" outlineLevel="1" x14ac:dyDescent="0.15">
      <c r="B1648" s="101">
        <v>43074</v>
      </c>
      <c r="C1648" s="125">
        <v>13818.67</v>
      </c>
      <c r="E1648" s="141"/>
      <c r="F1648" s="141"/>
    </row>
    <row r="1649" spans="2:6" hidden="1" outlineLevel="1" x14ac:dyDescent="0.15">
      <c r="B1649" s="101">
        <v>43073</v>
      </c>
      <c r="C1649" s="125">
        <v>13831.66</v>
      </c>
      <c r="E1649" s="141"/>
      <c r="F1649" s="141"/>
    </row>
    <row r="1650" spans="2:6" hidden="1" outlineLevel="1" x14ac:dyDescent="0.15">
      <c r="B1650" s="101">
        <v>43070</v>
      </c>
      <c r="C1650" s="125">
        <v>13823.52</v>
      </c>
      <c r="E1650" s="141"/>
      <c r="F1650" s="141"/>
    </row>
    <row r="1651" spans="2:6" hidden="1" outlineLevel="1" x14ac:dyDescent="0.15">
      <c r="B1651" s="101">
        <v>43069</v>
      </c>
      <c r="C1651" s="125">
        <v>13966.58</v>
      </c>
      <c r="E1651" s="141"/>
      <c r="F1651" s="141"/>
    </row>
    <row r="1652" spans="2:6" hidden="1" outlineLevel="1" x14ac:dyDescent="0.15">
      <c r="B1652" s="101">
        <v>43068</v>
      </c>
      <c r="C1652" s="125">
        <v>14150.6</v>
      </c>
      <c r="E1652" s="141"/>
      <c r="F1652" s="141"/>
    </row>
    <row r="1653" spans="2:6" hidden="1" outlineLevel="1" x14ac:dyDescent="0.15">
      <c r="B1653" s="101">
        <v>43067</v>
      </c>
      <c r="C1653" s="125">
        <v>14162.79</v>
      </c>
      <c r="E1653" s="141"/>
      <c r="F1653" s="141"/>
    </row>
    <row r="1654" spans="2:6" hidden="1" outlineLevel="1" x14ac:dyDescent="0.15">
      <c r="B1654" s="101">
        <v>43066</v>
      </c>
      <c r="C1654" s="125">
        <v>14202.82</v>
      </c>
      <c r="E1654" s="141"/>
      <c r="F1654" s="141"/>
    </row>
    <row r="1655" spans="2:6" hidden="1" outlineLevel="1" x14ac:dyDescent="0.15">
      <c r="B1655" s="101">
        <v>43063</v>
      </c>
      <c r="C1655" s="125">
        <v>14189.41</v>
      </c>
      <c r="E1655" s="141"/>
      <c r="F1655" s="141"/>
    </row>
    <row r="1656" spans="2:6" hidden="1" outlineLevel="1" x14ac:dyDescent="0.15">
      <c r="B1656" s="101">
        <v>43062</v>
      </c>
      <c r="C1656" s="125">
        <v>14133.47</v>
      </c>
      <c r="E1656" s="141"/>
      <c r="F1656" s="141"/>
    </row>
    <row r="1657" spans="2:6" hidden="1" outlineLevel="1" x14ac:dyDescent="0.15">
      <c r="B1657" s="101">
        <v>43061</v>
      </c>
      <c r="C1657" s="125">
        <v>14124.68</v>
      </c>
      <c r="E1657" s="141"/>
      <c r="F1657" s="141"/>
    </row>
    <row r="1658" spans="2:6" hidden="1" outlineLevel="1" x14ac:dyDescent="0.15">
      <c r="B1658" s="101">
        <v>43060</v>
      </c>
      <c r="C1658" s="125">
        <v>14103.64</v>
      </c>
      <c r="E1658" s="141"/>
      <c r="F1658" s="141"/>
    </row>
    <row r="1659" spans="2:6" hidden="1" outlineLevel="1" x14ac:dyDescent="0.15">
      <c r="B1659" s="101">
        <v>43059</v>
      </c>
      <c r="C1659" s="125">
        <v>14065.05</v>
      </c>
      <c r="E1659" s="141"/>
      <c r="F1659" s="141"/>
    </row>
    <row r="1660" spans="2:6" hidden="1" outlineLevel="1" x14ac:dyDescent="0.15">
      <c r="B1660" s="101">
        <v>43056</v>
      </c>
      <c r="C1660" s="125">
        <v>14044.32</v>
      </c>
      <c r="E1660" s="141"/>
      <c r="F1660" s="141"/>
    </row>
    <row r="1661" spans="2:6" hidden="1" outlineLevel="1" x14ac:dyDescent="0.15">
      <c r="B1661" s="101">
        <v>43055</v>
      </c>
      <c r="C1661" s="125">
        <v>13950.33</v>
      </c>
      <c r="E1661" s="141"/>
      <c r="F1661" s="141"/>
    </row>
    <row r="1662" spans="2:6" hidden="1" outlineLevel="1" x14ac:dyDescent="0.15">
      <c r="B1662" s="101">
        <v>43054</v>
      </c>
      <c r="C1662" s="125">
        <v>13818.25</v>
      </c>
      <c r="E1662" s="141"/>
      <c r="F1662" s="141"/>
    </row>
    <row r="1663" spans="2:6" hidden="1" outlineLevel="1" x14ac:dyDescent="0.15">
      <c r="B1663" s="101">
        <v>43053</v>
      </c>
      <c r="C1663" s="125">
        <v>13911.87</v>
      </c>
      <c r="E1663" s="141"/>
      <c r="F1663" s="141"/>
    </row>
    <row r="1664" spans="2:6" hidden="1" outlineLevel="1" x14ac:dyDescent="0.15">
      <c r="B1664" s="101">
        <v>43052</v>
      </c>
      <c r="C1664" s="125">
        <v>13964.26</v>
      </c>
      <c r="E1664" s="141"/>
      <c r="F1664" s="141"/>
    </row>
    <row r="1665" spans="2:6" hidden="1" outlineLevel="1" x14ac:dyDescent="0.15">
      <c r="B1665" s="101">
        <v>43049</v>
      </c>
      <c r="C1665" s="125">
        <v>14096.45</v>
      </c>
      <c r="E1665" s="141"/>
      <c r="F1665" s="141"/>
    </row>
    <row r="1666" spans="2:6" hidden="1" outlineLevel="1" x14ac:dyDescent="0.15">
      <c r="B1666" s="101">
        <v>43048</v>
      </c>
      <c r="C1666" s="125">
        <v>14078.98</v>
      </c>
      <c r="E1666" s="141"/>
      <c r="F1666" s="141"/>
    </row>
    <row r="1667" spans="2:6" hidden="1" outlineLevel="1" x14ac:dyDescent="0.15">
      <c r="B1667" s="101">
        <v>43047</v>
      </c>
      <c r="C1667" s="125">
        <v>14071.02</v>
      </c>
      <c r="E1667" s="141"/>
      <c r="F1667" s="141"/>
    </row>
    <row r="1668" spans="2:6" hidden="1" outlineLevel="1" x14ac:dyDescent="0.15">
      <c r="B1668" s="101">
        <v>43046</v>
      </c>
      <c r="C1668" s="125">
        <v>14135.23</v>
      </c>
      <c r="E1668" s="141"/>
      <c r="F1668" s="141"/>
    </row>
    <row r="1669" spans="2:6" hidden="1" outlineLevel="1" x14ac:dyDescent="0.15">
      <c r="B1669" s="101">
        <v>43045</v>
      </c>
      <c r="C1669" s="125">
        <v>14274.03</v>
      </c>
      <c r="E1669" s="141"/>
      <c r="F1669" s="141"/>
    </row>
    <row r="1670" spans="2:6" hidden="1" outlineLevel="1" x14ac:dyDescent="0.15">
      <c r="B1670" s="101">
        <v>43042</v>
      </c>
      <c r="C1670" s="125">
        <v>14274.97</v>
      </c>
      <c r="E1670" s="141"/>
      <c r="F1670" s="141"/>
    </row>
    <row r="1671" spans="2:6" hidden="1" outlineLevel="1" x14ac:dyDescent="0.15">
      <c r="B1671" s="101">
        <v>43041</v>
      </c>
      <c r="C1671" s="125">
        <v>14232.79</v>
      </c>
      <c r="E1671" s="141"/>
      <c r="F1671" s="141"/>
    </row>
    <row r="1672" spans="2:6" hidden="1" outlineLevel="1" x14ac:dyDescent="0.15">
      <c r="B1672" s="101">
        <v>43040</v>
      </c>
      <c r="C1672" s="125">
        <v>14255.58</v>
      </c>
      <c r="E1672" s="141"/>
      <c r="F1672" s="141"/>
    </row>
    <row r="1673" spans="2:6" hidden="1" outlineLevel="1" x14ac:dyDescent="0.15">
      <c r="B1673" s="101">
        <v>43039</v>
      </c>
      <c r="C1673" s="125">
        <v>14108.55</v>
      </c>
      <c r="E1673" s="141"/>
      <c r="F1673" s="141"/>
    </row>
    <row r="1674" spans="2:6" hidden="1" outlineLevel="1" x14ac:dyDescent="0.15">
      <c r="B1674" s="101">
        <v>43038</v>
      </c>
      <c r="C1674" s="125">
        <v>14137.62</v>
      </c>
      <c r="E1674" s="141"/>
      <c r="F1674" s="141"/>
    </row>
    <row r="1675" spans="2:6" hidden="1" outlineLevel="1" x14ac:dyDescent="0.15">
      <c r="B1675" s="101">
        <v>43035</v>
      </c>
      <c r="C1675" s="125">
        <v>14082.21</v>
      </c>
      <c r="E1675" s="141"/>
      <c r="F1675" s="141"/>
    </row>
    <row r="1676" spans="2:6" hidden="1" outlineLevel="1" x14ac:dyDescent="0.15">
      <c r="B1676" s="101">
        <v>43034</v>
      </c>
      <c r="C1676" s="125">
        <v>14110.5</v>
      </c>
      <c r="E1676" s="141"/>
      <c r="F1676" s="141"/>
    </row>
    <row r="1677" spans="2:6" hidden="1" outlineLevel="1" x14ac:dyDescent="0.15">
      <c r="B1677" s="101">
        <v>43033</v>
      </c>
      <c r="C1677" s="125">
        <v>14044.44</v>
      </c>
      <c r="E1677" s="141"/>
      <c r="F1677" s="141"/>
    </row>
    <row r="1678" spans="2:6" hidden="1" outlineLevel="1" x14ac:dyDescent="0.15">
      <c r="B1678" s="101">
        <v>43032</v>
      </c>
      <c r="C1678" s="125">
        <v>13923.61</v>
      </c>
      <c r="E1678" s="141"/>
      <c r="F1678" s="141"/>
    </row>
    <row r="1679" spans="2:6" hidden="1" outlineLevel="1" x14ac:dyDescent="0.15">
      <c r="B1679" s="101">
        <v>43031</v>
      </c>
      <c r="C1679" s="125">
        <v>13892.48</v>
      </c>
      <c r="E1679" s="141"/>
      <c r="F1679" s="141"/>
    </row>
    <row r="1680" spans="2:6" hidden="1" outlineLevel="1" x14ac:dyDescent="0.15">
      <c r="B1680" s="101">
        <v>43027</v>
      </c>
      <c r="C1680" s="125">
        <v>13840.24</v>
      </c>
      <c r="E1680" s="141"/>
      <c r="F1680" s="141"/>
    </row>
    <row r="1681" spans="2:6" hidden="1" outlineLevel="1" x14ac:dyDescent="0.15">
      <c r="B1681" s="101">
        <v>43026</v>
      </c>
      <c r="C1681" s="125">
        <v>13927.92</v>
      </c>
      <c r="E1681" s="141"/>
      <c r="F1681" s="141"/>
    </row>
    <row r="1682" spans="2:6" hidden="1" outlineLevel="1" x14ac:dyDescent="0.15">
      <c r="B1682" s="101">
        <v>43025</v>
      </c>
      <c r="C1682" s="125">
        <v>13960.09</v>
      </c>
      <c r="E1682" s="141"/>
      <c r="F1682" s="141"/>
    </row>
    <row r="1683" spans="2:6" hidden="1" outlineLevel="1" x14ac:dyDescent="0.15">
      <c r="B1683" s="101">
        <v>43024</v>
      </c>
      <c r="C1683" s="125">
        <v>13955.22</v>
      </c>
      <c r="E1683" s="141"/>
      <c r="F1683" s="141"/>
    </row>
    <row r="1684" spans="2:6" hidden="1" outlineLevel="1" x14ac:dyDescent="0.15">
      <c r="B1684" s="101">
        <v>43021</v>
      </c>
      <c r="C1684" s="125">
        <v>13868.7</v>
      </c>
      <c r="E1684" s="141"/>
      <c r="F1684" s="141"/>
    </row>
    <row r="1685" spans="2:6" hidden="1" outlineLevel="1" x14ac:dyDescent="0.15">
      <c r="B1685" s="101">
        <v>43020</v>
      </c>
      <c r="C1685" s="125">
        <v>13771.84</v>
      </c>
      <c r="E1685" s="141"/>
      <c r="F1685" s="141"/>
    </row>
    <row r="1686" spans="2:6" hidden="1" outlineLevel="1" x14ac:dyDescent="0.15">
      <c r="B1686" s="101">
        <v>43019</v>
      </c>
      <c r="C1686" s="125">
        <v>13619.62</v>
      </c>
      <c r="E1686" s="141"/>
      <c r="F1686" s="141"/>
    </row>
    <row r="1687" spans="2:6" hidden="1" outlineLevel="1" x14ac:dyDescent="0.15">
      <c r="B1687" s="101">
        <v>43018</v>
      </c>
      <c r="C1687" s="125">
        <v>13663.44</v>
      </c>
      <c r="E1687" s="141"/>
      <c r="F1687" s="141"/>
    </row>
    <row r="1688" spans="2:6" hidden="1" outlineLevel="1" x14ac:dyDescent="0.15">
      <c r="B1688" s="101">
        <v>43017</v>
      </c>
      <c r="C1688" s="125">
        <v>13625</v>
      </c>
      <c r="E1688" s="141"/>
      <c r="F1688" s="141"/>
    </row>
    <row r="1689" spans="2:6" hidden="1" outlineLevel="1" x14ac:dyDescent="0.15">
      <c r="B1689" s="101">
        <v>43014</v>
      </c>
      <c r="C1689" s="125">
        <v>13612.63</v>
      </c>
      <c r="E1689" s="141"/>
      <c r="F1689" s="141"/>
    </row>
    <row r="1690" spans="2:6" hidden="1" outlineLevel="1" x14ac:dyDescent="0.15">
      <c r="B1690" s="101">
        <v>43013</v>
      </c>
      <c r="C1690" s="125">
        <v>13488.48</v>
      </c>
      <c r="E1690" s="141"/>
      <c r="F1690" s="141"/>
    </row>
    <row r="1691" spans="2:6" hidden="1" outlineLevel="1" x14ac:dyDescent="0.15">
      <c r="B1691" s="101">
        <v>43012</v>
      </c>
      <c r="C1691" s="125">
        <v>13524.27</v>
      </c>
      <c r="E1691" s="141"/>
      <c r="F1691" s="141"/>
    </row>
    <row r="1692" spans="2:6" hidden="1" outlineLevel="1" x14ac:dyDescent="0.15">
      <c r="B1692" s="101">
        <v>43011</v>
      </c>
      <c r="C1692" s="125">
        <v>13448.66</v>
      </c>
      <c r="E1692" s="141"/>
      <c r="F1692" s="141"/>
    </row>
    <row r="1693" spans="2:6" hidden="1" outlineLevel="1" x14ac:dyDescent="0.15">
      <c r="B1693" s="101">
        <v>43007</v>
      </c>
      <c r="C1693" s="125">
        <v>13351.99</v>
      </c>
      <c r="E1693" s="141"/>
      <c r="F1693" s="141"/>
    </row>
    <row r="1694" spans="2:6" hidden="1" outlineLevel="1" x14ac:dyDescent="0.15">
      <c r="B1694" s="101">
        <v>43006</v>
      </c>
      <c r="C1694" s="125">
        <v>13325.16</v>
      </c>
      <c r="E1694" s="141"/>
      <c r="F1694" s="141"/>
    </row>
    <row r="1695" spans="2:6" hidden="1" outlineLevel="1" x14ac:dyDescent="0.15">
      <c r="B1695" s="101">
        <v>43005</v>
      </c>
      <c r="C1695" s="125">
        <v>13279.85</v>
      </c>
      <c r="E1695" s="141"/>
      <c r="F1695" s="141"/>
    </row>
    <row r="1696" spans="2:6" hidden="1" outlineLevel="1" x14ac:dyDescent="0.15">
      <c r="B1696" s="101">
        <v>43004</v>
      </c>
      <c r="C1696" s="125">
        <v>13465.07</v>
      </c>
      <c r="E1696" s="141"/>
      <c r="F1696" s="141"/>
    </row>
    <row r="1697" spans="2:6" hidden="1" outlineLevel="1" x14ac:dyDescent="0.15">
      <c r="B1697" s="101">
        <v>43003</v>
      </c>
      <c r="C1697" s="125">
        <v>13466.53</v>
      </c>
      <c r="E1697" s="141"/>
      <c r="F1697" s="141"/>
    </row>
    <row r="1698" spans="2:6" hidden="1" outlineLevel="1" x14ac:dyDescent="0.15">
      <c r="B1698" s="101">
        <v>43000</v>
      </c>
      <c r="C1698" s="125">
        <v>13591.79</v>
      </c>
      <c r="E1698" s="141"/>
      <c r="F1698" s="141"/>
    </row>
    <row r="1699" spans="2:6" hidden="1" outlineLevel="1" x14ac:dyDescent="0.15">
      <c r="B1699" s="101">
        <v>42999</v>
      </c>
      <c r="C1699" s="125">
        <v>13806.6</v>
      </c>
      <c r="E1699" s="141"/>
      <c r="F1699" s="141"/>
    </row>
    <row r="1700" spans="2:6" hidden="1" outlineLevel="1" x14ac:dyDescent="0.15">
      <c r="B1700" s="101">
        <v>42998</v>
      </c>
      <c r="C1700" s="125">
        <v>13832.04</v>
      </c>
      <c r="E1700" s="141"/>
      <c r="F1700" s="141"/>
    </row>
    <row r="1701" spans="2:6" hidden="1" outlineLevel="1" x14ac:dyDescent="0.15">
      <c r="B1701" s="101">
        <v>42997</v>
      </c>
      <c r="C1701" s="125">
        <v>13840.78</v>
      </c>
      <c r="E1701" s="141"/>
      <c r="F1701" s="141"/>
    </row>
    <row r="1702" spans="2:6" hidden="1" outlineLevel="1" x14ac:dyDescent="0.15">
      <c r="B1702" s="101">
        <v>42996</v>
      </c>
      <c r="C1702" s="125">
        <v>13848.34</v>
      </c>
      <c r="E1702" s="141"/>
      <c r="F1702" s="141"/>
    </row>
    <row r="1703" spans="2:6" hidden="1" outlineLevel="1" x14ac:dyDescent="0.15">
      <c r="B1703" s="101">
        <v>42993</v>
      </c>
      <c r="C1703" s="125">
        <v>13754.62</v>
      </c>
      <c r="E1703" s="141"/>
      <c r="F1703" s="141"/>
    </row>
    <row r="1704" spans="2:6" hidden="1" outlineLevel="1" x14ac:dyDescent="0.15">
      <c r="B1704" s="101">
        <v>42992</v>
      </c>
      <c r="C1704" s="125">
        <v>13756.28</v>
      </c>
      <c r="E1704" s="141"/>
      <c r="F1704" s="141"/>
    </row>
    <row r="1705" spans="2:6" hidden="1" outlineLevel="1" x14ac:dyDescent="0.15">
      <c r="B1705" s="101">
        <v>42991</v>
      </c>
      <c r="C1705" s="125">
        <v>13746.3</v>
      </c>
      <c r="E1705" s="141"/>
      <c r="F1705" s="141"/>
    </row>
    <row r="1706" spans="2:6" hidden="1" outlineLevel="1" x14ac:dyDescent="0.15">
      <c r="B1706" s="101">
        <v>42990</v>
      </c>
      <c r="C1706" s="125">
        <v>13765.03</v>
      </c>
      <c r="E1706" s="141"/>
      <c r="F1706" s="141"/>
    </row>
    <row r="1707" spans="2:6" hidden="1" outlineLevel="1" x14ac:dyDescent="0.15">
      <c r="B1707" s="101">
        <v>42989</v>
      </c>
      <c r="C1707" s="125">
        <v>13646.37</v>
      </c>
      <c r="E1707" s="141"/>
      <c r="F1707" s="141"/>
    </row>
    <row r="1708" spans="2:6" hidden="1" outlineLevel="1" x14ac:dyDescent="0.15">
      <c r="B1708" s="101">
        <v>42986</v>
      </c>
      <c r="C1708" s="125">
        <v>13546.57</v>
      </c>
      <c r="E1708" s="141"/>
      <c r="F1708" s="141"/>
    </row>
    <row r="1709" spans="2:6" hidden="1" outlineLevel="1" x14ac:dyDescent="0.15">
      <c r="B1709" s="101">
        <v>42985</v>
      </c>
      <c r="C1709" s="125">
        <v>13539.91</v>
      </c>
      <c r="E1709" s="141"/>
      <c r="F1709" s="141"/>
    </row>
    <row r="1710" spans="2:6" hidden="1" outlineLevel="1" x14ac:dyDescent="0.15">
      <c r="B1710" s="101">
        <v>42984</v>
      </c>
      <c r="C1710" s="125">
        <v>13519.3</v>
      </c>
      <c r="E1710" s="141"/>
      <c r="F1710" s="141"/>
    </row>
    <row r="1711" spans="2:6" hidden="1" outlineLevel="1" x14ac:dyDescent="0.15">
      <c r="B1711" s="101">
        <v>42983</v>
      </c>
      <c r="C1711" s="125">
        <v>13568.38</v>
      </c>
      <c r="E1711" s="141"/>
      <c r="F1711" s="141"/>
    </row>
    <row r="1712" spans="2:6" hidden="1" outlineLevel="1" x14ac:dyDescent="0.15">
      <c r="B1712" s="101">
        <v>42982</v>
      </c>
      <c r="C1712" s="125">
        <v>13514.16</v>
      </c>
      <c r="E1712" s="141"/>
      <c r="F1712" s="141"/>
    </row>
    <row r="1713" spans="2:6" hidden="1" outlineLevel="1" x14ac:dyDescent="0.15">
      <c r="B1713" s="101">
        <v>42979</v>
      </c>
      <c r="C1713" s="125">
        <v>13598.09</v>
      </c>
      <c r="E1713" s="141"/>
      <c r="F1713" s="141"/>
    </row>
    <row r="1714" spans="2:6" hidden="1" outlineLevel="1" x14ac:dyDescent="0.15">
      <c r="B1714" s="101">
        <v>42978</v>
      </c>
      <c r="C1714" s="125">
        <v>13521.03</v>
      </c>
      <c r="E1714" s="141"/>
      <c r="F1714" s="141"/>
    </row>
    <row r="1715" spans="2:6" hidden="1" outlineLevel="1" x14ac:dyDescent="0.15">
      <c r="B1715" s="101">
        <v>42977</v>
      </c>
      <c r="C1715" s="125">
        <v>13474.73</v>
      </c>
      <c r="E1715" s="141"/>
      <c r="F1715" s="141"/>
    </row>
    <row r="1716" spans="2:6" hidden="1" outlineLevel="1" x14ac:dyDescent="0.15">
      <c r="B1716" s="101">
        <v>42976</v>
      </c>
      <c r="C1716" s="125">
        <v>13354.29</v>
      </c>
      <c r="E1716" s="141"/>
      <c r="F1716" s="141"/>
    </row>
    <row r="1717" spans="2:6" hidden="1" outlineLevel="1" x14ac:dyDescent="0.15">
      <c r="B1717" s="101">
        <v>42975</v>
      </c>
      <c r="C1717" s="125">
        <v>13513.48</v>
      </c>
      <c r="E1717" s="141"/>
      <c r="F1717" s="141"/>
    </row>
    <row r="1718" spans="2:6" hidden="1" outlineLevel="1" x14ac:dyDescent="0.15">
      <c r="B1718" s="101">
        <v>42971</v>
      </c>
      <c r="C1718" s="125">
        <v>13437.45</v>
      </c>
      <c r="E1718" s="141"/>
      <c r="F1718" s="141"/>
    </row>
    <row r="1719" spans="2:6" hidden="1" outlineLevel="1" x14ac:dyDescent="0.15">
      <c r="B1719" s="101">
        <v>42970</v>
      </c>
      <c r="C1719" s="125">
        <v>13427.67</v>
      </c>
      <c r="E1719" s="141"/>
      <c r="F1719" s="141"/>
    </row>
    <row r="1720" spans="2:6" hidden="1" outlineLevel="1" x14ac:dyDescent="0.15">
      <c r="B1720" s="101">
        <v>42969</v>
      </c>
      <c r="C1720" s="125">
        <v>13309.14</v>
      </c>
      <c r="E1720" s="141"/>
      <c r="F1720" s="141"/>
    </row>
    <row r="1721" spans="2:6" hidden="1" outlineLevel="1" x14ac:dyDescent="0.15">
      <c r="B1721" s="101">
        <v>42968</v>
      </c>
      <c r="C1721" s="125">
        <v>13293.88</v>
      </c>
      <c r="E1721" s="141"/>
      <c r="F1721" s="141"/>
    </row>
    <row r="1722" spans="2:6" hidden="1" outlineLevel="1" x14ac:dyDescent="0.15">
      <c r="B1722" s="101">
        <v>42965</v>
      </c>
      <c r="C1722" s="125">
        <v>13407.07</v>
      </c>
      <c r="E1722" s="141"/>
      <c r="F1722" s="141"/>
    </row>
    <row r="1723" spans="2:6" hidden="1" outlineLevel="1" x14ac:dyDescent="0.15">
      <c r="B1723" s="101">
        <v>42964</v>
      </c>
      <c r="C1723" s="125">
        <v>13497.69</v>
      </c>
      <c r="E1723" s="141"/>
      <c r="F1723" s="141"/>
    </row>
    <row r="1724" spans="2:6" hidden="1" outlineLevel="1" x14ac:dyDescent="0.15">
      <c r="B1724" s="101">
        <v>42963</v>
      </c>
      <c r="C1724" s="125">
        <v>13488.33</v>
      </c>
      <c r="E1724" s="141"/>
      <c r="F1724" s="141"/>
    </row>
    <row r="1725" spans="2:6" hidden="1" outlineLevel="1" x14ac:dyDescent="0.15">
      <c r="B1725" s="101">
        <v>42961</v>
      </c>
      <c r="C1725" s="125">
        <v>13347.75</v>
      </c>
      <c r="E1725" s="141"/>
      <c r="F1725" s="141"/>
    </row>
    <row r="1726" spans="2:6" hidden="1" outlineLevel="1" x14ac:dyDescent="0.15">
      <c r="B1726" s="101">
        <v>42958</v>
      </c>
      <c r="C1726" s="125">
        <v>13234.2</v>
      </c>
      <c r="E1726" s="141"/>
      <c r="F1726" s="141"/>
    </row>
    <row r="1727" spans="2:6" hidden="1" outlineLevel="1" x14ac:dyDescent="0.15">
      <c r="B1727" s="101">
        <v>42957</v>
      </c>
      <c r="C1727" s="125">
        <v>13377.05</v>
      </c>
      <c r="E1727" s="141"/>
      <c r="F1727" s="141"/>
    </row>
    <row r="1728" spans="2:6" hidden="1" outlineLevel="1" x14ac:dyDescent="0.15">
      <c r="B1728" s="101">
        <v>42956</v>
      </c>
      <c r="C1728" s="125">
        <v>13495.81</v>
      </c>
      <c r="E1728" s="141"/>
      <c r="F1728" s="141"/>
    </row>
    <row r="1729" spans="2:6" hidden="1" outlineLevel="1" x14ac:dyDescent="0.15">
      <c r="B1729" s="101">
        <v>42955</v>
      </c>
      <c r="C1729" s="125">
        <v>13591.81</v>
      </c>
      <c r="E1729" s="141"/>
      <c r="F1729" s="141"/>
    </row>
    <row r="1730" spans="2:6" hidden="1" outlineLevel="1" x14ac:dyDescent="0.15">
      <c r="B1730" s="101">
        <v>42954</v>
      </c>
      <c r="C1730" s="125">
        <v>13699.21</v>
      </c>
      <c r="E1730" s="141"/>
      <c r="F1730" s="141"/>
    </row>
    <row r="1731" spans="2:6" hidden="1" outlineLevel="1" x14ac:dyDescent="0.15">
      <c r="B1731" s="101">
        <v>42951</v>
      </c>
      <c r="C1731" s="125">
        <v>13711.47</v>
      </c>
      <c r="E1731" s="141"/>
      <c r="F1731" s="141"/>
    </row>
    <row r="1732" spans="2:6" hidden="1" outlineLevel="1" x14ac:dyDescent="0.15">
      <c r="B1732" s="101">
        <v>42950</v>
      </c>
      <c r="C1732" s="125">
        <v>13639.66</v>
      </c>
      <c r="E1732" s="141"/>
      <c r="F1732" s="141"/>
    </row>
    <row r="1733" spans="2:6" hidden="1" outlineLevel="1" x14ac:dyDescent="0.15">
      <c r="B1733" s="101">
        <v>42949</v>
      </c>
      <c r="C1733" s="125">
        <v>13731.63</v>
      </c>
      <c r="E1733" s="141"/>
      <c r="F1733" s="141"/>
    </row>
    <row r="1734" spans="2:6" hidden="1" outlineLevel="1" x14ac:dyDescent="0.15">
      <c r="B1734" s="101">
        <v>42948</v>
      </c>
      <c r="C1734" s="125">
        <v>13775.33</v>
      </c>
      <c r="E1734" s="141"/>
      <c r="F1734" s="141"/>
    </row>
    <row r="1735" spans="2:6" hidden="1" outlineLevel="1" x14ac:dyDescent="0.15">
      <c r="B1735" s="101">
        <v>42947</v>
      </c>
      <c r="C1735" s="125">
        <v>13724.19</v>
      </c>
      <c r="E1735" s="141"/>
      <c r="F1735" s="141"/>
    </row>
    <row r="1736" spans="2:6" hidden="1" outlineLevel="1" x14ac:dyDescent="0.15">
      <c r="B1736" s="101">
        <v>42944</v>
      </c>
      <c r="C1736" s="125">
        <v>13638.1</v>
      </c>
      <c r="E1736" s="141"/>
      <c r="F1736" s="141"/>
    </row>
    <row r="1737" spans="2:6" hidden="1" outlineLevel="1" x14ac:dyDescent="0.15">
      <c r="B1737" s="101">
        <v>42943</v>
      </c>
      <c r="C1737" s="125">
        <v>13646.34</v>
      </c>
      <c r="E1737" s="141"/>
      <c r="F1737" s="141"/>
    </row>
    <row r="1738" spans="2:6" hidden="1" outlineLevel="1" x14ac:dyDescent="0.15">
      <c r="B1738" s="101">
        <v>42942</v>
      </c>
      <c r="C1738" s="125">
        <v>13644.46</v>
      </c>
      <c r="E1738" s="141"/>
      <c r="F1738" s="141"/>
    </row>
    <row r="1739" spans="2:6" hidden="1" outlineLevel="1" x14ac:dyDescent="0.15">
      <c r="B1739" s="101">
        <v>42941</v>
      </c>
      <c r="C1739" s="125">
        <v>13567.66</v>
      </c>
      <c r="E1739" s="141"/>
      <c r="F1739" s="141"/>
    </row>
    <row r="1740" spans="2:6" hidden="1" outlineLevel="1" x14ac:dyDescent="0.15">
      <c r="B1740" s="101">
        <v>42940</v>
      </c>
      <c r="C1740" s="125">
        <v>13569.88</v>
      </c>
      <c r="E1740" s="141"/>
      <c r="F1740" s="141"/>
    </row>
    <row r="1741" spans="2:6" hidden="1" outlineLevel="1" x14ac:dyDescent="0.15">
      <c r="B1741" s="101">
        <v>42937</v>
      </c>
      <c r="C1741" s="125">
        <v>13498.25</v>
      </c>
      <c r="E1741" s="141"/>
      <c r="F1741" s="141"/>
    </row>
    <row r="1742" spans="2:6" hidden="1" outlineLevel="1" x14ac:dyDescent="0.15">
      <c r="B1742" s="101">
        <v>42936</v>
      </c>
      <c r="C1742" s="125">
        <v>13441.11</v>
      </c>
      <c r="E1742" s="141"/>
      <c r="F1742" s="141"/>
    </row>
    <row r="1743" spans="2:6" hidden="1" outlineLevel="1" x14ac:dyDescent="0.15">
      <c r="B1743" s="101">
        <v>42935</v>
      </c>
      <c r="C1743" s="125">
        <v>13473.52</v>
      </c>
      <c r="E1743" s="141"/>
      <c r="F1743" s="141"/>
    </row>
    <row r="1744" spans="2:6" hidden="1" outlineLevel="1" x14ac:dyDescent="0.15">
      <c r="B1744" s="101">
        <v>42934</v>
      </c>
      <c r="C1744" s="125">
        <v>13374.92</v>
      </c>
      <c r="E1744" s="141"/>
      <c r="F1744" s="141"/>
    </row>
    <row r="1745" spans="2:6" hidden="1" outlineLevel="1" x14ac:dyDescent="0.15">
      <c r="B1745" s="101">
        <v>42933</v>
      </c>
      <c r="C1745" s="125">
        <v>13494.64</v>
      </c>
      <c r="E1745" s="141"/>
      <c r="F1745" s="141"/>
    </row>
    <row r="1746" spans="2:6" hidden="1" outlineLevel="1" x14ac:dyDescent="0.15">
      <c r="B1746" s="101">
        <v>42930</v>
      </c>
      <c r="C1746" s="125">
        <v>13453.49</v>
      </c>
      <c r="E1746" s="141"/>
      <c r="F1746" s="141"/>
    </row>
    <row r="1747" spans="2:6" hidden="1" outlineLevel="1" x14ac:dyDescent="0.15">
      <c r="B1747" s="101">
        <v>42929</v>
      </c>
      <c r="C1747" s="125">
        <v>13452.22</v>
      </c>
      <c r="E1747" s="141"/>
      <c r="F1747" s="141"/>
    </row>
    <row r="1748" spans="2:6" hidden="1" outlineLevel="1" x14ac:dyDescent="0.15">
      <c r="B1748" s="101">
        <v>42928</v>
      </c>
      <c r="C1748" s="125">
        <v>13340.24</v>
      </c>
      <c r="E1748" s="141"/>
      <c r="F1748" s="141"/>
    </row>
    <row r="1749" spans="2:6" hidden="1" outlineLevel="1" x14ac:dyDescent="0.15">
      <c r="B1749" s="101">
        <v>42927</v>
      </c>
      <c r="C1749" s="125">
        <v>13299.17</v>
      </c>
      <c r="E1749" s="141"/>
      <c r="F1749" s="141"/>
    </row>
    <row r="1750" spans="2:6" hidden="1" outlineLevel="1" x14ac:dyDescent="0.15">
      <c r="B1750" s="101">
        <v>42926</v>
      </c>
      <c r="C1750" s="125">
        <v>13278.81</v>
      </c>
      <c r="E1750" s="141"/>
      <c r="F1750" s="141"/>
    </row>
    <row r="1751" spans="2:6" hidden="1" outlineLevel="1" x14ac:dyDescent="0.15">
      <c r="B1751" s="101">
        <v>42923</v>
      </c>
      <c r="C1751" s="125">
        <v>13135.35</v>
      </c>
      <c r="E1751" s="141"/>
      <c r="F1751" s="141"/>
    </row>
    <row r="1752" spans="2:6" hidden="1" outlineLevel="1" x14ac:dyDescent="0.15">
      <c r="B1752" s="101">
        <v>42922</v>
      </c>
      <c r="C1752" s="125">
        <v>13147.27</v>
      </c>
      <c r="E1752" s="141"/>
      <c r="F1752" s="141"/>
    </row>
    <row r="1753" spans="2:6" hidden="1" outlineLevel="1" x14ac:dyDescent="0.15">
      <c r="B1753" s="101">
        <v>42921</v>
      </c>
      <c r="C1753" s="125">
        <v>13091.36</v>
      </c>
      <c r="E1753" s="141"/>
      <c r="F1753" s="141"/>
    </row>
    <row r="1754" spans="2:6" hidden="1" outlineLevel="1" x14ac:dyDescent="0.15">
      <c r="B1754" s="101">
        <v>42920</v>
      </c>
      <c r="C1754" s="125">
        <v>13057.86</v>
      </c>
      <c r="E1754" s="141"/>
      <c r="F1754" s="141"/>
    </row>
    <row r="1755" spans="2:6" hidden="1" outlineLevel="1" x14ac:dyDescent="0.15">
      <c r="B1755" s="101">
        <v>42919</v>
      </c>
      <c r="C1755" s="125">
        <v>13060.15</v>
      </c>
      <c r="E1755" s="141"/>
      <c r="F1755" s="141"/>
    </row>
    <row r="1756" spans="2:6" hidden="1" outlineLevel="1" x14ac:dyDescent="0.15">
      <c r="B1756" s="101">
        <v>42916</v>
      </c>
      <c r="C1756" s="125">
        <v>12932.33</v>
      </c>
      <c r="E1756" s="141"/>
      <c r="F1756" s="141"/>
    </row>
    <row r="1757" spans="2:6" hidden="1" outlineLevel="1" x14ac:dyDescent="0.15">
      <c r="B1757" s="101">
        <v>42915</v>
      </c>
      <c r="C1757" s="125">
        <v>12908.13</v>
      </c>
      <c r="E1757" s="141"/>
      <c r="F1757" s="141"/>
    </row>
    <row r="1758" spans="2:6" hidden="1" outlineLevel="1" x14ac:dyDescent="0.15">
      <c r="B1758" s="101">
        <v>42914</v>
      </c>
      <c r="C1758" s="125">
        <v>12882.7</v>
      </c>
      <c r="E1758" s="141"/>
      <c r="F1758" s="141"/>
    </row>
    <row r="1759" spans="2:6" hidden="1" outlineLevel="1" x14ac:dyDescent="0.15">
      <c r="B1759" s="101">
        <v>42913</v>
      </c>
      <c r="C1759" s="125">
        <v>12910.01</v>
      </c>
      <c r="E1759" s="141"/>
      <c r="F1759" s="141"/>
    </row>
    <row r="1760" spans="2:6" hidden="1" outlineLevel="1" x14ac:dyDescent="0.15">
      <c r="B1760" s="101">
        <v>42909</v>
      </c>
      <c r="C1760" s="125">
        <v>12996.3</v>
      </c>
      <c r="E1760" s="141"/>
      <c r="F1760" s="141"/>
    </row>
    <row r="1761" spans="2:6" hidden="1" outlineLevel="1" x14ac:dyDescent="0.15">
      <c r="B1761" s="101">
        <v>42908</v>
      </c>
      <c r="C1761" s="125">
        <v>13070.98</v>
      </c>
      <c r="E1761" s="141"/>
      <c r="F1761" s="141"/>
    </row>
    <row r="1762" spans="2:6" hidden="1" outlineLevel="1" x14ac:dyDescent="0.15">
      <c r="B1762" s="101">
        <v>42907</v>
      </c>
      <c r="C1762" s="125">
        <v>13072.91</v>
      </c>
      <c r="E1762" s="141"/>
      <c r="F1762" s="141"/>
    </row>
    <row r="1763" spans="2:6" hidden="1" outlineLevel="1" x14ac:dyDescent="0.15">
      <c r="B1763" s="101">
        <v>42906</v>
      </c>
      <c r="C1763" s="125">
        <v>13099.92</v>
      </c>
      <c r="E1763" s="141"/>
      <c r="F1763" s="141"/>
    </row>
    <row r="1764" spans="2:6" hidden="1" outlineLevel="1" x14ac:dyDescent="0.15">
      <c r="B1764" s="101">
        <v>42905</v>
      </c>
      <c r="C1764" s="125">
        <v>13100.15</v>
      </c>
      <c r="E1764" s="141"/>
      <c r="F1764" s="141"/>
    </row>
    <row r="1765" spans="2:6" hidden="1" outlineLevel="1" x14ac:dyDescent="0.15">
      <c r="B1765" s="101">
        <v>42902</v>
      </c>
      <c r="C1765" s="125">
        <v>13005.86</v>
      </c>
      <c r="E1765" s="141"/>
      <c r="F1765" s="141"/>
    </row>
    <row r="1766" spans="2:6" hidden="1" outlineLevel="1" x14ac:dyDescent="0.15">
      <c r="B1766" s="101">
        <v>42901</v>
      </c>
      <c r="C1766" s="125">
        <v>12992.34</v>
      </c>
      <c r="E1766" s="141"/>
      <c r="F1766" s="141"/>
    </row>
    <row r="1767" spans="2:6" hidden="1" outlineLevel="1" x14ac:dyDescent="0.15">
      <c r="B1767" s="101">
        <v>42900</v>
      </c>
      <c r="C1767" s="125">
        <v>13045.44</v>
      </c>
      <c r="E1767" s="141"/>
      <c r="F1767" s="141"/>
    </row>
    <row r="1768" spans="2:6" hidden="1" outlineLevel="1" x14ac:dyDescent="0.15">
      <c r="B1768" s="101">
        <v>42899</v>
      </c>
      <c r="C1768" s="125">
        <v>13030.22</v>
      </c>
      <c r="E1768" s="141"/>
      <c r="F1768" s="141"/>
    </row>
    <row r="1769" spans="2:6" hidden="1" outlineLevel="1" x14ac:dyDescent="0.15">
      <c r="B1769" s="101">
        <v>42898</v>
      </c>
      <c r="C1769" s="125">
        <v>13037.83</v>
      </c>
      <c r="E1769" s="141"/>
      <c r="F1769" s="141"/>
    </row>
    <row r="1770" spans="2:6" hidden="1" outlineLevel="1" x14ac:dyDescent="0.15">
      <c r="B1770" s="101">
        <v>42895</v>
      </c>
      <c r="C1770" s="125">
        <v>13108.12</v>
      </c>
      <c r="E1770" s="141"/>
      <c r="F1770" s="141"/>
    </row>
    <row r="1771" spans="2:6" hidden="1" outlineLevel="1" x14ac:dyDescent="0.15">
      <c r="B1771" s="101">
        <v>42894</v>
      </c>
      <c r="C1771" s="125">
        <v>13079.63</v>
      </c>
      <c r="E1771" s="141"/>
      <c r="F1771" s="141"/>
    </row>
    <row r="1772" spans="2:6" hidden="1" outlineLevel="1" x14ac:dyDescent="0.15">
      <c r="B1772" s="101">
        <v>42893</v>
      </c>
      <c r="C1772" s="125">
        <v>13101.62</v>
      </c>
      <c r="E1772" s="141"/>
      <c r="F1772" s="141"/>
    </row>
    <row r="1773" spans="2:6" hidden="1" outlineLevel="1" x14ac:dyDescent="0.15">
      <c r="B1773" s="101">
        <v>42892</v>
      </c>
      <c r="C1773" s="125">
        <v>13065.33</v>
      </c>
      <c r="E1773" s="141"/>
      <c r="F1773" s="141"/>
    </row>
    <row r="1774" spans="2:6" hidden="1" outlineLevel="1" x14ac:dyDescent="0.15">
      <c r="B1774" s="101">
        <v>42891</v>
      </c>
      <c r="C1774" s="125">
        <v>13116.78</v>
      </c>
      <c r="E1774" s="141"/>
      <c r="F1774" s="141"/>
    </row>
    <row r="1775" spans="2:6" hidden="1" outlineLevel="1" x14ac:dyDescent="0.15">
      <c r="B1775" s="101">
        <v>42888</v>
      </c>
      <c r="C1775" s="125">
        <v>13072.98</v>
      </c>
      <c r="E1775" s="141"/>
      <c r="F1775" s="141"/>
    </row>
    <row r="1776" spans="2:6" hidden="1" outlineLevel="1" x14ac:dyDescent="0.15">
      <c r="B1776" s="101">
        <v>42887</v>
      </c>
      <c r="C1776" s="125">
        <v>13022.35</v>
      </c>
      <c r="E1776" s="141"/>
      <c r="F1776" s="141"/>
    </row>
    <row r="1777" spans="2:6" hidden="1" outlineLevel="1" x14ac:dyDescent="0.15">
      <c r="B1777" s="101">
        <v>42886</v>
      </c>
      <c r="C1777" s="125">
        <v>13018.69</v>
      </c>
      <c r="E1777" s="141"/>
      <c r="F1777" s="141"/>
    </row>
    <row r="1778" spans="2:6" hidden="1" outlineLevel="1" x14ac:dyDescent="0.15">
      <c r="B1778" s="101">
        <v>42885</v>
      </c>
      <c r="C1778" s="125">
        <v>13023.19</v>
      </c>
      <c r="E1778" s="141"/>
      <c r="F1778" s="141"/>
    </row>
    <row r="1779" spans="2:6" hidden="1" outlineLevel="1" x14ac:dyDescent="0.15">
      <c r="B1779" s="101">
        <v>42884</v>
      </c>
      <c r="C1779" s="125">
        <v>12996.61</v>
      </c>
      <c r="E1779" s="141"/>
      <c r="F1779" s="141"/>
    </row>
    <row r="1780" spans="2:6" hidden="1" outlineLevel="1" x14ac:dyDescent="0.15">
      <c r="B1780" s="101">
        <v>42881</v>
      </c>
      <c r="C1780" s="125">
        <v>12981.79</v>
      </c>
      <c r="E1780" s="141"/>
      <c r="F1780" s="141"/>
    </row>
    <row r="1781" spans="2:6" hidden="1" outlineLevel="1" x14ac:dyDescent="0.15">
      <c r="B1781" s="101">
        <v>42880</v>
      </c>
      <c r="C1781" s="125">
        <v>12863.38</v>
      </c>
      <c r="E1781" s="141"/>
      <c r="F1781" s="141"/>
    </row>
    <row r="1782" spans="2:6" hidden="1" outlineLevel="1" x14ac:dyDescent="0.15">
      <c r="B1782" s="101">
        <v>42879</v>
      </c>
      <c r="C1782" s="125">
        <v>12661.62</v>
      </c>
      <c r="E1782" s="141"/>
      <c r="F1782" s="141"/>
    </row>
    <row r="1783" spans="2:6" hidden="1" outlineLevel="1" x14ac:dyDescent="0.15">
      <c r="B1783" s="101">
        <v>42878</v>
      </c>
      <c r="C1783" s="125">
        <v>12695.02</v>
      </c>
      <c r="E1783" s="141"/>
      <c r="F1783" s="141"/>
    </row>
    <row r="1784" spans="2:6" hidden="1" outlineLevel="1" x14ac:dyDescent="0.15">
      <c r="B1784" s="101">
        <v>42877</v>
      </c>
      <c r="C1784" s="125">
        <v>12765.48</v>
      </c>
      <c r="E1784" s="141"/>
      <c r="F1784" s="141"/>
    </row>
    <row r="1785" spans="2:6" hidden="1" outlineLevel="1" x14ac:dyDescent="0.15">
      <c r="B1785" s="101">
        <v>42874</v>
      </c>
      <c r="C1785" s="125">
        <v>12751.43</v>
      </c>
      <c r="E1785" s="141"/>
      <c r="F1785" s="141"/>
    </row>
    <row r="1786" spans="2:6" hidden="1" outlineLevel="1" x14ac:dyDescent="0.15">
      <c r="B1786" s="101">
        <v>42873</v>
      </c>
      <c r="C1786" s="125">
        <v>12753.55</v>
      </c>
      <c r="E1786" s="141"/>
      <c r="F1786" s="141"/>
    </row>
    <row r="1787" spans="2:6" hidden="1" outlineLevel="1" x14ac:dyDescent="0.15">
      <c r="B1787" s="101">
        <v>42872</v>
      </c>
      <c r="C1787" s="125">
        <v>12883.83</v>
      </c>
      <c r="E1787" s="141"/>
      <c r="F1787" s="141"/>
    </row>
    <row r="1788" spans="2:6" hidden="1" outlineLevel="1" x14ac:dyDescent="0.15">
      <c r="B1788" s="101">
        <v>42871</v>
      </c>
      <c r="C1788" s="125">
        <v>12865.56</v>
      </c>
      <c r="E1788" s="141"/>
      <c r="F1788" s="141"/>
    </row>
    <row r="1789" spans="2:6" hidden="1" outlineLevel="1" x14ac:dyDescent="0.15">
      <c r="B1789" s="101">
        <v>42870</v>
      </c>
      <c r="C1789" s="125">
        <v>12775.11</v>
      </c>
      <c r="E1789" s="141"/>
      <c r="F1789" s="141"/>
    </row>
    <row r="1790" spans="2:6" hidden="1" outlineLevel="1" x14ac:dyDescent="0.15">
      <c r="B1790" s="101">
        <v>42867</v>
      </c>
      <c r="C1790" s="125">
        <v>12714.97</v>
      </c>
      <c r="E1790" s="141"/>
      <c r="F1790" s="141"/>
    </row>
    <row r="1791" spans="2:6" hidden="1" outlineLevel="1" x14ac:dyDescent="0.15">
      <c r="B1791" s="101">
        <v>42866</v>
      </c>
      <c r="C1791" s="125">
        <v>12743.99</v>
      </c>
      <c r="E1791" s="141"/>
      <c r="F1791" s="141"/>
    </row>
    <row r="1792" spans="2:6" hidden="1" outlineLevel="1" x14ac:dyDescent="0.15">
      <c r="B1792" s="101">
        <v>42865</v>
      </c>
      <c r="C1792" s="125">
        <v>12723.6</v>
      </c>
      <c r="E1792" s="141"/>
      <c r="F1792" s="141"/>
    </row>
    <row r="1793" spans="2:6" hidden="1" outlineLevel="1" x14ac:dyDescent="0.15">
      <c r="B1793" s="101">
        <v>42864</v>
      </c>
      <c r="C1793" s="125">
        <v>12601.23</v>
      </c>
      <c r="E1793" s="141"/>
      <c r="F1793" s="141"/>
    </row>
    <row r="1794" spans="2:6" hidden="1" outlineLevel="1" x14ac:dyDescent="0.15">
      <c r="B1794" s="101">
        <v>42863</v>
      </c>
      <c r="C1794" s="125">
        <v>12597.5</v>
      </c>
      <c r="E1794" s="141"/>
      <c r="F1794" s="141"/>
    </row>
    <row r="1795" spans="2:6" hidden="1" outlineLevel="1" x14ac:dyDescent="0.15">
      <c r="B1795" s="101">
        <v>42860</v>
      </c>
      <c r="C1795" s="125">
        <v>12558.6</v>
      </c>
      <c r="E1795" s="141"/>
      <c r="F1795" s="141"/>
    </row>
    <row r="1796" spans="2:6" hidden="1" outlineLevel="1" x14ac:dyDescent="0.15">
      <c r="B1796" s="101">
        <v>42859</v>
      </c>
      <c r="C1796" s="125">
        <v>12659.51</v>
      </c>
      <c r="E1796" s="141"/>
      <c r="F1796" s="141"/>
    </row>
    <row r="1797" spans="2:6" hidden="1" outlineLevel="1" x14ac:dyDescent="0.15">
      <c r="B1797" s="101">
        <v>42858</v>
      </c>
      <c r="C1797" s="125">
        <v>12593.58</v>
      </c>
      <c r="E1797" s="141"/>
      <c r="F1797" s="141"/>
    </row>
    <row r="1798" spans="2:6" hidden="1" outlineLevel="1" x14ac:dyDescent="0.15">
      <c r="B1798" s="101">
        <v>42857</v>
      </c>
      <c r="C1798" s="125">
        <v>12596.08</v>
      </c>
      <c r="E1798" s="141"/>
      <c r="F1798" s="141"/>
    </row>
    <row r="1799" spans="2:6" hidden="1" outlineLevel="1" x14ac:dyDescent="0.15">
      <c r="B1799" s="101">
        <v>42853</v>
      </c>
      <c r="C1799" s="125">
        <v>12582.88</v>
      </c>
      <c r="E1799" s="141"/>
      <c r="F1799" s="141"/>
    </row>
    <row r="1800" spans="2:6" hidden="1" outlineLevel="1" x14ac:dyDescent="0.15">
      <c r="B1800" s="101">
        <v>42852</v>
      </c>
      <c r="C1800" s="125">
        <v>12634.41</v>
      </c>
      <c r="E1800" s="141"/>
      <c r="F1800" s="141"/>
    </row>
    <row r="1801" spans="2:6" hidden="1" outlineLevel="1" x14ac:dyDescent="0.15">
      <c r="B1801" s="101">
        <v>42851</v>
      </c>
      <c r="C1801" s="125">
        <v>12647.53</v>
      </c>
      <c r="E1801" s="141"/>
      <c r="F1801" s="141"/>
    </row>
    <row r="1802" spans="2:6" hidden="1" outlineLevel="1" x14ac:dyDescent="0.15">
      <c r="B1802" s="101">
        <v>42850</v>
      </c>
      <c r="C1802" s="125">
        <v>12586.34</v>
      </c>
      <c r="E1802" s="141"/>
      <c r="F1802" s="141"/>
    </row>
    <row r="1803" spans="2:6" hidden="1" outlineLevel="1" x14ac:dyDescent="0.15">
      <c r="B1803" s="101">
        <v>42849</v>
      </c>
      <c r="C1803" s="125">
        <v>12466.46</v>
      </c>
      <c r="E1803" s="141"/>
      <c r="F1803" s="141"/>
    </row>
    <row r="1804" spans="2:6" hidden="1" outlineLevel="1" x14ac:dyDescent="0.15">
      <c r="B1804" s="101">
        <v>42846</v>
      </c>
      <c r="C1804" s="125">
        <v>12333.17</v>
      </c>
      <c r="E1804" s="141"/>
      <c r="F1804" s="141"/>
    </row>
    <row r="1805" spans="2:6" hidden="1" outlineLevel="1" x14ac:dyDescent="0.15">
      <c r="B1805" s="101">
        <v>42845</v>
      </c>
      <c r="C1805" s="125">
        <v>12356.2</v>
      </c>
      <c r="E1805" s="141"/>
      <c r="F1805" s="141"/>
    </row>
    <row r="1806" spans="2:6" hidden="1" outlineLevel="1" x14ac:dyDescent="0.15">
      <c r="B1806" s="101">
        <v>42844</v>
      </c>
      <c r="C1806" s="125">
        <v>12311.67</v>
      </c>
      <c r="E1806" s="141"/>
      <c r="F1806" s="141"/>
    </row>
    <row r="1807" spans="2:6" hidden="1" outlineLevel="1" x14ac:dyDescent="0.15">
      <c r="B1807" s="101">
        <v>42843</v>
      </c>
      <c r="C1807" s="125">
        <v>12313.9</v>
      </c>
      <c r="E1807" s="141"/>
      <c r="F1807" s="141"/>
    </row>
    <row r="1808" spans="2:6" hidden="1" outlineLevel="1" x14ac:dyDescent="0.15">
      <c r="B1808" s="101">
        <v>42842</v>
      </c>
      <c r="C1808" s="125">
        <v>12360.11</v>
      </c>
      <c r="E1808" s="141"/>
      <c r="F1808" s="141"/>
    </row>
    <row r="1809" spans="2:6" hidden="1" outlineLevel="1" x14ac:dyDescent="0.15">
      <c r="B1809" s="101">
        <v>42838</v>
      </c>
      <c r="C1809" s="125">
        <v>12375.68</v>
      </c>
      <c r="E1809" s="141"/>
      <c r="F1809" s="141"/>
    </row>
    <row r="1810" spans="2:6" hidden="1" outlineLevel="1" x14ac:dyDescent="0.15">
      <c r="B1810" s="101">
        <v>42837</v>
      </c>
      <c r="C1810" s="125">
        <v>12446.84</v>
      </c>
      <c r="E1810" s="141"/>
      <c r="F1810" s="141"/>
    </row>
    <row r="1811" spans="2:6" hidden="1" outlineLevel="1" x14ac:dyDescent="0.15">
      <c r="B1811" s="101">
        <v>42836</v>
      </c>
      <c r="C1811" s="125">
        <v>12492.24</v>
      </c>
      <c r="E1811" s="141"/>
      <c r="F1811" s="141"/>
    </row>
    <row r="1812" spans="2:6" hidden="1" outlineLevel="1" x14ac:dyDescent="0.15">
      <c r="B1812" s="101">
        <v>42835</v>
      </c>
      <c r="C1812" s="125">
        <v>12417.07</v>
      </c>
      <c r="E1812" s="141"/>
      <c r="F1812" s="141"/>
    </row>
    <row r="1813" spans="2:6" hidden="1" outlineLevel="1" x14ac:dyDescent="0.15">
      <c r="B1813" s="101">
        <v>42832</v>
      </c>
      <c r="C1813" s="125">
        <v>12439.9</v>
      </c>
      <c r="E1813" s="141"/>
      <c r="F1813" s="141"/>
    </row>
    <row r="1814" spans="2:6" hidden="1" outlineLevel="1" x14ac:dyDescent="0.15">
      <c r="B1814" s="101">
        <v>42831</v>
      </c>
      <c r="C1814" s="125">
        <v>12525.97</v>
      </c>
      <c r="E1814" s="141"/>
      <c r="F1814" s="141"/>
    </row>
    <row r="1815" spans="2:6" hidden="1" outlineLevel="1" x14ac:dyDescent="0.15">
      <c r="B1815" s="101">
        <v>42830</v>
      </c>
      <c r="C1815" s="125">
        <v>12530.31</v>
      </c>
      <c r="E1815" s="141"/>
      <c r="F1815" s="141"/>
    </row>
    <row r="1816" spans="2:6" hidden="1" outlineLevel="1" x14ac:dyDescent="0.15">
      <c r="B1816" s="101">
        <v>42828</v>
      </c>
      <c r="C1816" s="125">
        <v>12493.39</v>
      </c>
      <c r="E1816" s="141"/>
      <c r="F1816" s="141"/>
    </row>
    <row r="1817" spans="2:6" hidden="1" outlineLevel="1" x14ac:dyDescent="0.15">
      <c r="B1817" s="101">
        <v>42825</v>
      </c>
      <c r="C1817" s="125">
        <v>12406.69</v>
      </c>
      <c r="E1817" s="141"/>
      <c r="F1817" s="141"/>
    </row>
    <row r="1818" spans="2:6" hidden="1" outlineLevel="1" x14ac:dyDescent="0.15">
      <c r="B1818" s="101">
        <v>42824</v>
      </c>
      <c r="C1818" s="125">
        <v>12404.41</v>
      </c>
      <c r="E1818" s="141"/>
      <c r="F1818" s="141"/>
    </row>
    <row r="1819" spans="2:6" hidden="1" outlineLevel="1" x14ac:dyDescent="0.15">
      <c r="B1819" s="101">
        <v>42823</v>
      </c>
      <c r="C1819" s="125">
        <v>12363.95</v>
      </c>
      <c r="E1819" s="141"/>
      <c r="F1819" s="141"/>
    </row>
    <row r="1820" spans="2:6" hidden="1" outlineLevel="1" x14ac:dyDescent="0.15">
      <c r="B1820" s="101">
        <v>42822</v>
      </c>
      <c r="C1820" s="125">
        <v>12305.77</v>
      </c>
      <c r="E1820" s="141"/>
      <c r="F1820" s="141"/>
    </row>
    <row r="1821" spans="2:6" hidden="1" outlineLevel="1" x14ac:dyDescent="0.15">
      <c r="B1821" s="101">
        <v>42821</v>
      </c>
      <c r="C1821" s="125">
        <v>12230.63</v>
      </c>
      <c r="E1821" s="141"/>
      <c r="F1821" s="141"/>
    </row>
    <row r="1822" spans="2:6" hidden="1" outlineLevel="1" x14ac:dyDescent="0.15">
      <c r="B1822" s="101">
        <v>42818</v>
      </c>
      <c r="C1822" s="125">
        <v>12314.98</v>
      </c>
      <c r="E1822" s="141"/>
      <c r="F1822" s="141"/>
    </row>
    <row r="1823" spans="2:6" hidden="1" outlineLevel="1" x14ac:dyDescent="0.15">
      <c r="B1823" s="101">
        <v>42817</v>
      </c>
      <c r="C1823" s="125">
        <v>12283.35</v>
      </c>
      <c r="E1823" s="141"/>
      <c r="F1823" s="141"/>
    </row>
    <row r="1824" spans="2:6" hidden="1" outlineLevel="1" x14ac:dyDescent="0.15">
      <c r="B1824" s="101">
        <v>42816</v>
      </c>
      <c r="C1824" s="125">
        <v>12207.85</v>
      </c>
      <c r="E1824" s="141"/>
      <c r="F1824" s="141"/>
    </row>
    <row r="1825" spans="2:6" hidden="1" outlineLevel="1" x14ac:dyDescent="0.15">
      <c r="B1825" s="101">
        <v>42815</v>
      </c>
      <c r="C1825" s="125">
        <v>12330.92</v>
      </c>
      <c r="E1825" s="141"/>
      <c r="F1825" s="141"/>
    </row>
    <row r="1826" spans="2:6" hidden="1" outlineLevel="1" x14ac:dyDescent="0.15">
      <c r="B1826" s="101">
        <v>42814</v>
      </c>
      <c r="C1826" s="125">
        <v>12338.14</v>
      </c>
      <c r="E1826" s="141"/>
      <c r="F1826" s="141"/>
    </row>
    <row r="1827" spans="2:6" hidden="1" outlineLevel="1" x14ac:dyDescent="0.15">
      <c r="B1827" s="101">
        <v>42811</v>
      </c>
      <c r="C1827" s="125">
        <v>12383.04</v>
      </c>
      <c r="E1827" s="141"/>
      <c r="F1827" s="141"/>
    </row>
    <row r="1828" spans="2:6" hidden="1" outlineLevel="1" x14ac:dyDescent="0.15">
      <c r="B1828" s="101">
        <v>42810</v>
      </c>
      <c r="C1828" s="125">
        <v>12374.48</v>
      </c>
      <c r="E1828" s="141"/>
      <c r="F1828" s="141"/>
    </row>
    <row r="1829" spans="2:6" hidden="1" outlineLevel="1" x14ac:dyDescent="0.15">
      <c r="B1829" s="101">
        <v>42809</v>
      </c>
      <c r="C1829" s="125">
        <v>12278.23</v>
      </c>
      <c r="E1829" s="141"/>
      <c r="F1829" s="141"/>
    </row>
    <row r="1830" spans="2:6" hidden="1" outlineLevel="1" x14ac:dyDescent="0.15">
      <c r="B1830" s="101">
        <v>42808</v>
      </c>
      <c r="C1830" s="125">
        <v>12281.22</v>
      </c>
      <c r="E1830" s="141"/>
      <c r="F1830" s="141"/>
    </row>
    <row r="1831" spans="2:6" hidden="1" outlineLevel="1" x14ac:dyDescent="0.15">
      <c r="B1831" s="101">
        <v>42804</v>
      </c>
      <c r="C1831" s="125">
        <v>12066.4</v>
      </c>
      <c r="E1831" s="141"/>
      <c r="F1831" s="141"/>
    </row>
    <row r="1832" spans="2:6" hidden="1" outlineLevel="1" x14ac:dyDescent="0.15">
      <c r="B1832" s="101">
        <v>42803</v>
      </c>
      <c r="C1832" s="125">
        <v>12056.17</v>
      </c>
      <c r="E1832" s="141"/>
      <c r="F1832" s="141"/>
    </row>
    <row r="1833" spans="2:6" hidden="1" outlineLevel="1" x14ac:dyDescent="0.15">
      <c r="B1833" s="101">
        <v>42802</v>
      </c>
      <c r="C1833" s="125">
        <v>12050.77</v>
      </c>
      <c r="E1833" s="141"/>
      <c r="F1833" s="141"/>
    </row>
    <row r="1834" spans="2:6" hidden="1" outlineLevel="1" x14ac:dyDescent="0.15">
      <c r="B1834" s="101">
        <v>42801</v>
      </c>
      <c r="C1834" s="125">
        <v>12081.34</v>
      </c>
      <c r="E1834" s="141"/>
      <c r="F1834" s="141"/>
    </row>
    <row r="1835" spans="2:6" hidden="1" outlineLevel="1" x14ac:dyDescent="0.15">
      <c r="B1835" s="101">
        <v>42800</v>
      </c>
      <c r="C1835" s="125">
        <v>12103.68</v>
      </c>
      <c r="E1835" s="141"/>
      <c r="F1835" s="141"/>
    </row>
    <row r="1836" spans="2:6" hidden="1" outlineLevel="1" x14ac:dyDescent="0.15">
      <c r="B1836" s="101">
        <v>42797</v>
      </c>
      <c r="C1836" s="125">
        <v>12014.7</v>
      </c>
      <c r="E1836" s="141"/>
      <c r="F1836" s="141"/>
    </row>
    <row r="1837" spans="2:6" hidden="1" outlineLevel="1" x14ac:dyDescent="0.15">
      <c r="B1837" s="101">
        <v>42796</v>
      </c>
      <c r="C1837" s="125">
        <v>12017.63</v>
      </c>
      <c r="E1837" s="141"/>
      <c r="F1837" s="141"/>
    </row>
    <row r="1838" spans="2:6" hidden="1" outlineLevel="1" x14ac:dyDescent="0.15">
      <c r="B1838" s="101">
        <v>42795</v>
      </c>
      <c r="C1838" s="125">
        <v>12079.8</v>
      </c>
      <c r="E1838" s="141"/>
      <c r="F1838" s="141"/>
    </row>
    <row r="1839" spans="2:6" hidden="1" outlineLevel="1" x14ac:dyDescent="0.15">
      <c r="B1839" s="101">
        <v>42794</v>
      </c>
      <c r="C1839" s="125">
        <v>11990.44</v>
      </c>
      <c r="E1839" s="141"/>
      <c r="F1839" s="141"/>
    </row>
    <row r="1840" spans="2:6" hidden="1" outlineLevel="1" x14ac:dyDescent="0.15">
      <c r="B1840" s="101">
        <v>42793</v>
      </c>
      <c r="C1840" s="125">
        <v>12009.8</v>
      </c>
      <c r="E1840" s="141"/>
      <c r="F1840" s="141"/>
    </row>
    <row r="1841" spans="2:6" hidden="1" outlineLevel="1" x14ac:dyDescent="0.15">
      <c r="B1841" s="101">
        <v>42789</v>
      </c>
      <c r="C1841" s="125">
        <v>12067.61</v>
      </c>
      <c r="E1841" s="141"/>
      <c r="F1841" s="141"/>
    </row>
    <row r="1842" spans="2:6" hidden="1" outlineLevel="1" x14ac:dyDescent="0.15">
      <c r="B1842" s="101">
        <v>42788</v>
      </c>
      <c r="C1842" s="125">
        <v>12050.54</v>
      </c>
      <c r="E1842" s="141"/>
      <c r="F1842" s="141"/>
    </row>
    <row r="1843" spans="2:6" hidden="1" outlineLevel="1" x14ac:dyDescent="0.15">
      <c r="B1843" s="101">
        <v>42787</v>
      </c>
      <c r="C1843" s="125">
        <v>12024.88</v>
      </c>
      <c r="E1843" s="141"/>
      <c r="F1843" s="141"/>
    </row>
    <row r="1844" spans="2:6" hidden="1" outlineLevel="1" x14ac:dyDescent="0.15">
      <c r="B1844" s="101">
        <v>42786</v>
      </c>
      <c r="C1844" s="125">
        <v>11986.21</v>
      </c>
      <c r="E1844" s="141"/>
      <c r="F1844" s="141"/>
    </row>
    <row r="1845" spans="2:6" hidden="1" outlineLevel="1" x14ac:dyDescent="0.15">
      <c r="B1845" s="101">
        <v>42783</v>
      </c>
      <c r="C1845" s="125">
        <v>11908.56</v>
      </c>
      <c r="E1845" s="141"/>
      <c r="F1845" s="141"/>
    </row>
    <row r="1846" spans="2:6" hidden="1" outlineLevel="1" x14ac:dyDescent="0.15">
      <c r="B1846" s="101">
        <v>42782</v>
      </c>
      <c r="C1846" s="125">
        <v>11849.55</v>
      </c>
      <c r="E1846" s="141"/>
      <c r="F1846" s="141"/>
    </row>
    <row r="1847" spans="2:6" hidden="1" outlineLevel="1" x14ac:dyDescent="0.15">
      <c r="B1847" s="101">
        <v>42781</v>
      </c>
      <c r="C1847" s="125">
        <v>11776.57</v>
      </c>
      <c r="E1847" s="141"/>
      <c r="F1847" s="141"/>
    </row>
    <row r="1848" spans="2:6" hidden="1" outlineLevel="1" x14ac:dyDescent="0.15">
      <c r="B1848" s="101">
        <v>42780</v>
      </c>
      <c r="C1848" s="125">
        <v>11865.43</v>
      </c>
      <c r="E1848" s="141"/>
      <c r="F1848" s="141"/>
    </row>
    <row r="1849" spans="2:6" hidden="1" outlineLevel="1" x14ac:dyDescent="0.15">
      <c r="B1849" s="101">
        <v>42779</v>
      </c>
      <c r="C1849" s="125">
        <v>11882.38</v>
      </c>
      <c r="E1849" s="141"/>
      <c r="F1849" s="141"/>
    </row>
    <row r="1850" spans="2:6" hidden="1" outlineLevel="1" x14ac:dyDescent="0.15">
      <c r="B1850" s="101">
        <v>42776</v>
      </c>
      <c r="C1850" s="125">
        <v>11866.82</v>
      </c>
      <c r="E1850" s="141"/>
      <c r="F1850" s="141"/>
    </row>
    <row r="1851" spans="2:6" hidden="1" outlineLevel="1" x14ac:dyDescent="0.15">
      <c r="B1851" s="101">
        <v>42775</v>
      </c>
      <c r="C1851" s="125">
        <v>11846.42</v>
      </c>
      <c r="E1851" s="141"/>
      <c r="F1851" s="141"/>
    </row>
    <row r="1852" spans="2:6" hidden="1" outlineLevel="1" x14ac:dyDescent="0.15">
      <c r="B1852" s="101">
        <v>42774</v>
      </c>
      <c r="C1852" s="125">
        <v>11833.8</v>
      </c>
      <c r="E1852" s="141"/>
      <c r="F1852" s="141"/>
    </row>
    <row r="1853" spans="2:6" hidden="1" outlineLevel="1" x14ac:dyDescent="0.15">
      <c r="B1853" s="101">
        <v>42773</v>
      </c>
      <c r="C1853" s="125">
        <v>11832.78</v>
      </c>
      <c r="E1853" s="141"/>
      <c r="F1853" s="141"/>
    </row>
    <row r="1854" spans="2:6" hidden="1" outlineLevel="1" x14ac:dyDescent="0.15">
      <c r="B1854" s="101">
        <v>42772</v>
      </c>
      <c r="C1854" s="125">
        <v>11874.73</v>
      </c>
      <c r="E1854" s="141"/>
      <c r="F1854" s="141"/>
    </row>
    <row r="1855" spans="2:6" hidden="1" outlineLevel="1" x14ac:dyDescent="0.15">
      <c r="B1855" s="101">
        <v>42769</v>
      </c>
      <c r="C1855" s="125">
        <v>11793.62</v>
      </c>
      <c r="E1855" s="141"/>
      <c r="F1855" s="141"/>
    </row>
    <row r="1856" spans="2:6" hidden="1" outlineLevel="1" x14ac:dyDescent="0.15">
      <c r="B1856" s="101">
        <v>42768</v>
      </c>
      <c r="C1856" s="125">
        <v>11784.61</v>
      </c>
      <c r="E1856" s="141"/>
      <c r="F1856" s="141"/>
    </row>
    <row r="1857" spans="2:6" hidden="1" outlineLevel="1" x14ac:dyDescent="0.15">
      <c r="B1857" s="101">
        <v>42767</v>
      </c>
      <c r="C1857" s="125">
        <v>11758.63</v>
      </c>
      <c r="E1857" s="141"/>
      <c r="F1857" s="141"/>
    </row>
    <row r="1858" spans="2:6" hidden="1" outlineLevel="1" x14ac:dyDescent="0.15">
      <c r="B1858" s="101">
        <v>42766</v>
      </c>
      <c r="C1858" s="125">
        <v>11548.15</v>
      </c>
      <c r="E1858" s="141"/>
      <c r="F1858" s="141"/>
    </row>
    <row r="1859" spans="2:6" hidden="1" outlineLevel="1" x14ac:dyDescent="0.15">
      <c r="B1859" s="101">
        <v>42765</v>
      </c>
      <c r="C1859" s="125">
        <v>11644.53</v>
      </c>
      <c r="E1859" s="141"/>
      <c r="F1859" s="141"/>
    </row>
    <row r="1860" spans="2:6" hidden="1" outlineLevel="1" x14ac:dyDescent="0.15">
      <c r="B1860" s="101">
        <v>42762</v>
      </c>
      <c r="C1860" s="125">
        <v>11656</v>
      </c>
      <c r="E1860" s="141"/>
      <c r="F1860" s="141"/>
    </row>
    <row r="1861" spans="2:6" hidden="1" outlineLevel="1" x14ac:dyDescent="0.15">
      <c r="B1861" s="101">
        <v>42760</v>
      </c>
      <c r="C1861" s="125">
        <v>11604.09</v>
      </c>
      <c r="E1861" s="141"/>
      <c r="F1861" s="141"/>
    </row>
    <row r="1862" spans="2:6" hidden="1" outlineLevel="1" x14ac:dyDescent="0.15">
      <c r="B1862" s="101">
        <v>42759</v>
      </c>
      <c r="C1862" s="125">
        <v>11432.83</v>
      </c>
      <c r="E1862" s="141"/>
      <c r="F1862" s="141"/>
    </row>
    <row r="1863" spans="2:6" hidden="1" outlineLevel="1" x14ac:dyDescent="0.15">
      <c r="B1863" s="101">
        <v>42758</v>
      </c>
      <c r="C1863" s="125">
        <v>11319.09</v>
      </c>
      <c r="E1863" s="141"/>
      <c r="F1863" s="141"/>
    </row>
    <row r="1864" spans="2:6" hidden="1" outlineLevel="1" x14ac:dyDescent="0.15">
      <c r="B1864" s="101">
        <v>42755</v>
      </c>
      <c r="C1864" s="125">
        <v>11260.99</v>
      </c>
      <c r="E1864" s="141"/>
      <c r="F1864" s="141"/>
    </row>
    <row r="1865" spans="2:6" hidden="1" outlineLevel="1" x14ac:dyDescent="0.15">
      <c r="B1865" s="101">
        <v>42754</v>
      </c>
      <c r="C1865" s="125">
        <v>11376.62</v>
      </c>
      <c r="E1865" s="141"/>
      <c r="F1865" s="141"/>
    </row>
    <row r="1866" spans="2:6" hidden="1" outlineLevel="1" x14ac:dyDescent="0.15">
      <c r="B1866" s="101">
        <v>42753</v>
      </c>
      <c r="C1866" s="125">
        <v>11352.22</v>
      </c>
      <c r="E1866" s="141"/>
      <c r="F1866" s="141"/>
    </row>
    <row r="1867" spans="2:6" hidden="1" outlineLevel="1" x14ac:dyDescent="0.15">
      <c r="B1867" s="101">
        <v>42752</v>
      </c>
      <c r="C1867" s="125">
        <v>11326.62</v>
      </c>
      <c r="E1867" s="141"/>
      <c r="F1867" s="141"/>
    </row>
    <row r="1868" spans="2:6" hidden="1" outlineLevel="1" x14ac:dyDescent="0.15">
      <c r="B1868" s="101">
        <v>42751</v>
      </c>
      <c r="C1868" s="125">
        <v>11346.57</v>
      </c>
      <c r="E1868" s="141"/>
      <c r="F1868" s="141"/>
    </row>
    <row r="1869" spans="2:6" hidden="1" outlineLevel="1" x14ac:dyDescent="0.15">
      <c r="B1869" s="101">
        <v>42748</v>
      </c>
      <c r="C1869" s="125">
        <v>11329.78</v>
      </c>
      <c r="E1869" s="141"/>
      <c r="F1869" s="141"/>
    </row>
    <row r="1870" spans="2:6" hidden="1" outlineLevel="1" x14ac:dyDescent="0.15">
      <c r="B1870" s="101">
        <v>42747</v>
      </c>
      <c r="C1870" s="125">
        <v>11339.04</v>
      </c>
      <c r="E1870" s="141"/>
      <c r="F1870" s="141"/>
    </row>
    <row r="1871" spans="2:6" hidden="1" outlineLevel="1" x14ac:dyDescent="0.15">
      <c r="B1871" s="101">
        <v>42746</v>
      </c>
      <c r="C1871" s="125">
        <v>11303.19</v>
      </c>
      <c r="E1871" s="141"/>
      <c r="F1871" s="141"/>
    </row>
    <row r="1872" spans="2:6" hidden="1" outlineLevel="1" x14ac:dyDescent="0.15">
      <c r="B1872" s="101">
        <v>42745</v>
      </c>
      <c r="C1872" s="125">
        <v>11179.04</v>
      </c>
      <c r="E1872" s="141"/>
      <c r="F1872" s="141"/>
    </row>
    <row r="1873" spans="2:6" hidden="1" outlineLevel="1" x14ac:dyDescent="0.15">
      <c r="B1873" s="101">
        <v>42744</v>
      </c>
      <c r="C1873" s="125">
        <v>11108.2</v>
      </c>
      <c r="E1873" s="141"/>
      <c r="F1873" s="141"/>
    </row>
    <row r="1874" spans="2:6" hidden="1" outlineLevel="1" x14ac:dyDescent="0.15">
      <c r="B1874" s="101">
        <v>42741</v>
      </c>
      <c r="C1874" s="125">
        <v>11118.62</v>
      </c>
      <c r="E1874" s="141"/>
      <c r="F1874" s="141"/>
    </row>
    <row r="1875" spans="2:6" hidden="1" outlineLevel="1" x14ac:dyDescent="0.15">
      <c r="B1875" s="101">
        <v>42740</v>
      </c>
      <c r="C1875" s="125">
        <v>11159.12</v>
      </c>
      <c r="E1875" s="141"/>
      <c r="F1875" s="141"/>
    </row>
    <row r="1876" spans="2:6" hidden="1" outlineLevel="1" x14ac:dyDescent="0.15">
      <c r="B1876" s="101">
        <v>42739</v>
      </c>
      <c r="C1876" s="125">
        <v>11046.76</v>
      </c>
      <c r="E1876" s="141"/>
      <c r="F1876" s="141"/>
    </row>
    <row r="1877" spans="2:6" hidden="1" outlineLevel="1" x14ac:dyDescent="0.15">
      <c r="B1877" s="101">
        <v>42738</v>
      </c>
      <c r="C1877" s="125">
        <v>11049.08</v>
      </c>
      <c r="E1877" s="141"/>
      <c r="F1877" s="141"/>
    </row>
    <row r="1878" spans="2:6" hidden="1" outlineLevel="1" x14ac:dyDescent="0.15">
      <c r="B1878" s="101">
        <v>42737</v>
      </c>
      <c r="C1878" s="125">
        <v>11031.91</v>
      </c>
      <c r="E1878" s="141"/>
      <c r="F1878" s="141"/>
    </row>
    <row r="1879" spans="2:6" hidden="1" outlineLevel="1" x14ac:dyDescent="0.15">
      <c r="B1879" s="101">
        <v>42734</v>
      </c>
      <c r="C1879" s="125">
        <v>11040.41</v>
      </c>
      <c r="E1879" s="141"/>
      <c r="F1879" s="141"/>
    </row>
    <row r="1880" spans="2:6" hidden="1" outlineLevel="1" x14ac:dyDescent="0.15">
      <c r="B1880" s="101">
        <v>42733</v>
      </c>
      <c r="C1880" s="125">
        <v>10929.53</v>
      </c>
      <c r="E1880" s="141"/>
      <c r="F1880" s="141"/>
    </row>
    <row r="1881" spans="2:6" hidden="1" outlineLevel="1" x14ac:dyDescent="0.15">
      <c r="B1881" s="101">
        <v>42732</v>
      </c>
      <c r="C1881" s="125">
        <v>10836.85</v>
      </c>
      <c r="E1881" s="141"/>
      <c r="F1881" s="141"/>
    </row>
    <row r="1882" spans="2:6" hidden="1" outlineLevel="1" x14ac:dyDescent="0.15">
      <c r="B1882" s="101">
        <v>42731</v>
      </c>
      <c r="C1882" s="125">
        <v>10834.12</v>
      </c>
      <c r="E1882" s="141"/>
      <c r="F1882" s="141"/>
    </row>
    <row r="1883" spans="2:6" hidden="1" outlineLevel="1" x14ac:dyDescent="0.15">
      <c r="B1883" s="101">
        <v>42730</v>
      </c>
      <c r="C1883" s="125">
        <v>10666.06</v>
      </c>
      <c r="E1883" s="141"/>
      <c r="F1883" s="141"/>
    </row>
    <row r="1884" spans="2:6" hidden="1" outlineLevel="1" x14ac:dyDescent="0.15">
      <c r="B1884" s="101">
        <v>42727</v>
      </c>
      <c r="C1884" s="125">
        <v>10770.6</v>
      </c>
      <c r="E1884" s="141"/>
      <c r="F1884" s="141"/>
    </row>
    <row r="1885" spans="2:6" hidden="1" outlineLevel="1" x14ac:dyDescent="0.15">
      <c r="B1885" s="101">
        <v>42726</v>
      </c>
      <c r="C1885" s="125">
        <v>10761.65</v>
      </c>
      <c r="E1885" s="141"/>
      <c r="F1885" s="141"/>
    </row>
    <row r="1886" spans="2:6" hidden="1" outlineLevel="1" x14ac:dyDescent="0.15">
      <c r="B1886" s="101">
        <v>42725</v>
      </c>
      <c r="C1886" s="125">
        <v>10872.49</v>
      </c>
      <c r="E1886" s="141"/>
      <c r="F1886" s="141"/>
    </row>
    <row r="1887" spans="2:6" hidden="1" outlineLevel="1" x14ac:dyDescent="0.15">
      <c r="B1887" s="101">
        <v>42724</v>
      </c>
      <c r="C1887" s="125">
        <v>10900.96</v>
      </c>
      <c r="E1887" s="141"/>
      <c r="F1887" s="141"/>
    </row>
    <row r="1888" spans="2:6" hidden="1" outlineLevel="1" x14ac:dyDescent="0.15">
      <c r="B1888" s="101">
        <v>42723</v>
      </c>
      <c r="C1888" s="125">
        <v>10930.55</v>
      </c>
      <c r="E1888" s="141"/>
      <c r="F1888" s="141"/>
    </row>
    <row r="1889" spans="2:6" hidden="1" outlineLevel="1" x14ac:dyDescent="0.15">
      <c r="B1889" s="101">
        <v>42720</v>
      </c>
      <c r="C1889" s="125">
        <v>10977.91</v>
      </c>
      <c r="E1889" s="141"/>
      <c r="F1889" s="141"/>
    </row>
    <row r="1890" spans="2:6" hidden="1" outlineLevel="1" x14ac:dyDescent="0.15">
      <c r="B1890" s="101">
        <v>42719</v>
      </c>
      <c r="C1890" s="125">
        <v>10997.01</v>
      </c>
      <c r="E1890" s="141"/>
      <c r="F1890" s="141"/>
    </row>
    <row r="1891" spans="2:6" hidden="1" outlineLevel="1" x14ac:dyDescent="0.15">
      <c r="B1891" s="101">
        <v>42718</v>
      </c>
      <c r="C1891" s="125">
        <v>11035.88</v>
      </c>
      <c r="E1891" s="141"/>
      <c r="F1891" s="141"/>
    </row>
    <row r="1892" spans="2:6" hidden="1" outlineLevel="1" x14ac:dyDescent="0.15">
      <c r="B1892" s="101">
        <v>42717</v>
      </c>
      <c r="C1892" s="125">
        <v>11088.99</v>
      </c>
      <c r="E1892" s="141"/>
      <c r="F1892" s="141"/>
    </row>
    <row r="1893" spans="2:6" hidden="1" outlineLevel="1" x14ac:dyDescent="0.15">
      <c r="B1893" s="101">
        <v>42716</v>
      </c>
      <c r="C1893" s="125">
        <v>11020.15</v>
      </c>
      <c r="E1893" s="141"/>
      <c r="F1893" s="141"/>
    </row>
    <row r="1894" spans="2:6" hidden="1" outlineLevel="1" x14ac:dyDescent="0.15">
      <c r="B1894" s="101">
        <v>42713</v>
      </c>
      <c r="C1894" s="125">
        <v>11142.82</v>
      </c>
      <c r="E1894" s="141"/>
      <c r="F1894" s="141"/>
    </row>
    <row r="1895" spans="2:6" hidden="1" outlineLevel="1" x14ac:dyDescent="0.15">
      <c r="B1895" s="101">
        <v>42712</v>
      </c>
      <c r="C1895" s="125">
        <v>11122.75</v>
      </c>
      <c r="E1895" s="141"/>
      <c r="F1895" s="141"/>
    </row>
    <row r="1896" spans="2:6" hidden="1" outlineLevel="1" x14ac:dyDescent="0.15">
      <c r="B1896" s="101">
        <v>42711</v>
      </c>
      <c r="C1896" s="125">
        <v>10927.43</v>
      </c>
      <c r="E1896" s="141"/>
      <c r="F1896" s="141"/>
    </row>
    <row r="1897" spans="2:6" hidden="1" outlineLevel="1" x14ac:dyDescent="0.15">
      <c r="B1897" s="101">
        <v>42710</v>
      </c>
      <c r="C1897" s="125">
        <v>10982.89</v>
      </c>
      <c r="E1897" s="141"/>
      <c r="F1897" s="141"/>
    </row>
    <row r="1898" spans="2:6" hidden="1" outlineLevel="1" x14ac:dyDescent="0.15">
      <c r="B1898" s="101">
        <v>42709</v>
      </c>
      <c r="C1898" s="125">
        <v>10963.49</v>
      </c>
      <c r="E1898" s="141"/>
      <c r="F1898" s="141"/>
    </row>
    <row r="1899" spans="2:6" hidden="1" outlineLevel="1" x14ac:dyDescent="0.15">
      <c r="B1899" s="101">
        <v>42706</v>
      </c>
      <c r="C1899" s="125">
        <v>10906.86</v>
      </c>
      <c r="E1899" s="141"/>
      <c r="F1899" s="141"/>
    </row>
    <row r="1900" spans="2:6" hidden="1" outlineLevel="1" x14ac:dyDescent="0.15">
      <c r="B1900" s="101">
        <v>42705</v>
      </c>
      <c r="C1900" s="125">
        <v>11050</v>
      </c>
      <c r="E1900" s="141"/>
      <c r="F1900" s="141"/>
    </row>
    <row r="1901" spans="2:6" hidden="1" outlineLevel="1" x14ac:dyDescent="0.15">
      <c r="B1901" s="101">
        <v>42704</v>
      </c>
      <c r="C1901" s="125">
        <v>11092.59</v>
      </c>
      <c r="E1901" s="141"/>
      <c r="F1901" s="141"/>
    </row>
    <row r="1902" spans="2:6" hidden="1" outlineLevel="1" x14ac:dyDescent="0.15">
      <c r="B1902" s="101">
        <v>42703</v>
      </c>
      <c r="C1902" s="125">
        <v>10981.54</v>
      </c>
      <c r="E1902" s="141"/>
      <c r="F1902" s="141"/>
    </row>
    <row r="1903" spans="2:6" hidden="1" outlineLevel="1" x14ac:dyDescent="0.15">
      <c r="B1903" s="101">
        <v>42702</v>
      </c>
      <c r="C1903" s="125">
        <v>10960.97</v>
      </c>
      <c r="E1903" s="141"/>
      <c r="F1903" s="141"/>
    </row>
    <row r="1904" spans="2:6" hidden="1" outlineLevel="1" x14ac:dyDescent="0.15">
      <c r="B1904" s="101">
        <v>42699</v>
      </c>
      <c r="C1904" s="125">
        <v>10943.99</v>
      </c>
      <c r="E1904" s="141"/>
      <c r="F1904" s="141"/>
    </row>
    <row r="1905" spans="2:6" hidden="1" outlineLevel="1" x14ac:dyDescent="0.15">
      <c r="B1905" s="101">
        <v>42698</v>
      </c>
      <c r="C1905" s="125">
        <v>10743.28</v>
      </c>
      <c r="E1905" s="141"/>
      <c r="F1905" s="141"/>
    </row>
    <row r="1906" spans="2:6" hidden="1" outlineLevel="1" x14ac:dyDescent="0.15">
      <c r="B1906" s="101">
        <v>42697</v>
      </c>
      <c r="C1906" s="125">
        <v>10834.59</v>
      </c>
      <c r="E1906" s="141"/>
      <c r="F1906" s="141"/>
    </row>
    <row r="1907" spans="2:6" hidden="1" outlineLevel="1" x14ac:dyDescent="0.15">
      <c r="B1907" s="101">
        <v>42696</v>
      </c>
      <c r="C1907" s="125">
        <v>10792.82</v>
      </c>
      <c r="E1907" s="141"/>
      <c r="F1907" s="141"/>
    </row>
    <row r="1908" spans="2:6" hidden="1" outlineLevel="1" x14ac:dyDescent="0.15">
      <c r="B1908" s="101">
        <v>42695</v>
      </c>
      <c r="C1908" s="125">
        <v>10694.09</v>
      </c>
      <c r="E1908" s="141"/>
      <c r="F1908" s="141"/>
    </row>
    <row r="1909" spans="2:6" hidden="1" outlineLevel="1" x14ac:dyDescent="0.15">
      <c r="B1909" s="101">
        <v>42692</v>
      </c>
      <c r="C1909" s="125">
        <v>10889.64</v>
      </c>
      <c r="E1909" s="141"/>
      <c r="F1909" s="141"/>
    </row>
    <row r="1910" spans="2:6" hidden="1" outlineLevel="1" x14ac:dyDescent="0.15">
      <c r="B1910" s="101">
        <v>42691</v>
      </c>
      <c r="C1910" s="125">
        <v>10897.55</v>
      </c>
      <c r="E1910" s="141"/>
      <c r="F1910" s="141"/>
    </row>
    <row r="1911" spans="2:6" hidden="1" outlineLevel="1" x14ac:dyDescent="0.15">
      <c r="B1911" s="101">
        <v>42690</v>
      </c>
      <c r="C1911" s="125">
        <v>10940.23</v>
      </c>
      <c r="E1911" s="141"/>
      <c r="F1911" s="141"/>
    </row>
    <row r="1912" spans="2:6" hidden="1" outlineLevel="1" x14ac:dyDescent="0.15">
      <c r="B1912" s="101">
        <v>42689</v>
      </c>
      <c r="C1912" s="125">
        <v>10935.99</v>
      </c>
      <c r="E1912" s="141"/>
      <c r="F1912" s="141"/>
    </row>
    <row r="1913" spans="2:6" hidden="1" outlineLevel="1" x14ac:dyDescent="0.15">
      <c r="B1913" s="101">
        <v>42685</v>
      </c>
      <c r="C1913" s="125">
        <v>11189.3</v>
      </c>
      <c r="E1913" s="141"/>
      <c r="F1913" s="141"/>
    </row>
    <row r="1914" spans="2:6" hidden="1" outlineLevel="1" x14ac:dyDescent="0.15">
      <c r="B1914" s="101">
        <v>42684</v>
      </c>
      <c r="C1914" s="125">
        <v>11498.79</v>
      </c>
      <c r="E1914" s="141"/>
      <c r="F1914" s="141"/>
    </row>
    <row r="1915" spans="2:6" hidden="1" outlineLevel="1" x14ac:dyDescent="0.15">
      <c r="B1915" s="101">
        <v>42683</v>
      </c>
      <c r="C1915" s="125">
        <v>11372.35</v>
      </c>
      <c r="E1915" s="141"/>
      <c r="F1915" s="141"/>
    </row>
    <row r="1916" spans="2:6" hidden="1" outlineLevel="1" x14ac:dyDescent="0.15">
      <c r="B1916" s="101">
        <v>42682</v>
      </c>
      <c r="C1916" s="125">
        <v>11522.76</v>
      </c>
      <c r="E1916" s="141"/>
      <c r="F1916" s="141"/>
    </row>
    <row r="1917" spans="2:6" hidden="1" outlineLevel="1" x14ac:dyDescent="0.15">
      <c r="B1917" s="101">
        <v>42681</v>
      </c>
      <c r="C1917" s="125">
        <v>11460.08</v>
      </c>
      <c r="E1917" s="141"/>
      <c r="F1917" s="141"/>
    </row>
    <row r="1918" spans="2:6" hidden="1" outlineLevel="1" x14ac:dyDescent="0.15">
      <c r="B1918" s="101">
        <v>42678</v>
      </c>
      <c r="C1918" s="125">
        <v>11374.71</v>
      </c>
      <c r="E1918" s="141"/>
      <c r="F1918" s="141"/>
    </row>
    <row r="1919" spans="2:6" hidden="1" outlineLevel="1" x14ac:dyDescent="0.15">
      <c r="B1919" s="101">
        <v>42677</v>
      </c>
      <c r="C1919" s="125">
        <v>11443.72</v>
      </c>
      <c r="E1919" s="141"/>
      <c r="F1919" s="141"/>
    </row>
    <row r="1920" spans="2:6" hidden="1" outlineLevel="1" x14ac:dyDescent="0.15">
      <c r="B1920" s="101">
        <v>42676</v>
      </c>
      <c r="C1920" s="125">
        <v>11479.94</v>
      </c>
      <c r="E1920" s="141"/>
      <c r="F1920" s="141"/>
    </row>
    <row r="1921" spans="2:6" hidden="1" outlineLevel="1" x14ac:dyDescent="0.15">
      <c r="B1921" s="101">
        <v>42675</v>
      </c>
      <c r="C1921" s="125">
        <v>11631.33</v>
      </c>
      <c r="E1921" s="141"/>
      <c r="F1921" s="141"/>
    </row>
    <row r="1922" spans="2:6" hidden="1" outlineLevel="1" x14ac:dyDescent="0.15">
      <c r="B1922" s="101">
        <v>42673</v>
      </c>
      <c r="C1922" s="125">
        <v>11628.32</v>
      </c>
      <c r="E1922" s="141"/>
      <c r="F1922" s="141"/>
    </row>
    <row r="1923" spans="2:6" hidden="1" outlineLevel="1" x14ac:dyDescent="0.15">
      <c r="B1923" s="101">
        <v>42671</v>
      </c>
      <c r="C1923" s="125">
        <v>11644.89</v>
      </c>
      <c r="E1923" s="141"/>
      <c r="F1923" s="141"/>
    </row>
    <row r="1924" spans="2:6" hidden="1" outlineLevel="1" x14ac:dyDescent="0.15">
      <c r="B1924" s="101">
        <v>42670</v>
      </c>
      <c r="C1924" s="125">
        <v>11614.18</v>
      </c>
      <c r="E1924" s="141"/>
      <c r="F1924" s="141"/>
    </row>
    <row r="1925" spans="2:6" hidden="1" outlineLevel="1" x14ac:dyDescent="0.15">
      <c r="B1925" s="101">
        <v>42669</v>
      </c>
      <c r="C1925" s="125">
        <v>11612.99</v>
      </c>
      <c r="E1925" s="141"/>
      <c r="F1925" s="141"/>
    </row>
    <row r="1926" spans="2:6" hidden="1" outlineLevel="1" x14ac:dyDescent="0.15">
      <c r="B1926" s="101">
        <v>42668</v>
      </c>
      <c r="C1926" s="125">
        <v>11715.45</v>
      </c>
      <c r="E1926" s="141"/>
      <c r="F1926" s="141"/>
    </row>
    <row r="1927" spans="2:6" hidden="1" outlineLevel="1" x14ac:dyDescent="0.15">
      <c r="B1927" s="101">
        <v>42667</v>
      </c>
      <c r="C1927" s="125">
        <v>11739.24</v>
      </c>
      <c r="E1927" s="141"/>
      <c r="F1927" s="141"/>
    </row>
    <row r="1928" spans="2:6" hidden="1" outlineLevel="1" x14ac:dyDescent="0.15">
      <c r="B1928" s="101">
        <v>42664</v>
      </c>
      <c r="C1928" s="125">
        <v>11716.57</v>
      </c>
      <c r="E1928" s="141"/>
      <c r="F1928" s="141"/>
    </row>
    <row r="1929" spans="2:6" hidden="1" outlineLevel="1" x14ac:dyDescent="0.15">
      <c r="B1929" s="101">
        <v>42663</v>
      </c>
      <c r="C1929" s="125">
        <v>11717.04</v>
      </c>
      <c r="E1929" s="141"/>
      <c r="F1929" s="141"/>
    </row>
    <row r="1930" spans="2:6" hidden="1" outlineLevel="1" x14ac:dyDescent="0.15">
      <c r="B1930" s="101">
        <v>42662</v>
      </c>
      <c r="C1930" s="125">
        <v>11662.81</v>
      </c>
      <c r="E1930" s="141"/>
      <c r="F1930" s="141"/>
    </row>
    <row r="1931" spans="2:6" hidden="1" outlineLevel="1" x14ac:dyDescent="0.15">
      <c r="B1931" s="101">
        <v>42661</v>
      </c>
      <c r="C1931" s="125">
        <v>11688.13</v>
      </c>
      <c r="E1931" s="141"/>
      <c r="F1931" s="141"/>
    </row>
    <row r="1932" spans="2:6" hidden="1" outlineLevel="1" x14ac:dyDescent="0.15">
      <c r="B1932" s="101">
        <v>42660</v>
      </c>
      <c r="C1932" s="125">
        <v>11475.97</v>
      </c>
      <c r="E1932" s="141"/>
      <c r="F1932" s="141"/>
    </row>
    <row r="1933" spans="2:6" hidden="1" outlineLevel="1" x14ac:dyDescent="0.15">
      <c r="B1933" s="101">
        <v>42657</v>
      </c>
      <c r="C1933" s="125">
        <v>11560.81</v>
      </c>
      <c r="E1933" s="141"/>
      <c r="F1933" s="141"/>
    </row>
    <row r="1934" spans="2:6" hidden="1" outlineLevel="1" x14ac:dyDescent="0.15">
      <c r="B1934" s="101">
        <v>42656</v>
      </c>
      <c r="C1934" s="125">
        <v>11547.3</v>
      </c>
      <c r="E1934" s="141"/>
      <c r="F1934" s="141"/>
    </row>
    <row r="1935" spans="2:6" hidden="1" outlineLevel="1" x14ac:dyDescent="0.15">
      <c r="B1935" s="101">
        <v>42653</v>
      </c>
      <c r="C1935" s="125">
        <v>11729.75</v>
      </c>
      <c r="E1935" s="141"/>
      <c r="F1935" s="141"/>
    </row>
    <row r="1936" spans="2:6" hidden="1" outlineLevel="1" x14ac:dyDescent="0.15">
      <c r="B1936" s="101">
        <v>42650</v>
      </c>
      <c r="C1936" s="125">
        <v>11714.65</v>
      </c>
      <c r="E1936" s="141"/>
      <c r="F1936" s="141"/>
    </row>
    <row r="1937" spans="2:6" hidden="1" outlineLevel="1" x14ac:dyDescent="0.15">
      <c r="B1937" s="101">
        <v>42649</v>
      </c>
      <c r="C1937" s="125">
        <v>11730.75</v>
      </c>
      <c r="E1937" s="141"/>
      <c r="F1937" s="141"/>
    </row>
    <row r="1938" spans="2:6" hidden="1" outlineLevel="1" x14ac:dyDescent="0.15">
      <c r="B1938" s="101">
        <v>42648</v>
      </c>
      <c r="C1938" s="125">
        <v>11777.1</v>
      </c>
      <c r="E1938" s="141"/>
      <c r="F1938" s="141"/>
    </row>
    <row r="1939" spans="2:6" hidden="1" outlineLevel="1" x14ac:dyDescent="0.15">
      <c r="B1939" s="101">
        <v>42647</v>
      </c>
      <c r="C1939" s="125">
        <v>11811.04</v>
      </c>
      <c r="E1939" s="141"/>
      <c r="F1939" s="141"/>
    </row>
    <row r="1940" spans="2:6" hidden="1" outlineLevel="1" x14ac:dyDescent="0.15">
      <c r="B1940" s="101">
        <v>42646</v>
      </c>
      <c r="C1940" s="125">
        <v>11769.16</v>
      </c>
      <c r="E1940" s="141"/>
      <c r="F1940" s="141"/>
    </row>
    <row r="1941" spans="2:6" hidden="1" outlineLevel="1" x14ac:dyDescent="0.15">
      <c r="B1941" s="101">
        <v>42643</v>
      </c>
      <c r="C1941" s="125">
        <v>11598.22</v>
      </c>
      <c r="E1941" s="141"/>
      <c r="F1941" s="141"/>
    </row>
    <row r="1942" spans="2:6" hidden="1" outlineLevel="1" x14ac:dyDescent="0.15">
      <c r="B1942" s="101">
        <v>42642</v>
      </c>
      <c r="C1942" s="125">
        <v>11571.4</v>
      </c>
      <c r="E1942" s="141"/>
      <c r="F1942" s="141"/>
    </row>
    <row r="1943" spans="2:6" hidden="1" outlineLevel="1" x14ac:dyDescent="0.15">
      <c r="B1943" s="101">
        <v>42641</v>
      </c>
      <c r="C1943" s="125">
        <v>11778.71</v>
      </c>
      <c r="E1943" s="141"/>
      <c r="F1943" s="141"/>
    </row>
    <row r="1944" spans="2:6" hidden="1" outlineLevel="1" x14ac:dyDescent="0.15">
      <c r="B1944" s="101">
        <v>42640</v>
      </c>
      <c r="C1944" s="125">
        <v>11726.49</v>
      </c>
      <c r="E1944" s="141"/>
      <c r="F1944" s="141"/>
    </row>
    <row r="1945" spans="2:6" hidden="1" outlineLevel="1" x14ac:dyDescent="0.15">
      <c r="B1945" s="101">
        <v>42639</v>
      </c>
      <c r="C1945" s="125">
        <v>11748.91</v>
      </c>
      <c r="E1945" s="141"/>
      <c r="F1945" s="141"/>
    </row>
    <row r="1946" spans="2:6" hidden="1" outlineLevel="1" x14ac:dyDescent="0.15">
      <c r="B1946" s="101">
        <v>42636</v>
      </c>
      <c r="C1946" s="125">
        <v>11895.07</v>
      </c>
      <c r="E1946" s="141"/>
      <c r="F1946" s="141"/>
    </row>
    <row r="1947" spans="2:6" hidden="1" outlineLevel="1" x14ac:dyDescent="0.15">
      <c r="B1947" s="101">
        <v>42635</v>
      </c>
      <c r="C1947" s="125">
        <v>11943.44</v>
      </c>
      <c r="E1947" s="141"/>
      <c r="F1947" s="141"/>
    </row>
    <row r="1948" spans="2:6" hidden="1" outlineLevel="1" x14ac:dyDescent="0.15">
      <c r="B1948" s="101">
        <v>42634</v>
      </c>
      <c r="C1948" s="125">
        <v>11821.52</v>
      </c>
      <c r="E1948" s="141"/>
      <c r="F1948" s="141"/>
    </row>
    <row r="1949" spans="2:6" hidden="1" outlineLevel="1" x14ac:dyDescent="0.15">
      <c r="B1949" s="101">
        <v>42633</v>
      </c>
      <c r="C1949" s="125">
        <v>11819.83</v>
      </c>
      <c r="E1949" s="141"/>
      <c r="F1949" s="141"/>
    </row>
    <row r="1950" spans="2:6" hidden="1" outlineLevel="1" x14ac:dyDescent="0.15">
      <c r="B1950" s="101">
        <v>42632</v>
      </c>
      <c r="C1950" s="125">
        <v>11863.61</v>
      </c>
      <c r="E1950" s="141"/>
      <c r="F1950" s="141"/>
    </row>
    <row r="1951" spans="2:6" hidden="1" outlineLevel="1" x14ac:dyDescent="0.15">
      <c r="B1951" s="101">
        <v>42629</v>
      </c>
      <c r="C1951" s="125">
        <v>11825.12</v>
      </c>
      <c r="E1951" s="141"/>
      <c r="F1951" s="141"/>
    </row>
    <row r="1952" spans="2:6" hidden="1" outlineLevel="1" x14ac:dyDescent="0.15">
      <c r="B1952" s="101">
        <v>42628</v>
      </c>
      <c r="C1952" s="125">
        <v>11774.9</v>
      </c>
      <c r="E1952" s="141"/>
      <c r="F1952" s="141"/>
    </row>
    <row r="1953" spans="2:6" hidden="1" outlineLevel="1" x14ac:dyDescent="0.15">
      <c r="B1953" s="101">
        <v>42627</v>
      </c>
      <c r="C1953" s="125">
        <v>11751.93</v>
      </c>
      <c r="E1953" s="141"/>
      <c r="F1953" s="141"/>
    </row>
    <row r="1954" spans="2:6" hidden="1" outlineLevel="1" x14ac:dyDescent="0.15">
      <c r="B1954" s="101">
        <v>42625</v>
      </c>
      <c r="C1954" s="125">
        <v>11737</v>
      </c>
      <c r="E1954" s="141"/>
      <c r="F1954" s="141"/>
    </row>
    <row r="1955" spans="2:6" hidden="1" outlineLevel="1" x14ac:dyDescent="0.15">
      <c r="B1955" s="101">
        <v>42622</v>
      </c>
      <c r="C1955" s="125">
        <v>11940.12</v>
      </c>
      <c r="E1955" s="141"/>
      <c r="F1955" s="141"/>
    </row>
    <row r="1956" spans="2:6" hidden="1" outlineLevel="1" x14ac:dyDescent="0.15">
      <c r="B1956" s="101">
        <v>42621</v>
      </c>
      <c r="C1956" s="125">
        <v>12055.6</v>
      </c>
      <c r="E1956" s="141"/>
      <c r="F1956" s="141"/>
    </row>
    <row r="1957" spans="2:6" hidden="1" outlineLevel="1" x14ac:dyDescent="0.15">
      <c r="B1957" s="101">
        <v>42620</v>
      </c>
      <c r="C1957" s="125">
        <v>12005.43</v>
      </c>
      <c r="E1957" s="141"/>
      <c r="F1957" s="141"/>
    </row>
    <row r="1958" spans="2:6" hidden="1" outlineLevel="1" x14ac:dyDescent="0.15">
      <c r="B1958" s="101">
        <v>42619</v>
      </c>
      <c r="C1958" s="125">
        <v>12037.72</v>
      </c>
      <c r="E1958" s="141"/>
      <c r="F1958" s="141"/>
    </row>
    <row r="1959" spans="2:6" hidden="1" outlineLevel="1" x14ac:dyDescent="0.15">
      <c r="B1959" s="101">
        <v>42615</v>
      </c>
      <c r="C1959" s="125">
        <v>11857.76</v>
      </c>
      <c r="E1959" s="141"/>
      <c r="F1959" s="141"/>
    </row>
    <row r="1960" spans="2:6" hidden="1" outlineLevel="1" x14ac:dyDescent="0.15">
      <c r="B1960" s="101">
        <v>42614</v>
      </c>
      <c r="C1960" s="125">
        <v>11810.69</v>
      </c>
      <c r="E1960" s="141"/>
      <c r="F1960" s="141"/>
    </row>
    <row r="1961" spans="2:6" hidden="1" outlineLevel="1" x14ac:dyDescent="0.15">
      <c r="B1961" s="101">
        <v>42613</v>
      </c>
      <c r="C1961" s="125">
        <v>11826.19</v>
      </c>
      <c r="E1961" s="141"/>
      <c r="F1961" s="141"/>
    </row>
    <row r="1962" spans="2:6" hidden="1" outlineLevel="1" x14ac:dyDescent="0.15">
      <c r="B1962" s="101">
        <v>42612</v>
      </c>
      <c r="C1962" s="125">
        <v>11766.04</v>
      </c>
      <c r="E1962" s="141"/>
      <c r="F1962" s="141"/>
    </row>
    <row r="1963" spans="2:6" hidden="1" outlineLevel="1" x14ac:dyDescent="0.15">
      <c r="B1963" s="101">
        <v>42611</v>
      </c>
      <c r="C1963" s="125">
        <v>11581.83</v>
      </c>
      <c r="E1963" s="141"/>
      <c r="F1963" s="141"/>
    </row>
    <row r="1964" spans="2:6" hidden="1" outlineLevel="1" x14ac:dyDescent="0.15">
      <c r="B1964" s="101">
        <v>42608</v>
      </c>
      <c r="C1964" s="125">
        <v>11534.92</v>
      </c>
      <c r="E1964" s="141"/>
      <c r="F1964" s="141"/>
    </row>
    <row r="1965" spans="2:6" hidden="1" outlineLevel="1" x14ac:dyDescent="0.15">
      <c r="B1965" s="101">
        <v>42607</v>
      </c>
      <c r="C1965" s="125">
        <v>11561.34</v>
      </c>
      <c r="E1965" s="141"/>
      <c r="F1965" s="141"/>
    </row>
    <row r="1966" spans="2:6" hidden="1" outlineLevel="1" x14ac:dyDescent="0.15">
      <c r="B1966" s="101">
        <v>42606</v>
      </c>
      <c r="C1966" s="125">
        <v>11639.48</v>
      </c>
      <c r="E1966" s="141"/>
      <c r="F1966" s="141"/>
    </row>
    <row r="1967" spans="2:6" hidden="1" outlineLevel="1" x14ac:dyDescent="0.15">
      <c r="B1967" s="101">
        <v>42605</v>
      </c>
      <c r="C1967" s="125">
        <v>11615.7</v>
      </c>
      <c r="E1967" s="141"/>
      <c r="F1967" s="141"/>
    </row>
    <row r="1968" spans="2:6" hidden="1" outlineLevel="1" x14ac:dyDescent="0.15">
      <c r="B1968" s="101">
        <v>42604</v>
      </c>
      <c r="C1968" s="125">
        <v>11611.02</v>
      </c>
      <c r="E1968" s="141"/>
      <c r="F1968" s="141"/>
    </row>
    <row r="1969" spans="2:6" hidden="1" outlineLevel="1" x14ac:dyDescent="0.15">
      <c r="B1969" s="101">
        <v>42601</v>
      </c>
      <c r="C1969" s="125">
        <v>11661.82</v>
      </c>
      <c r="E1969" s="141"/>
      <c r="F1969" s="141"/>
    </row>
    <row r="1970" spans="2:6" hidden="1" outlineLevel="1" x14ac:dyDescent="0.15">
      <c r="B1970" s="101">
        <v>42600</v>
      </c>
      <c r="C1970" s="125">
        <v>11670.37</v>
      </c>
      <c r="E1970" s="141"/>
      <c r="F1970" s="141"/>
    </row>
    <row r="1971" spans="2:6" hidden="1" outlineLevel="1" x14ac:dyDescent="0.15">
      <c r="B1971" s="101">
        <v>42599</v>
      </c>
      <c r="C1971" s="125">
        <v>11598.72</v>
      </c>
      <c r="E1971" s="141"/>
      <c r="F1971" s="141"/>
    </row>
    <row r="1972" spans="2:6" hidden="1" outlineLevel="1" x14ac:dyDescent="0.15">
      <c r="B1972" s="101">
        <v>42598</v>
      </c>
      <c r="C1972" s="125">
        <v>11623.61</v>
      </c>
      <c r="E1972" s="141"/>
      <c r="F1972" s="141"/>
    </row>
    <row r="1973" spans="2:6" hidden="1" outlineLevel="1" x14ac:dyDescent="0.15">
      <c r="B1973" s="101">
        <v>42594</v>
      </c>
      <c r="C1973" s="125">
        <v>11663.43</v>
      </c>
      <c r="E1973" s="141"/>
      <c r="F1973" s="141"/>
    </row>
    <row r="1974" spans="2:6" hidden="1" outlineLevel="1" x14ac:dyDescent="0.15">
      <c r="B1974" s="101">
        <v>42593</v>
      </c>
      <c r="C1974" s="125">
        <v>11555.84</v>
      </c>
      <c r="E1974" s="141"/>
      <c r="F1974" s="141"/>
    </row>
    <row r="1975" spans="2:6" hidden="1" outlineLevel="1" x14ac:dyDescent="0.15">
      <c r="B1975" s="101">
        <v>42592</v>
      </c>
      <c r="C1975" s="125">
        <v>11532.49</v>
      </c>
      <c r="E1975" s="141"/>
      <c r="F1975" s="141"/>
    </row>
    <row r="1976" spans="2:6" hidden="1" outlineLevel="1" x14ac:dyDescent="0.15">
      <c r="B1976" s="101">
        <v>42591</v>
      </c>
      <c r="C1976" s="125">
        <v>11669.7</v>
      </c>
      <c r="E1976" s="141"/>
      <c r="F1976" s="141"/>
    </row>
    <row r="1977" spans="2:6" hidden="1" outlineLevel="1" x14ac:dyDescent="0.15">
      <c r="B1977" s="101">
        <v>42590</v>
      </c>
      <c r="C1977" s="125">
        <v>11713.58</v>
      </c>
      <c r="E1977" s="141"/>
      <c r="F1977" s="141"/>
    </row>
    <row r="1978" spans="2:6" hidden="1" outlineLevel="1" x14ac:dyDescent="0.15">
      <c r="B1978" s="101">
        <v>42587</v>
      </c>
      <c r="C1978" s="125">
        <v>11675.68</v>
      </c>
      <c r="E1978" s="141"/>
      <c r="F1978" s="141"/>
    </row>
    <row r="1979" spans="2:6" hidden="1" outlineLevel="1" x14ac:dyDescent="0.15">
      <c r="B1979" s="101">
        <v>42586</v>
      </c>
      <c r="C1979" s="125">
        <v>11498.13</v>
      </c>
      <c r="E1979" s="141"/>
      <c r="F1979" s="141"/>
    </row>
    <row r="1980" spans="2:6" hidden="1" outlineLevel="1" x14ac:dyDescent="0.15">
      <c r="B1980" s="101">
        <v>42585</v>
      </c>
      <c r="C1980" s="125">
        <v>11489.74</v>
      </c>
      <c r="E1980" s="141"/>
      <c r="F1980" s="141"/>
    </row>
    <row r="1981" spans="2:6" hidden="1" outlineLevel="1" x14ac:dyDescent="0.15">
      <c r="B1981" s="101">
        <v>42584</v>
      </c>
      <c r="C1981" s="125">
        <v>11594.65</v>
      </c>
      <c r="E1981" s="141"/>
      <c r="F1981" s="141"/>
    </row>
    <row r="1982" spans="2:6" hidden="1" outlineLevel="1" x14ac:dyDescent="0.15">
      <c r="B1982" s="101">
        <v>42583</v>
      </c>
      <c r="C1982" s="125">
        <v>11612.19</v>
      </c>
      <c r="E1982" s="141"/>
      <c r="F1982" s="141"/>
    </row>
    <row r="1983" spans="2:6" hidden="1" outlineLevel="1" x14ac:dyDescent="0.15">
      <c r="B1983" s="101">
        <v>42580</v>
      </c>
      <c r="C1983" s="125">
        <v>11614.8</v>
      </c>
      <c r="E1983" s="141"/>
      <c r="F1983" s="141"/>
    </row>
    <row r="1984" spans="2:6" hidden="1" outlineLevel="1" x14ac:dyDescent="0.15">
      <c r="B1984" s="101">
        <v>42579</v>
      </c>
      <c r="C1984" s="125">
        <v>11652.18</v>
      </c>
      <c r="E1984" s="141"/>
      <c r="F1984" s="141"/>
    </row>
    <row r="1985" spans="2:6" hidden="1" outlineLevel="1" x14ac:dyDescent="0.15">
      <c r="B1985" s="101">
        <v>42578</v>
      </c>
      <c r="C1985" s="125">
        <v>11579.64</v>
      </c>
      <c r="E1985" s="141"/>
      <c r="F1985" s="141"/>
    </row>
    <row r="1986" spans="2:6" hidden="1" outlineLevel="1" x14ac:dyDescent="0.15">
      <c r="B1986" s="101">
        <v>42577</v>
      </c>
      <c r="C1986" s="125">
        <v>11545.78</v>
      </c>
      <c r="E1986" s="141"/>
      <c r="F1986" s="141"/>
    </row>
    <row r="1987" spans="2:6" hidden="1" outlineLevel="1" x14ac:dyDescent="0.15">
      <c r="B1987" s="101">
        <v>42576</v>
      </c>
      <c r="C1987" s="125">
        <v>11606.29</v>
      </c>
      <c r="E1987" s="141"/>
      <c r="F1987" s="141"/>
    </row>
    <row r="1988" spans="2:6" hidden="1" outlineLevel="1" x14ac:dyDescent="0.15">
      <c r="B1988" s="101">
        <v>42573</v>
      </c>
      <c r="C1988" s="125">
        <v>11477.47</v>
      </c>
      <c r="E1988" s="141"/>
      <c r="F1988" s="141"/>
    </row>
    <row r="1989" spans="2:6" hidden="1" outlineLevel="1" x14ac:dyDescent="0.15">
      <c r="B1989" s="101">
        <v>42572</v>
      </c>
      <c r="C1989" s="125">
        <v>11435.64</v>
      </c>
      <c r="E1989" s="141"/>
      <c r="F1989" s="141"/>
    </row>
    <row r="1990" spans="2:6" hidden="1" outlineLevel="1" x14ac:dyDescent="0.15">
      <c r="B1990" s="101">
        <v>42571</v>
      </c>
      <c r="C1990" s="125">
        <v>11508.07</v>
      </c>
      <c r="E1990" s="141"/>
      <c r="F1990" s="141"/>
    </row>
    <row r="1991" spans="2:6" hidden="1" outlineLevel="1" x14ac:dyDescent="0.15">
      <c r="B1991" s="101">
        <v>42570</v>
      </c>
      <c r="C1991" s="125">
        <v>11457.95</v>
      </c>
      <c r="E1991" s="141"/>
      <c r="F1991" s="141"/>
    </row>
    <row r="1992" spans="2:6" hidden="1" outlineLevel="1" x14ac:dyDescent="0.15">
      <c r="B1992" s="101">
        <v>42569</v>
      </c>
      <c r="C1992" s="125">
        <v>11431.25</v>
      </c>
      <c r="E1992" s="141"/>
      <c r="F1992" s="141"/>
    </row>
    <row r="1993" spans="2:6" hidden="1" outlineLevel="1" x14ac:dyDescent="0.15">
      <c r="B1993" s="101">
        <v>42566</v>
      </c>
      <c r="C1993" s="125">
        <v>11474.04</v>
      </c>
      <c r="E1993" s="141"/>
      <c r="F1993" s="141"/>
    </row>
    <row r="1994" spans="2:6" hidden="1" outlineLevel="1" x14ac:dyDescent="0.15">
      <c r="B1994" s="101">
        <v>42565</v>
      </c>
      <c r="C1994" s="125">
        <v>11497.65</v>
      </c>
      <c r="E1994" s="141"/>
      <c r="F1994" s="141"/>
    </row>
    <row r="1995" spans="2:6" hidden="1" outlineLevel="1" x14ac:dyDescent="0.15">
      <c r="B1995" s="101">
        <v>42564</v>
      </c>
      <c r="C1995" s="125">
        <v>11436.09</v>
      </c>
      <c r="E1995" s="141"/>
      <c r="F1995" s="141"/>
    </row>
    <row r="1996" spans="2:6" hidden="1" outlineLevel="1" x14ac:dyDescent="0.15">
      <c r="B1996" s="101">
        <v>42563</v>
      </c>
      <c r="C1996" s="125">
        <v>11438.19</v>
      </c>
      <c r="E1996" s="141"/>
      <c r="F1996" s="141"/>
    </row>
    <row r="1997" spans="2:6" hidden="1" outlineLevel="1" x14ac:dyDescent="0.15">
      <c r="B1997" s="101">
        <v>42562</v>
      </c>
      <c r="C1997" s="125">
        <v>11366.82</v>
      </c>
      <c r="E1997" s="141"/>
      <c r="F1997" s="141"/>
    </row>
    <row r="1998" spans="2:6" hidden="1" outlineLevel="1" x14ac:dyDescent="0.15">
      <c r="B1998" s="101">
        <v>42559</v>
      </c>
      <c r="C1998" s="125">
        <v>11172.39</v>
      </c>
      <c r="E1998" s="141"/>
      <c r="F1998" s="141"/>
    </row>
    <row r="1999" spans="2:6" hidden="1" outlineLevel="1" x14ac:dyDescent="0.15">
      <c r="B1999" s="101">
        <v>42558</v>
      </c>
      <c r="C1999" s="125">
        <v>11192.11</v>
      </c>
      <c r="E1999" s="141"/>
      <c r="F1999" s="141"/>
    </row>
    <row r="2000" spans="2:6" hidden="1" outlineLevel="1" x14ac:dyDescent="0.15">
      <c r="B2000" s="101">
        <v>42556</v>
      </c>
      <c r="C2000" s="125">
        <v>11186.41</v>
      </c>
      <c r="E2000" s="141"/>
      <c r="F2000" s="141"/>
    </row>
    <row r="2001" spans="2:6" hidden="1" outlineLevel="1" x14ac:dyDescent="0.15">
      <c r="B2001" s="101">
        <v>42555</v>
      </c>
      <c r="C2001" s="125">
        <v>11233.09</v>
      </c>
      <c r="E2001" s="141"/>
      <c r="F2001" s="141"/>
    </row>
    <row r="2002" spans="2:6" hidden="1" outlineLevel="1" x14ac:dyDescent="0.15">
      <c r="B2002" s="101">
        <v>42552</v>
      </c>
      <c r="C2002" s="125">
        <v>11175.85</v>
      </c>
      <c r="E2002" s="141"/>
      <c r="F2002" s="141"/>
    </row>
    <row r="2003" spans="2:6" hidden="1" outlineLevel="1" x14ac:dyDescent="0.15">
      <c r="B2003" s="101">
        <v>42551</v>
      </c>
      <c r="C2003" s="125">
        <v>11121.39</v>
      </c>
      <c r="E2003" s="141"/>
      <c r="F2003" s="141"/>
    </row>
    <row r="2004" spans="2:6" hidden="1" outlineLevel="1" x14ac:dyDescent="0.15">
      <c r="B2004" s="101">
        <v>42550</v>
      </c>
      <c r="C2004" s="125">
        <v>11009.02</v>
      </c>
      <c r="E2004" s="141"/>
      <c r="F2004" s="141"/>
    </row>
    <row r="2005" spans="2:6" hidden="1" outlineLevel="1" x14ac:dyDescent="0.15">
      <c r="B2005" s="101">
        <v>42549</v>
      </c>
      <c r="C2005" s="125">
        <v>10899.91</v>
      </c>
      <c r="E2005" s="141"/>
      <c r="F2005" s="141"/>
    </row>
    <row r="2006" spans="2:6" hidden="1" outlineLevel="1" x14ac:dyDescent="0.15">
      <c r="B2006" s="101">
        <v>42548</v>
      </c>
      <c r="C2006" s="125">
        <v>10855.5</v>
      </c>
      <c r="E2006" s="141"/>
      <c r="F2006" s="141"/>
    </row>
    <row r="2007" spans="2:6" hidden="1" outlineLevel="1" x14ac:dyDescent="0.15">
      <c r="B2007" s="101">
        <v>42545</v>
      </c>
      <c r="C2007" s="125">
        <v>10847.29</v>
      </c>
      <c r="E2007" s="141"/>
      <c r="F2007" s="141"/>
    </row>
    <row r="2008" spans="2:6" hidden="1" outlineLevel="1" x14ac:dyDescent="0.15">
      <c r="B2008" s="101">
        <v>42544</v>
      </c>
      <c r="C2008" s="125">
        <v>11091.16</v>
      </c>
      <c r="E2008" s="141"/>
      <c r="F2008" s="141"/>
    </row>
    <row r="2009" spans="2:6" hidden="1" outlineLevel="1" x14ac:dyDescent="0.15">
      <c r="B2009" s="101">
        <v>42543</v>
      </c>
      <c r="C2009" s="125">
        <v>11000.82</v>
      </c>
      <c r="E2009" s="141"/>
      <c r="F2009" s="141"/>
    </row>
    <row r="2010" spans="2:6" hidden="1" outlineLevel="1" x14ac:dyDescent="0.15">
      <c r="B2010" s="101">
        <v>42542</v>
      </c>
      <c r="C2010" s="125">
        <v>11020.11</v>
      </c>
      <c r="E2010" s="141"/>
      <c r="F2010" s="141"/>
    </row>
    <row r="2011" spans="2:6" hidden="1" outlineLevel="1" x14ac:dyDescent="0.15">
      <c r="B2011" s="101">
        <v>42541</v>
      </c>
      <c r="C2011" s="125">
        <v>11045.03</v>
      </c>
      <c r="E2011" s="141"/>
      <c r="F2011" s="141"/>
    </row>
    <row r="2012" spans="2:6" hidden="1" outlineLevel="1" x14ac:dyDescent="0.15">
      <c r="B2012" s="101">
        <v>42538</v>
      </c>
      <c r="C2012" s="125">
        <v>10953.44</v>
      </c>
      <c r="E2012" s="141"/>
      <c r="F2012" s="141"/>
    </row>
    <row r="2013" spans="2:6" hidden="1" outlineLevel="1" x14ac:dyDescent="0.15">
      <c r="B2013" s="101">
        <v>42537</v>
      </c>
      <c r="C2013" s="125">
        <v>10913.97</v>
      </c>
      <c r="E2013" s="141"/>
      <c r="F2013" s="141"/>
    </row>
    <row r="2014" spans="2:6" hidden="1" outlineLevel="1" x14ac:dyDescent="0.15">
      <c r="B2014" s="101">
        <v>42536</v>
      </c>
      <c r="C2014" s="125">
        <v>10990.64</v>
      </c>
      <c r="E2014" s="141"/>
      <c r="F2014" s="141"/>
    </row>
    <row r="2015" spans="2:6" hidden="1" outlineLevel="1" x14ac:dyDescent="0.15">
      <c r="B2015" s="101">
        <v>42535</v>
      </c>
      <c r="C2015" s="125">
        <v>10859.76</v>
      </c>
      <c r="E2015" s="141"/>
      <c r="F2015" s="141"/>
    </row>
    <row r="2016" spans="2:6" hidden="1" outlineLevel="1" x14ac:dyDescent="0.15">
      <c r="B2016" s="101">
        <v>42534</v>
      </c>
      <c r="C2016" s="125">
        <v>10862.06</v>
      </c>
      <c r="E2016" s="141"/>
      <c r="F2016" s="141"/>
    </row>
    <row r="2017" spans="2:6" hidden="1" outlineLevel="1" x14ac:dyDescent="0.15">
      <c r="B2017" s="101">
        <v>42531</v>
      </c>
      <c r="C2017" s="125">
        <v>10941.7</v>
      </c>
      <c r="E2017" s="141"/>
      <c r="F2017" s="141"/>
    </row>
    <row r="2018" spans="2:6" hidden="1" outlineLevel="1" x14ac:dyDescent="0.15">
      <c r="B2018" s="101">
        <v>42530</v>
      </c>
      <c r="C2018" s="125">
        <v>10986.64</v>
      </c>
      <c r="E2018" s="141"/>
      <c r="F2018" s="141"/>
    </row>
    <row r="2019" spans="2:6" hidden="1" outlineLevel="1" x14ac:dyDescent="0.15">
      <c r="B2019" s="101">
        <v>42529</v>
      </c>
      <c r="C2019" s="125">
        <v>11068.75</v>
      </c>
      <c r="E2019" s="141"/>
      <c r="F2019" s="141"/>
    </row>
    <row r="2020" spans="2:6" hidden="1" outlineLevel="1" x14ac:dyDescent="0.15">
      <c r="B2020" s="101">
        <v>42528</v>
      </c>
      <c r="C2020" s="125">
        <v>11059.93</v>
      </c>
      <c r="E2020" s="141"/>
      <c r="F2020" s="141"/>
    </row>
    <row r="2021" spans="2:6" hidden="1" outlineLevel="1" x14ac:dyDescent="0.15">
      <c r="B2021" s="101">
        <v>42527</v>
      </c>
      <c r="C2021" s="125">
        <v>10972.45</v>
      </c>
      <c r="E2021" s="141"/>
      <c r="F2021" s="141"/>
    </row>
    <row r="2022" spans="2:6" hidden="1" outlineLevel="1" x14ac:dyDescent="0.15">
      <c r="B2022" s="101">
        <v>42524</v>
      </c>
      <c r="C2022" s="125">
        <v>10992.21</v>
      </c>
      <c r="E2022" s="141"/>
      <c r="F2022" s="141"/>
    </row>
    <row r="2023" spans="2:6" hidden="1" outlineLevel="1" x14ac:dyDescent="0.15">
      <c r="B2023" s="101">
        <v>42523</v>
      </c>
      <c r="C2023" s="125">
        <v>10986.77</v>
      </c>
      <c r="E2023" s="141"/>
      <c r="F2023" s="141"/>
    </row>
    <row r="2024" spans="2:6" hidden="1" outlineLevel="1" x14ac:dyDescent="0.15">
      <c r="B2024" s="101">
        <v>42522</v>
      </c>
      <c r="C2024" s="125">
        <v>10934.62</v>
      </c>
      <c r="E2024" s="141"/>
      <c r="F2024" s="141"/>
    </row>
    <row r="2025" spans="2:6" hidden="1" outlineLevel="1" x14ac:dyDescent="0.15">
      <c r="B2025" s="101">
        <v>42521</v>
      </c>
      <c r="C2025" s="125">
        <v>10908.07</v>
      </c>
      <c r="E2025" s="141"/>
      <c r="F2025" s="141"/>
    </row>
    <row r="2026" spans="2:6" hidden="1" outlineLevel="1" x14ac:dyDescent="0.15">
      <c r="B2026" s="101">
        <v>42520</v>
      </c>
      <c r="C2026" s="125">
        <v>10932.7</v>
      </c>
      <c r="E2026" s="141"/>
      <c r="F2026" s="141"/>
    </row>
    <row r="2027" spans="2:6" hidden="1" outlineLevel="1" x14ac:dyDescent="0.15">
      <c r="B2027" s="101">
        <v>42517</v>
      </c>
      <c r="C2027" s="125">
        <v>10884.88</v>
      </c>
      <c r="E2027" s="141"/>
      <c r="F2027" s="141"/>
    </row>
    <row r="2028" spans="2:6" hidden="1" outlineLevel="1" x14ac:dyDescent="0.15">
      <c r="B2028" s="101">
        <v>42516</v>
      </c>
      <c r="C2028" s="125">
        <v>10768.78</v>
      </c>
      <c r="E2028" s="141"/>
      <c r="F2028" s="141"/>
    </row>
    <row r="2029" spans="2:6" hidden="1" outlineLevel="1" x14ac:dyDescent="0.15">
      <c r="B2029" s="101">
        <v>42515</v>
      </c>
      <c r="C2029" s="125">
        <v>10588.92</v>
      </c>
      <c r="E2029" s="141"/>
      <c r="F2029" s="141"/>
    </row>
    <row r="2030" spans="2:6" hidden="1" outlineLevel="1" x14ac:dyDescent="0.15">
      <c r="B2030" s="101">
        <v>42514</v>
      </c>
      <c r="C2030" s="125">
        <v>10340.65</v>
      </c>
      <c r="E2030" s="141"/>
      <c r="F2030" s="141"/>
    </row>
    <row r="2031" spans="2:6" hidden="1" outlineLevel="1" x14ac:dyDescent="0.15">
      <c r="B2031" s="101">
        <v>42513</v>
      </c>
      <c r="C2031" s="125">
        <v>10316.91</v>
      </c>
      <c r="E2031" s="141"/>
      <c r="F2031" s="141"/>
    </row>
    <row r="2032" spans="2:6" hidden="1" outlineLevel="1" x14ac:dyDescent="0.15">
      <c r="B2032" s="101">
        <v>42510</v>
      </c>
      <c r="C2032" s="125">
        <v>10341.790000000001</v>
      </c>
      <c r="E2032" s="141"/>
      <c r="F2032" s="141"/>
    </row>
    <row r="2033" spans="2:6" hidden="1" outlineLevel="1" x14ac:dyDescent="0.15">
      <c r="B2033" s="101">
        <v>42509</v>
      </c>
      <c r="C2033" s="125">
        <v>10386.75</v>
      </c>
      <c r="E2033" s="141"/>
      <c r="F2033" s="141"/>
    </row>
    <row r="2034" spans="2:6" hidden="1" outlineLevel="1" x14ac:dyDescent="0.15">
      <c r="B2034" s="101">
        <v>42508</v>
      </c>
      <c r="C2034" s="125">
        <v>10502.51</v>
      </c>
      <c r="E2034" s="141"/>
      <c r="F2034" s="141"/>
    </row>
    <row r="2035" spans="2:6" hidden="1" outlineLevel="1" x14ac:dyDescent="0.15">
      <c r="B2035" s="101">
        <v>42507</v>
      </c>
      <c r="C2035" s="125">
        <v>10530.03</v>
      </c>
      <c r="E2035" s="141"/>
      <c r="F2035" s="141"/>
    </row>
    <row r="2036" spans="2:6" hidden="1" outlineLevel="1" x14ac:dyDescent="0.15">
      <c r="B2036" s="101">
        <v>42506</v>
      </c>
      <c r="C2036" s="125">
        <v>10489.97</v>
      </c>
      <c r="E2036" s="141"/>
      <c r="F2036" s="141"/>
    </row>
    <row r="2037" spans="2:6" hidden="1" outlineLevel="1" x14ac:dyDescent="0.15">
      <c r="B2037" s="101">
        <v>42503</v>
      </c>
      <c r="C2037" s="125">
        <v>10428.780000000001</v>
      </c>
      <c r="E2037" s="141"/>
      <c r="F2037" s="141"/>
    </row>
    <row r="2038" spans="2:6" hidden="1" outlineLevel="1" x14ac:dyDescent="0.15">
      <c r="B2038" s="101">
        <v>42502</v>
      </c>
      <c r="C2038" s="125">
        <v>10542.93</v>
      </c>
      <c r="E2038" s="141"/>
      <c r="F2038" s="141"/>
    </row>
    <row r="2039" spans="2:6" hidden="1" outlineLevel="1" x14ac:dyDescent="0.15">
      <c r="B2039" s="101">
        <v>42501</v>
      </c>
      <c r="C2039" s="125">
        <v>10474.1</v>
      </c>
      <c r="E2039" s="141"/>
      <c r="F2039" s="141"/>
    </row>
    <row r="2040" spans="2:6" hidden="1" outlineLevel="1" x14ac:dyDescent="0.15">
      <c r="B2040" s="101">
        <v>42500</v>
      </c>
      <c r="C2040" s="125">
        <v>10526.11</v>
      </c>
      <c r="E2040" s="141"/>
      <c r="F2040" s="141"/>
    </row>
    <row r="2041" spans="2:6" hidden="1" outlineLevel="1" x14ac:dyDescent="0.15">
      <c r="B2041" s="101">
        <v>42499</v>
      </c>
      <c r="C2041" s="125">
        <v>10497.09</v>
      </c>
      <c r="E2041" s="141"/>
      <c r="F2041" s="141"/>
    </row>
    <row r="2042" spans="2:6" hidden="1" outlineLevel="1" x14ac:dyDescent="0.15">
      <c r="B2042" s="101">
        <v>42496</v>
      </c>
      <c r="C2042" s="125">
        <v>10320.120000000001</v>
      </c>
      <c r="E2042" s="141"/>
      <c r="F2042" s="141"/>
    </row>
    <row r="2043" spans="2:6" hidden="1" outlineLevel="1" x14ac:dyDescent="0.15">
      <c r="B2043" s="101">
        <v>42495</v>
      </c>
      <c r="C2043" s="125">
        <v>10322.82</v>
      </c>
      <c r="E2043" s="141"/>
      <c r="F2043" s="141"/>
    </row>
    <row r="2044" spans="2:6" hidden="1" outlineLevel="1" x14ac:dyDescent="0.15">
      <c r="B2044" s="101">
        <v>42494</v>
      </c>
      <c r="C2044" s="125">
        <v>10283.01</v>
      </c>
      <c r="E2044" s="141"/>
      <c r="F2044" s="141"/>
    </row>
    <row r="2045" spans="2:6" hidden="1" outlineLevel="1" x14ac:dyDescent="0.15">
      <c r="B2045" s="101">
        <v>42493</v>
      </c>
      <c r="C2045" s="125">
        <v>10336.969999999999</v>
      </c>
      <c r="E2045" s="141"/>
      <c r="F2045" s="141"/>
    </row>
    <row r="2046" spans="2:6" hidden="1" outlineLevel="1" x14ac:dyDescent="0.15">
      <c r="B2046" s="101">
        <v>42492</v>
      </c>
      <c r="C2046" s="125">
        <v>10415.52</v>
      </c>
      <c r="E2046" s="141"/>
      <c r="F2046" s="141"/>
    </row>
    <row r="2047" spans="2:6" hidden="1" outlineLevel="1" x14ac:dyDescent="0.15">
      <c r="B2047" s="101">
        <v>42489</v>
      </c>
      <c r="C2047" s="125">
        <v>10474.15</v>
      </c>
      <c r="E2047" s="141"/>
      <c r="F2047" s="141"/>
    </row>
    <row r="2048" spans="2:6" hidden="1" outlineLevel="1" x14ac:dyDescent="0.15">
      <c r="B2048" s="101">
        <v>42488</v>
      </c>
      <c r="C2048" s="125">
        <v>10470.709999999999</v>
      </c>
      <c r="E2048" s="141"/>
      <c r="F2048" s="141"/>
    </row>
    <row r="2049" spans="2:6" hidden="1" outlineLevel="1" x14ac:dyDescent="0.15">
      <c r="B2049" s="101">
        <v>42487</v>
      </c>
      <c r="C2049" s="125">
        <v>10647.74</v>
      </c>
      <c r="E2049" s="141"/>
      <c r="F2049" s="141"/>
    </row>
    <row r="2050" spans="2:6" hidden="1" outlineLevel="1" x14ac:dyDescent="0.15">
      <c r="B2050" s="101">
        <v>42486</v>
      </c>
      <c r="C2050" s="125">
        <v>10624.72</v>
      </c>
      <c r="E2050" s="141"/>
      <c r="F2050" s="141"/>
    </row>
    <row r="2051" spans="2:6" hidden="1" outlineLevel="1" x14ac:dyDescent="0.15">
      <c r="B2051" s="101">
        <v>42485</v>
      </c>
      <c r="C2051" s="125">
        <v>10481.120000000001</v>
      </c>
      <c r="E2051" s="141"/>
      <c r="F2051" s="141"/>
    </row>
    <row r="2052" spans="2:6" hidden="1" outlineLevel="1" x14ac:dyDescent="0.15">
      <c r="B2052" s="101">
        <v>42482</v>
      </c>
      <c r="C2052" s="125">
        <v>10540.19</v>
      </c>
      <c r="E2052" s="141"/>
      <c r="F2052" s="141"/>
    </row>
    <row r="2053" spans="2:6" hidden="1" outlineLevel="1" x14ac:dyDescent="0.15">
      <c r="B2053" s="101">
        <v>42481</v>
      </c>
      <c r="C2053" s="125">
        <v>10557.22</v>
      </c>
      <c r="E2053" s="141"/>
      <c r="F2053" s="141"/>
    </row>
    <row r="2054" spans="2:6" hidden="1" outlineLevel="1" x14ac:dyDescent="0.15">
      <c r="B2054" s="101">
        <v>42480</v>
      </c>
      <c r="C2054" s="125">
        <v>10560.79</v>
      </c>
      <c r="E2054" s="141"/>
      <c r="F2054" s="141"/>
    </row>
    <row r="2055" spans="2:6" hidden="1" outlineLevel="1" x14ac:dyDescent="0.15">
      <c r="B2055" s="101">
        <v>42478</v>
      </c>
      <c r="C2055" s="125">
        <v>10560.74</v>
      </c>
      <c r="E2055" s="141"/>
      <c r="F2055" s="141"/>
    </row>
    <row r="2056" spans="2:6" hidden="1" outlineLevel="1" x14ac:dyDescent="0.15">
      <c r="B2056" s="101">
        <v>42473</v>
      </c>
      <c r="C2056" s="125">
        <v>10475.02</v>
      </c>
      <c r="E2056" s="141"/>
      <c r="F2056" s="141"/>
    </row>
    <row r="2057" spans="2:6" hidden="1" outlineLevel="1" x14ac:dyDescent="0.15">
      <c r="B2057" s="101">
        <v>42472</v>
      </c>
      <c r="C2057" s="125">
        <v>10286.18</v>
      </c>
      <c r="E2057" s="141"/>
      <c r="F2057" s="141"/>
    </row>
    <row r="2058" spans="2:6" hidden="1" outlineLevel="1" x14ac:dyDescent="0.15">
      <c r="B2058" s="101">
        <v>42471</v>
      </c>
      <c r="C2058" s="125">
        <v>10236.11</v>
      </c>
      <c r="E2058" s="141"/>
      <c r="F2058" s="141"/>
    </row>
    <row r="2059" spans="2:6" hidden="1" outlineLevel="1" x14ac:dyDescent="0.15">
      <c r="B2059" s="101">
        <v>42468</v>
      </c>
      <c r="C2059" s="125">
        <v>10081.01</v>
      </c>
      <c r="E2059" s="141"/>
      <c r="F2059" s="141"/>
    </row>
    <row r="2060" spans="2:6" hidden="1" outlineLevel="1" x14ac:dyDescent="0.15">
      <c r="B2060" s="101">
        <v>42467</v>
      </c>
      <c r="C2060" s="125">
        <v>10069.36</v>
      </c>
      <c r="E2060" s="141"/>
      <c r="F2060" s="141"/>
    </row>
    <row r="2061" spans="2:6" hidden="1" outlineLevel="1" x14ac:dyDescent="0.15">
      <c r="B2061" s="101">
        <v>42466</v>
      </c>
      <c r="C2061" s="125">
        <v>10159.98</v>
      </c>
      <c r="E2061" s="141"/>
      <c r="F2061" s="141"/>
    </row>
    <row r="2062" spans="2:6" hidden="1" outlineLevel="1" x14ac:dyDescent="0.15">
      <c r="B2062" s="101">
        <v>42465</v>
      </c>
      <c r="C2062" s="125">
        <v>10145.1</v>
      </c>
      <c r="E2062" s="141"/>
      <c r="F2062" s="141"/>
    </row>
    <row r="2063" spans="2:6" hidden="1" outlineLevel="1" x14ac:dyDescent="0.15">
      <c r="B2063" s="101">
        <v>42464</v>
      </c>
      <c r="C2063" s="125">
        <v>10352.69</v>
      </c>
      <c r="E2063" s="141"/>
      <c r="F2063" s="141"/>
    </row>
    <row r="2064" spans="2:6" hidden="1" outlineLevel="1" x14ac:dyDescent="0.15">
      <c r="B2064" s="101">
        <v>42461</v>
      </c>
      <c r="C2064" s="125">
        <v>10291.69</v>
      </c>
      <c r="E2064" s="141"/>
      <c r="F2064" s="141"/>
    </row>
    <row r="2065" spans="2:6" hidden="1" outlineLevel="1" x14ac:dyDescent="0.15">
      <c r="B2065" s="101">
        <v>42460</v>
      </c>
      <c r="C2065" s="125">
        <v>10325.5</v>
      </c>
      <c r="E2065" s="141"/>
      <c r="F2065" s="141"/>
    </row>
    <row r="2066" spans="2:6" hidden="1" outlineLevel="1" x14ac:dyDescent="0.15">
      <c r="B2066" s="101">
        <v>42459</v>
      </c>
      <c r="C2066" s="125">
        <v>10321.200000000001</v>
      </c>
      <c r="E2066" s="141"/>
      <c r="F2066" s="141"/>
    </row>
    <row r="2067" spans="2:6" hidden="1" outlineLevel="1" x14ac:dyDescent="0.15">
      <c r="B2067" s="101">
        <v>42458</v>
      </c>
      <c r="C2067" s="125">
        <v>10135.49</v>
      </c>
      <c r="E2067" s="141"/>
      <c r="F2067" s="141"/>
    </row>
    <row r="2068" spans="2:6" hidden="1" outlineLevel="1" x14ac:dyDescent="0.15">
      <c r="B2068" s="101">
        <v>42457</v>
      </c>
      <c r="C2068" s="125">
        <v>10159.66</v>
      </c>
      <c r="E2068" s="141"/>
      <c r="F2068" s="141"/>
    </row>
    <row r="2069" spans="2:6" hidden="1" outlineLevel="1" x14ac:dyDescent="0.15">
      <c r="B2069" s="101">
        <v>42452</v>
      </c>
      <c r="C2069" s="125">
        <v>10294.93</v>
      </c>
      <c r="E2069" s="141"/>
      <c r="F2069" s="141"/>
    </row>
    <row r="2070" spans="2:6" hidden="1" outlineLevel="1" x14ac:dyDescent="0.15">
      <c r="B2070" s="101">
        <v>42451</v>
      </c>
      <c r="C2070" s="125">
        <v>10292.77</v>
      </c>
      <c r="E2070" s="141"/>
      <c r="F2070" s="141"/>
    </row>
    <row r="2071" spans="2:6" hidden="1" outlineLevel="1" x14ac:dyDescent="0.15">
      <c r="B2071" s="101">
        <v>42450</v>
      </c>
      <c r="C2071" s="125">
        <v>10278.299999999999</v>
      </c>
      <c r="E2071" s="141"/>
      <c r="F2071" s="141"/>
    </row>
    <row r="2072" spans="2:6" hidden="1" outlineLevel="1" x14ac:dyDescent="0.15">
      <c r="B2072" s="101">
        <v>42447</v>
      </c>
      <c r="C2072" s="125">
        <v>10143.6</v>
      </c>
      <c r="E2072" s="141"/>
      <c r="F2072" s="141"/>
    </row>
    <row r="2073" spans="2:6" hidden="1" outlineLevel="1" x14ac:dyDescent="0.15">
      <c r="B2073" s="101">
        <v>42446</v>
      </c>
      <c r="C2073" s="125">
        <v>10021.129999999999</v>
      </c>
      <c r="E2073" s="141"/>
      <c r="F2073" s="141"/>
    </row>
    <row r="2074" spans="2:6" hidden="1" outlineLevel="1" x14ac:dyDescent="0.15">
      <c r="B2074" s="101">
        <v>42445</v>
      </c>
      <c r="C2074" s="125">
        <v>9997.9</v>
      </c>
      <c r="E2074" s="141"/>
      <c r="F2074" s="141"/>
    </row>
    <row r="2075" spans="2:6" hidden="1" outlineLevel="1" x14ac:dyDescent="0.15">
      <c r="B2075" s="101">
        <v>42444</v>
      </c>
      <c r="C2075" s="125">
        <v>9944.76</v>
      </c>
      <c r="E2075" s="141"/>
      <c r="F2075" s="141"/>
    </row>
    <row r="2076" spans="2:6" hidden="1" outlineLevel="1" x14ac:dyDescent="0.15">
      <c r="B2076" s="101">
        <v>42443</v>
      </c>
      <c r="C2076" s="125">
        <v>10048.89</v>
      </c>
      <c r="E2076" s="141"/>
      <c r="F2076" s="141"/>
    </row>
    <row r="2077" spans="2:6" hidden="1" outlineLevel="1" x14ac:dyDescent="0.15">
      <c r="B2077" s="101">
        <v>42440</v>
      </c>
      <c r="C2077" s="125">
        <v>10001.18</v>
      </c>
      <c r="E2077" s="141"/>
      <c r="F2077" s="141"/>
    </row>
    <row r="2078" spans="2:6" hidden="1" outlineLevel="1" x14ac:dyDescent="0.15">
      <c r="B2078" s="101">
        <v>42439</v>
      </c>
      <c r="C2078" s="125">
        <v>9969.15</v>
      </c>
      <c r="E2078" s="141"/>
      <c r="F2078" s="141"/>
    </row>
    <row r="2079" spans="2:6" hidden="1" outlineLevel="1" x14ac:dyDescent="0.15">
      <c r="B2079" s="101">
        <v>42438</v>
      </c>
      <c r="C2079" s="125">
        <v>10029.959999999999</v>
      </c>
      <c r="E2079" s="141"/>
      <c r="F2079" s="141"/>
    </row>
    <row r="2080" spans="2:6" hidden="1" outlineLevel="1" x14ac:dyDescent="0.15">
      <c r="B2080" s="101">
        <v>42437</v>
      </c>
      <c r="C2080" s="125">
        <v>9967.99</v>
      </c>
      <c r="E2080" s="141"/>
      <c r="F2080" s="141"/>
    </row>
    <row r="2081" spans="2:6" hidden="1" outlineLevel="1" x14ac:dyDescent="0.15">
      <c r="B2081" s="101">
        <v>42433</v>
      </c>
      <c r="C2081" s="125">
        <v>9968.09</v>
      </c>
      <c r="E2081" s="141"/>
      <c r="F2081" s="141"/>
    </row>
    <row r="2082" spans="2:6" hidden="1" outlineLevel="1" x14ac:dyDescent="0.15">
      <c r="B2082" s="101">
        <v>42432</v>
      </c>
      <c r="C2082" s="125">
        <v>9955.1</v>
      </c>
      <c r="E2082" s="141"/>
      <c r="F2082" s="141"/>
    </row>
    <row r="2083" spans="2:6" hidden="1" outlineLevel="1" x14ac:dyDescent="0.15">
      <c r="B2083" s="101">
        <v>42431</v>
      </c>
      <c r="C2083" s="125">
        <v>9812.68</v>
      </c>
      <c r="E2083" s="141"/>
      <c r="F2083" s="141"/>
    </row>
    <row r="2084" spans="2:6" hidden="1" outlineLevel="1" x14ac:dyDescent="0.15">
      <c r="B2084" s="101">
        <v>42430</v>
      </c>
      <c r="C2084" s="125">
        <v>9617.51</v>
      </c>
      <c r="E2084" s="141"/>
      <c r="F2084" s="141"/>
    </row>
    <row r="2085" spans="2:6" hidden="1" outlineLevel="1" x14ac:dyDescent="0.15">
      <c r="B2085" s="101">
        <v>42429</v>
      </c>
      <c r="C2085" s="125">
        <v>9304.26</v>
      </c>
      <c r="E2085" s="141"/>
      <c r="F2085" s="141"/>
    </row>
    <row r="2086" spans="2:6" hidden="1" outlineLevel="1" x14ac:dyDescent="0.15">
      <c r="B2086" s="101">
        <v>42426</v>
      </c>
      <c r="C2086" s="125">
        <v>9361.1</v>
      </c>
      <c r="E2086" s="141"/>
      <c r="F2086" s="141"/>
    </row>
    <row r="2087" spans="2:6" hidden="1" outlineLevel="1" x14ac:dyDescent="0.15">
      <c r="B2087" s="101">
        <v>42425</v>
      </c>
      <c r="C2087" s="125">
        <v>9282.3799999999992</v>
      </c>
      <c r="E2087" s="141"/>
      <c r="F2087" s="141"/>
    </row>
    <row r="2088" spans="2:6" hidden="1" outlineLevel="1" x14ac:dyDescent="0.15">
      <c r="B2088" s="101">
        <v>42424</v>
      </c>
      <c r="C2088" s="125">
        <v>9346.39</v>
      </c>
      <c r="E2088" s="141"/>
      <c r="F2088" s="141"/>
    </row>
    <row r="2089" spans="2:6" hidden="1" outlineLevel="1" x14ac:dyDescent="0.15">
      <c r="B2089" s="101">
        <v>42423</v>
      </c>
      <c r="C2089" s="125">
        <v>9467.41</v>
      </c>
      <c r="E2089" s="141"/>
      <c r="F2089" s="141"/>
    </row>
    <row r="2090" spans="2:6" hidden="1" outlineLevel="1" x14ac:dyDescent="0.15">
      <c r="B2090" s="101">
        <v>42422</v>
      </c>
      <c r="C2090" s="125">
        <v>9633.83</v>
      </c>
      <c r="E2090" s="141"/>
      <c r="F2090" s="141"/>
    </row>
    <row r="2091" spans="2:6" hidden="1" outlineLevel="1" x14ac:dyDescent="0.15">
      <c r="B2091" s="101">
        <v>42419</v>
      </c>
      <c r="C2091" s="125">
        <v>9601.77</v>
      </c>
      <c r="E2091" s="141"/>
      <c r="F2091" s="141"/>
    </row>
    <row r="2092" spans="2:6" hidden="1" outlineLevel="1" x14ac:dyDescent="0.15">
      <c r="B2092" s="101">
        <v>42418</v>
      </c>
      <c r="C2092" s="125">
        <v>9576.4599999999991</v>
      </c>
      <c r="E2092" s="141"/>
      <c r="F2092" s="141"/>
    </row>
    <row r="2093" spans="2:6" hidden="1" outlineLevel="1" x14ac:dyDescent="0.15">
      <c r="B2093" s="101">
        <v>42417</v>
      </c>
      <c r="C2093" s="125">
        <v>9465.52</v>
      </c>
      <c r="E2093" s="141"/>
      <c r="F2093" s="141"/>
    </row>
    <row r="2094" spans="2:6" hidden="1" outlineLevel="1" x14ac:dyDescent="0.15">
      <c r="B2094" s="101">
        <v>42416</v>
      </c>
      <c r="C2094" s="125">
        <v>9385.36</v>
      </c>
      <c r="E2094" s="141"/>
      <c r="F2094" s="141"/>
    </row>
    <row r="2095" spans="2:6" hidden="1" outlineLevel="1" x14ac:dyDescent="0.15">
      <c r="B2095" s="101">
        <v>42415</v>
      </c>
      <c r="C2095" s="125">
        <v>9537.74</v>
      </c>
      <c r="E2095" s="141"/>
      <c r="F2095" s="141"/>
    </row>
    <row r="2096" spans="2:6" hidden="1" outlineLevel="1" x14ac:dyDescent="0.15">
      <c r="B2096" s="101">
        <v>42412</v>
      </c>
      <c r="C2096" s="125">
        <v>9295.41</v>
      </c>
      <c r="E2096" s="141"/>
      <c r="F2096" s="141"/>
    </row>
    <row r="2097" spans="2:6" hidden="1" outlineLevel="1" x14ac:dyDescent="0.15">
      <c r="B2097" s="101">
        <v>42411</v>
      </c>
      <c r="C2097" s="125">
        <v>9289.2900000000009</v>
      </c>
      <c r="E2097" s="141"/>
      <c r="F2097" s="141"/>
    </row>
    <row r="2098" spans="2:6" hidden="1" outlineLevel="1" x14ac:dyDescent="0.15">
      <c r="B2098" s="101">
        <v>42410</v>
      </c>
      <c r="C2098" s="125">
        <v>9607.98</v>
      </c>
      <c r="E2098" s="141"/>
      <c r="F2098" s="141"/>
    </row>
    <row r="2099" spans="2:6" hidden="1" outlineLevel="1" x14ac:dyDescent="0.15">
      <c r="B2099" s="101">
        <v>42409</v>
      </c>
      <c r="C2099" s="125">
        <v>9717.8700000000008</v>
      </c>
      <c r="E2099" s="141"/>
      <c r="F2099" s="141"/>
    </row>
    <row r="2100" spans="2:6" hidden="1" outlineLevel="1" x14ac:dyDescent="0.15">
      <c r="B2100" s="101">
        <v>42408</v>
      </c>
      <c r="C2100" s="125">
        <v>9836.41</v>
      </c>
      <c r="E2100" s="141"/>
      <c r="F2100" s="141"/>
    </row>
    <row r="2101" spans="2:6" hidden="1" outlineLevel="1" x14ac:dyDescent="0.15">
      <c r="B2101" s="101">
        <v>42405</v>
      </c>
      <c r="C2101" s="125">
        <v>9972.0499999999993</v>
      </c>
      <c r="E2101" s="141"/>
      <c r="F2101" s="141"/>
    </row>
    <row r="2102" spans="2:6" hidden="1" outlineLevel="1" x14ac:dyDescent="0.15">
      <c r="B2102" s="101">
        <v>42404</v>
      </c>
      <c r="C2102" s="125">
        <v>9857.82</v>
      </c>
      <c r="E2102" s="141"/>
      <c r="F2102" s="141"/>
    </row>
    <row r="2103" spans="2:6" hidden="1" outlineLevel="1" x14ac:dyDescent="0.15">
      <c r="B2103" s="101">
        <v>42403</v>
      </c>
      <c r="C2103" s="125">
        <v>9801.6200000000008</v>
      </c>
      <c r="E2103" s="141"/>
      <c r="F2103" s="141"/>
    </row>
    <row r="2104" spans="2:6" hidden="1" outlineLevel="1" x14ac:dyDescent="0.15">
      <c r="B2104" s="101">
        <v>42402</v>
      </c>
      <c r="C2104" s="125">
        <v>9925.98</v>
      </c>
      <c r="E2104" s="141"/>
      <c r="F2104" s="141"/>
    </row>
    <row r="2105" spans="2:6" hidden="1" outlineLevel="1" x14ac:dyDescent="0.15">
      <c r="B2105" s="101">
        <v>42401</v>
      </c>
      <c r="C2105" s="125">
        <v>10058.69</v>
      </c>
      <c r="E2105" s="141"/>
      <c r="F2105" s="141"/>
    </row>
    <row r="2106" spans="2:6" hidden="1" outlineLevel="1" x14ac:dyDescent="0.15">
      <c r="B2106" s="101">
        <v>42398</v>
      </c>
      <c r="C2106" s="125">
        <v>10068.86</v>
      </c>
      <c r="E2106" s="141"/>
      <c r="F2106" s="141"/>
    </row>
    <row r="2107" spans="2:6" hidden="1" outlineLevel="1" x14ac:dyDescent="0.15">
      <c r="B2107" s="101">
        <v>42397</v>
      </c>
      <c r="C2107" s="125">
        <v>9883.94</v>
      </c>
      <c r="E2107" s="141"/>
      <c r="F2107" s="141"/>
    </row>
    <row r="2108" spans="2:6" hidden="1" outlineLevel="1" x14ac:dyDescent="0.15">
      <c r="B2108" s="101">
        <v>42396</v>
      </c>
      <c r="C2108" s="125">
        <v>9901.35</v>
      </c>
      <c r="E2108" s="141"/>
      <c r="F2108" s="141"/>
    </row>
    <row r="2109" spans="2:6" hidden="1" outlineLevel="1" x14ac:dyDescent="0.15">
      <c r="B2109" s="101">
        <v>42394</v>
      </c>
      <c r="C2109" s="125">
        <v>9898.2800000000007</v>
      </c>
      <c r="E2109" s="141"/>
      <c r="F2109" s="141"/>
    </row>
    <row r="2110" spans="2:6" hidden="1" outlineLevel="1" x14ac:dyDescent="0.15">
      <c r="B2110" s="101">
        <v>42391</v>
      </c>
      <c r="C2110" s="125">
        <v>9879.1299999999992</v>
      </c>
      <c r="E2110" s="141"/>
      <c r="F2110" s="141"/>
    </row>
    <row r="2111" spans="2:6" hidden="1" outlineLevel="1" x14ac:dyDescent="0.15">
      <c r="B2111" s="101">
        <v>42390</v>
      </c>
      <c r="C2111" s="125">
        <v>9685.2900000000009</v>
      </c>
      <c r="E2111" s="141"/>
      <c r="F2111" s="141"/>
    </row>
    <row r="2112" spans="2:6" hidden="1" outlineLevel="1" x14ac:dyDescent="0.15">
      <c r="B2112" s="101">
        <v>42389</v>
      </c>
      <c r="C2112" s="125">
        <v>9727.77</v>
      </c>
      <c r="E2112" s="141"/>
      <c r="F2112" s="141"/>
    </row>
    <row r="2113" spans="2:6" hidden="1" outlineLevel="1" x14ac:dyDescent="0.15">
      <c r="B2113" s="101">
        <v>42388</v>
      </c>
      <c r="C2113" s="125">
        <v>9895.18</v>
      </c>
      <c r="E2113" s="141"/>
      <c r="F2113" s="141"/>
    </row>
    <row r="2114" spans="2:6" hidden="1" outlineLevel="1" x14ac:dyDescent="0.15">
      <c r="B2114" s="101">
        <v>42387</v>
      </c>
      <c r="C2114" s="125">
        <v>9783.26</v>
      </c>
      <c r="E2114" s="141"/>
      <c r="F2114" s="141"/>
    </row>
    <row r="2115" spans="2:6" hidden="1" outlineLevel="1" x14ac:dyDescent="0.15">
      <c r="B2115" s="101">
        <v>42384</v>
      </c>
      <c r="C2115" s="125">
        <v>9898.7999999999993</v>
      </c>
      <c r="E2115" s="141"/>
      <c r="F2115" s="141"/>
    </row>
    <row r="2116" spans="2:6" hidden="1" outlineLevel="1" x14ac:dyDescent="0.15">
      <c r="B2116" s="101">
        <v>42383</v>
      </c>
      <c r="C2116" s="125">
        <v>10030.530000000001</v>
      </c>
      <c r="E2116" s="141"/>
      <c r="F2116" s="141"/>
    </row>
    <row r="2117" spans="2:6" hidden="1" outlineLevel="1" x14ac:dyDescent="0.15">
      <c r="B2117" s="101">
        <v>42382</v>
      </c>
      <c r="C2117" s="125">
        <v>10064.620000000001</v>
      </c>
      <c r="E2117" s="141"/>
      <c r="F2117" s="141"/>
    </row>
    <row r="2118" spans="2:6" hidden="1" outlineLevel="1" x14ac:dyDescent="0.15">
      <c r="B2118" s="101">
        <v>42381</v>
      </c>
      <c r="C2118" s="125">
        <v>9995.25</v>
      </c>
      <c r="E2118" s="141"/>
      <c r="F2118" s="141"/>
    </row>
    <row r="2119" spans="2:6" hidden="1" outlineLevel="1" x14ac:dyDescent="0.15">
      <c r="B2119" s="101">
        <v>42380</v>
      </c>
      <c r="C2119" s="125">
        <v>10066.57</v>
      </c>
      <c r="E2119" s="141"/>
      <c r="F2119" s="141"/>
    </row>
    <row r="2120" spans="2:6" hidden="1" outlineLevel="1" x14ac:dyDescent="0.15">
      <c r="B2120" s="101">
        <v>42377</v>
      </c>
      <c r="C2120" s="125">
        <v>10116.450000000001</v>
      </c>
      <c r="E2120" s="141"/>
      <c r="F2120" s="141"/>
    </row>
    <row r="2121" spans="2:6" hidden="1" outlineLevel="1" x14ac:dyDescent="0.15">
      <c r="B2121" s="101">
        <v>42376</v>
      </c>
      <c r="C2121" s="125">
        <v>10072.450000000001</v>
      </c>
      <c r="E2121" s="141"/>
      <c r="F2121" s="141"/>
    </row>
    <row r="2122" spans="2:6" hidden="1" outlineLevel="1" x14ac:dyDescent="0.15">
      <c r="B2122" s="101">
        <v>42375</v>
      </c>
      <c r="C2122" s="125">
        <v>10302.32</v>
      </c>
      <c r="E2122" s="141"/>
      <c r="F2122" s="141"/>
    </row>
    <row r="2123" spans="2:6" hidden="1" outlineLevel="1" x14ac:dyDescent="0.15">
      <c r="B2123" s="101">
        <v>42374</v>
      </c>
      <c r="C2123" s="125">
        <v>10360.42</v>
      </c>
      <c r="E2123" s="141"/>
      <c r="F2123" s="141"/>
    </row>
    <row r="2124" spans="2:6" hidden="1" outlineLevel="1" x14ac:dyDescent="0.15">
      <c r="B2124" s="101">
        <v>42373</v>
      </c>
      <c r="C2124" s="125">
        <v>10369.24</v>
      </c>
      <c r="E2124" s="141"/>
      <c r="F2124" s="141"/>
    </row>
    <row r="2125" spans="2:6" hidden="1" outlineLevel="1" x14ac:dyDescent="0.15">
      <c r="B2125" s="101">
        <v>42370</v>
      </c>
      <c r="C2125" s="125">
        <v>10598</v>
      </c>
      <c r="E2125" s="141"/>
      <c r="F2125" s="141"/>
    </row>
    <row r="2126" spans="2:6" hidden="1" outlineLevel="1" x14ac:dyDescent="0.15">
      <c r="B2126" s="101">
        <v>42369</v>
      </c>
      <c r="C2126" s="125">
        <v>10575.63</v>
      </c>
      <c r="E2126" s="141"/>
      <c r="F2126" s="141"/>
    </row>
    <row r="2127" spans="2:6" hidden="1" outlineLevel="1" x14ac:dyDescent="0.15">
      <c r="B2127" s="101">
        <v>42368</v>
      </c>
      <c r="C2127" s="125">
        <v>10508.91</v>
      </c>
      <c r="E2127" s="141"/>
      <c r="F2127" s="141"/>
    </row>
    <row r="2128" spans="2:6" hidden="1" outlineLevel="1" x14ac:dyDescent="0.15">
      <c r="B2128" s="101">
        <v>42367</v>
      </c>
      <c r="C2128" s="125">
        <v>10552.46</v>
      </c>
      <c r="E2128" s="141"/>
      <c r="F2128" s="141"/>
    </row>
    <row r="2129" spans="2:6" hidden="1" outlineLevel="1" x14ac:dyDescent="0.15">
      <c r="B2129" s="101">
        <v>42366</v>
      </c>
      <c r="C2129" s="125">
        <v>10547.37</v>
      </c>
      <c r="E2129" s="141"/>
      <c r="F2129" s="141"/>
    </row>
    <row r="2130" spans="2:6" hidden="1" outlineLevel="1" x14ac:dyDescent="0.15">
      <c r="B2130" s="101">
        <v>42362</v>
      </c>
      <c r="C2130" s="125">
        <v>10462.08</v>
      </c>
      <c r="E2130" s="141"/>
      <c r="F2130" s="141"/>
    </row>
    <row r="2131" spans="2:6" hidden="1" outlineLevel="1" x14ac:dyDescent="0.15">
      <c r="B2131" s="101">
        <v>42361</v>
      </c>
      <c r="C2131" s="125">
        <v>10468.61</v>
      </c>
      <c r="E2131" s="141"/>
      <c r="F2131" s="141"/>
    </row>
    <row r="2132" spans="2:6" hidden="1" outlineLevel="1" x14ac:dyDescent="0.15">
      <c r="B2132" s="101">
        <v>42360</v>
      </c>
      <c r="C2132" s="125">
        <v>10362.35</v>
      </c>
      <c r="E2132" s="141"/>
      <c r="F2132" s="141"/>
    </row>
    <row r="2133" spans="2:6" hidden="1" outlineLevel="1" x14ac:dyDescent="0.15">
      <c r="B2133" s="101">
        <v>42359</v>
      </c>
      <c r="C2133" s="125">
        <v>10426.69</v>
      </c>
      <c r="E2133" s="141"/>
      <c r="F2133" s="141"/>
    </row>
    <row r="2134" spans="2:6" hidden="1" outlineLevel="1" x14ac:dyDescent="0.15">
      <c r="B2134" s="101">
        <v>42356</v>
      </c>
      <c r="C2134" s="125">
        <v>10330.16</v>
      </c>
      <c r="E2134" s="141"/>
      <c r="F2134" s="141"/>
    </row>
    <row r="2135" spans="2:6" hidden="1" outlineLevel="1" x14ac:dyDescent="0.15">
      <c r="B2135" s="101">
        <v>42355</v>
      </c>
      <c r="C2135" s="125">
        <v>10439.83</v>
      </c>
      <c r="E2135" s="141"/>
      <c r="F2135" s="141"/>
    </row>
    <row r="2136" spans="2:6" hidden="1" outlineLevel="1" x14ac:dyDescent="0.15">
      <c r="B2136" s="101">
        <v>42354</v>
      </c>
      <c r="C2136" s="125">
        <v>10315.450000000001</v>
      </c>
      <c r="E2136" s="141"/>
      <c r="F2136" s="141"/>
    </row>
    <row r="2137" spans="2:6" hidden="1" outlineLevel="1" x14ac:dyDescent="0.15">
      <c r="B2137" s="101">
        <v>42353</v>
      </c>
      <c r="C2137" s="125">
        <v>10248.91</v>
      </c>
      <c r="E2137" s="141"/>
      <c r="F2137" s="141"/>
    </row>
    <row r="2138" spans="2:6" hidden="1" outlineLevel="1" x14ac:dyDescent="0.15">
      <c r="B2138" s="101">
        <v>42352</v>
      </c>
      <c r="C2138" s="125">
        <v>10181.25</v>
      </c>
      <c r="E2138" s="141"/>
      <c r="F2138" s="141"/>
    </row>
    <row r="2139" spans="2:6" hidden="1" outlineLevel="1" x14ac:dyDescent="0.15">
      <c r="B2139" s="101">
        <v>42349</v>
      </c>
      <c r="C2139" s="125">
        <v>10128.57</v>
      </c>
      <c r="E2139" s="141"/>
      <c r="F2139" s="141"/>
    </row>
    <row r="2140" spans="2:6" hidden="1" outlineLevel="1" x14ac:dyDescent="0.15">
      <c r="B2140" s="101">
        <v>42348</v>
      </c>
      <c r="C2140" s="125">
        <v>10225.540000000001</v>
      </c>
      <c r="E2140" s="141"/>
      <c r="F2140" s="141"/>
    </row>
    <row r="2141" spans="2:6" hidden="1" outlineLevel="1" x14ac:dyDescent="0.15">
      <c r="B2141" s="101">
        <v>42347</v>
      </c>
      <c r="C2141" s="125">
        <v>10131.26</v>
      </c>
      <c r="E2141" s="141"/>
      <c r="F2141" s="141"/>
    </row>
    <row r="2142" spans="2:6" hidden="1" outlineLevel="1" x14ac:dyDescent="0.15">
      <c r="B2142" s="101">
        <v>42346</v>
      </c>
      <c r="C2142" s="125">
        <v>10250.030000000001</v>
      </c>
      <c r="E2142" s="141"/>
      <c r="F2142" s="141"/>
    </row>
    <row r="2143" spans="2:6" hidden="1" outlineLevel="1" x14ac:dyDescent="0.15">
      <c r="B2143" s="101">
        <v>42345</v>
      </c>
      <c r="C2143" s="125">
        <v>10334.77</v>
      </c>
      <c r="E2143" s="141"/>
      <c r="F2143" s="141"/>
    </row>
    <row r="2144" spans="2:6" hidden="1" outlineLevel="1" x14ac:dyDescent="0.15">
      <c r="B2144" s="101">
        <v>42342</v>
      </c>
      <c r="C2144" s="125">
        <v>10356.709999999999</v>
      </c>
      <c r="E2144" s="141"/>
      <c r="F2144" s="141"/>
    </row>
    <row r="2145" spans="2:6" hidden="1" outlineLevel="1" x14ac:dyDescent="0.15">
      <c r="B2145" s="101">
        <v>42341</v>
      </c>
      <c r="C2145" s="125">
        <v>10466.19</v>
      </c>
      <c r="E2145" s="141"/>
      <c r="F2145" s="141"/>
    </row>
    <row r="2146" spans="2:6" hidden="1" outlineLevel="1" x14ac:dyDescent="0.15">
      <c r="B2146" s="101">
        <v>42340</v>
      </c>
      <c r="C2146" s="125">
        <v>10555.62</v>
      </c>
      <c r="E2146" s="141"/>
      <c r="F2146" s="141"/>
    </row>
    <row r="2147" spans="2:6" hidden="1" outlineLevel="1" x14ac:dyDescent="0.15">
      <c r="B2147" s="101">
        <v>42339</v>
      </c>
      <c r="C2147" s="125">
        <v>10586.99</v>
      </c>
      <c r="E2147" s="141"/>
      <c r="F2147" s="141"/>
    </row>
    <row r="2148" spans="2:6" hidden="1" outlineLevel="1" x14ac:dyDescent="0.15">
      <c r="B2148" s="101">
        <v>42338</v>
      </c>
      <c r="C2148" s="125">
        <v>10560.84</v>
      </c>
      <c r="E2148" s="141"/>
      <c r="F2148" s="141"/>
    </row>
    <row r="2149" spans="2:6" hidden="1" outlineLevel="1" x14ac:dyDescent="0.15">
      <c r="B2149" s="101">
        <v>42335</v>
      </c>
      <c r="C2149" s="125">
        <v>10570.76</v>
      </c>
      <c r="E2149" s="141"/>
      <c r="F2149" s="141"/>
    </row>
    <row r="2150" spans="2:6" hidden="1" outlineLevel="1" x14ac:dyDescent="0.15">
      <c r="B2150" s="101">
        <v>42334</v>
      </c>
      <c r="C2150" s="125">
        <v>10492.35</v>
      </c>
      <c r="E2150" s="141"/>
      <c r="F2150" s="141"/>
    </row>
    <row r="2151" spans="2:6" hidden="1" outlineLevel="1" x14ac:dyDescent="0.15">
      <c r="B2151" s="101">
        <v>42332</v>
      </c>
      <c r="C2151" s="125">
        <v>10422.86</v>
      </c>
      <c r="E2151" s="141"/>
      <c r="F2151" s="141"/>
    </row>
    <row r="2152" spans="2:6" hidden="1" outlineLevel="1" x14ac:dyDescent="0.15">
      <c r="B2152" s="101">
        <v>42331</v>
      </c>
      <c r="C2152" s="125">
        <v>10446.4</v>
      </c>
      <c r="E2152" s="141"/>
      <c r="F2152" s="141"/>
    </row>
    <row r="2153" spans="2:6" hidden="1" outlineLevel="1" x14ac:dyDescent="0.15">
      <c r="B2153" s="101">
        <v>42328</v>
      </c>
      <c r="C2153" s="125">
        <v>10456.11</v>
      </c>
      <c r="E2153" s="141"/>
      <c r="F2153" s="141"/>
    </row>
    <row r="2154" spans="2:6" hidden="1" outlineLevel="1" x14ac:dyDescent="0.15">
      <c r="B2154" s="101">
        <v>42327</v>
      </c>
      <c r="C2154" s="125">
        <v>10437.709999999999</v>
      </c>
      <c r="E2154" s="141"/>
      <c r="F2154" s="141"/>
    </row>
    <row r="2155" spans="2:6" hidden="1" outlineLevel="1" x14ac:dyDescent="0.15">
      <c r="B2155" s="101">
        <v>42326</v>
      </c>
      <c r="C2155" s="125">
        <v>10290.030000000001</v>
      </c>
      <c r="E2155" s="141"/>
      <c r="F2155" s="141"/>
    </row>
    <row r="2156" spans="2:6" hidden="1" outlineLevel="1" x14ac:dyDescent="0.15">
      <c r="B2156" s="101">
        <v>42325</v>
      </c>
      <c r="C2156" s="125">
        <v>10430.780000000001</v>
      </c>
      <c r="E2156" s="141"/>
      <c r="F2156" s="141"/>
    </row>
    <row r="2157" spans="2:6" hidden="1" outlineLevel="1" x14ac:dyDescent="0.15">
      <c r="B2157" s="101">
        <v>42324</v>
      </c>
      <c r="C2157" s="125">
        <v>10389.64</v>
      </c>
      <c r="E2157" s="141"/>
      <c r="F2157" s="141"/>
    </row>
    <row r="2158" spans="2:6" hidden="1" outlineLevel="1" x14ac:dyDescent="0.15">
      <c r="B2158" s="101">
        <v>42321</v>
      </c>
      <c r="C2158" s="125">
        <v>10330.6</v>
      </c>
      <c r="E2158" s="141"/>
      <c r="F2158" s="141"/>
    </row>
    <row r="2159" spans="2:6" hidden="1" outlineLevel="1" x14ac:dyDescent="0.15">
      <c r="B2159" s="101">
        <v>42319</v>
      </c>
      <c r="C2159" s="125">
        <v>10414.07</v>
      </c>
      <c r="E2159" s="141"/>
      <c r="F2159" s="141"/>
    </row>
    <row r="2160" spans="2:6" hidden="1" outlineLevel="1" x14ac:dyDescent="0.15">
      <c r="B2160" s="101">
        <v>42318</v>
      </c>
      <c r="C2160" s="125">
        <v>10358.65</v>
      </c>
      <c r="E2160" s="141"/>
      <c r="F2160" s="141"/>
    </row>
    <row r="2161" spans="2:6" hidden="1" outlineLevel="1" x14ac:dyDescent="0.15">
      <c r="B2161" s="101">
        <v>42317</v>
      </c>
      <c r="C2161" s="125">
        <v>10531.91</v>
      </c>
      <c r="E2161" s="141"/>
      <c r="F2161" s="141"/>
    </row>
    <row r="2162" spans="2:6" hidden="1" outlineLevel="1" x14ac:dyDescent="0.15">
      <c r="B2162" s="101">
        <v>42314</v>
      </c>
      <c r="C2162" s="125">
        <v>10583.88</v>
      </c>
      <c r="E2162" s="141"/>
      <c r="F2162" s="141"/>
    </row>
    <row r="2163" spans="2:6" hidden="1" outlineLevel="1" x14ac:dyDescent="0.15">
      <c r="B2163" s="101">
        <v>42313</v>
      </c>
      <c r="C2163" s="125">
        <v>10585.41</v>
      </c>
      <c r="E2163" s="141"/>
      <c r="F2163" s="141"/>
    </row>
    <row r="2164" spans="2:6" hidden="1" outlineLevel="1" x14ac:dyDescent="0.15">
      <c r="B2164" s="101">
        <v>42312</v>
      </c>
      <c r="C2164" s="125">
        <v>10698.19</v>
      </c>
      <c r="E2164" s="141"/>
      <c r="F2164" s="141"/>
    </row>
    <row r="2165" spans="2:6" hidden="1" outlineLevel="1" x14ac:dyDescent="0.15">
      <c r="B2165" s="101">
        <v>42311</v>
      </c>
      <c r="C2165" s="125">
        <v>10725.48</v>
      </c>
      <c r="E2165" s="141"/>
      <c r="F2165" s="141"/>
    </row>
    <row r="2166" spans="2:6" hidden="1" outlineLevel="1" x14ac:dyDescent="0.15">
      <c r="B2166" s="101">
        <v>42310</v>
      </c>
      <c r="C2166" s="125">
        <v>10712.32</v>
      </c>
      <c r="E2166" s="141"/>
      <c r="F2166" s="141"/>
    </row>
    <row r="2167" spans="2:6" hidden="1" outlineLevel="1" x14ac:dyDescent="0.15">
      <c r="B2167" s="101">
        <v>42307</v>
      </c>
      <c r="C2167" s="125">
        <v>10732.25</v>
      </c>
      <c r="E2167" s="141"/>
      <c r="F2167" s="141"/>
    </row>
    <row r="2168" spans="2:6" hidden="1" outlineLevel="1" x14ac:dyDescent="0.15">
      <c r="B2168" s="101">
        <v>42306</v>
      </c>
      <c r="C2168" s="125">
        <v>10792.35</v>
      </c>
      <c r="E2168" s="141"/>
      <c r="F2168" s="141"/>
    </row>
    <row r="2169" spans="2:6" hidden="1" outlineLevel="1" x14ac:dyDescent="0.15">
      <c r="B2169" s="101">
        <v>42305</v>
      </c>
      <c r="C2169" s="125">
        <v>10871.42</v>
      </c>
      <c r="E2169" s="141"/>
      <c r="F2169" s="141"/>
    </row>
    <row r="2170" spans="2:6" hidden="1" outlineLevel="1" x14ac:dyDescent="0.15">
      <c r="B2170" s="101">
        <v>42304</v>
      </c>
      <c r="C2170" s="125">
        <v>10953.26</v>
      </c>
      <c r="E2170" s="141"/>
      <c r="F2170" s="141"/>
    </row>
    <row r="2171" spans="2:6" hidden="1" outlineLevel="1" x14ac:dyDescent="0.15">
      <c r="B2171" s="101">
        <v>42303</v>
      </c>
      <c r="C2171" s="125">
        <v>10990.02</v>
      </c>
      <c r="E2171" s="141"/>
      <c r="F2171" s="141"/>
    </row>
    <row r="2172" spans="2:6" hidden="1" outlineLevel="1" x14ac:dyDescent="0.15">
      <c r="B2172" s="101">
        <v>42300</v>
      </c>
      <c r="C2172" s="125">
        <v>11036.44</v>
      </c>
      <c r="E2172" s="141"/>
      <c r="F2172" s="141"/>
    </row>
    <row r="2173" spans="2:6" hidden="1" outlineLevel="1" x14ac:dyDescent="0.15">
      <c r="B2173" s="101">
        <v>42298</v>
      </c>
      <c r="C2173" s="125">
        <v>10976.65</v>
      </c>
      <c r="E2173" s="141"/>
      <c r="F2173" s="141"/>
    </row>
    <row r="2174" spans="2:6" hidden="1" outlineLevel="1" x14ac:dyDescent="0.15">
      <c r="B2174" s="101">
        <v>42297</v>
      </c>
      <c r="C2174" s="125">
        <v>10989</v>
      </c>
      <c r="E2174" s="141"/>
      <c r="F2174" s="141"/>
    </row>
    <row r="2175" spans="2:6" hidden="1" outlineLevel="1" x14ac:dyDescent="0.15">
      <c r="B2175" s="101">
        <v>42296</v>
      </c>
      <c r="C2175" s="125">
        <v>11006.79</v>
      </c>
      <c r="E2175" s="141"/>
      <c r="F2175" s="141"/>
    </row>
    <row r="2176" spans="2:6" hidden="1" outlineLevel="1" x14ac:dyDescent="0.15">
      <c r="B2176" s="101">
        <v>42293</v>
      </c>
      <c r="C2176" s="125">
        <v>10956.47</v>
      </c>
      <c r="E2176" s="141"/>
      <c r="F2176" s="141"/>
    </row>
    <row r="2177" spans="2:6" hidden="1" outlineLevel="1" x14ac:dyDescent="0.15">
      <c r="B2177" s="101">
        <v>42292</v>
      </c>
      <c r="C2177" s="125">
        <v>10872.82</v>
      </c>
      <c r="E2177" s="141"/>
      <c r="F2177" s="141"/>
    </row>
    <row r="2178" spans="2:6" hidden="1" outlineLevel="1" x14ac:dyDescent="0.15">
      <c r="B2178" s="101">
        <v>42291</v>
      </c>
      <c r="C2178" s="125">
        <v>10777.67</v>
      </c>
      <c r="E2178" s="141"/>
      <c r="F2178" s="141"/>
    </row>
    <row r="2179" spans="2:6" hidden="1" outlineLevel="1" x14ac:dyDescent="0.15">
      <c r="B2179" s="101">
        <v>42290</v>
      </c>
      <c r="C2179" s="125">
        <v>10809.32</v>
      </c>
      <c r="E2179" s="141"/>
      <c r="F2179" s="141"/>
    </row>
    <row r="2180" spans="2:6" hidden="1" outlineLevel="1" x14ac:dyDescent="0.15">
      <c r="B2180" s="101">
        <v>42289</v>
      </c>
      <c r="C2180" s="125">
        <v>10825.14</v>
      </c>
      <c r="E2180" s="141"/>
      <c r="F2180" s="141"/>
    </row>
    <row r="2181" spans="2:6" hidden="1" outlineLevel="1" x14ac:dyDescent="0.15">
      <c r="B2181" s="101">
        <v>42286</v>
      </c>
      <c r="C2181" s="125">
        <v>10886.38</v>
      </c>
      <c r="E2181" s="141"/>
      <c r="F2181" s="141"/>
    </row>
    <row r="2182" spans="2:6" hidden="1" outlineLevel="1" x14ac:dyDescent="0.15">
      <c r="B2182" s="101">
        <v>42285</v>
      </c>
      <c r="C2182" s="125">
        <v>10806.18</v>
      </c>
      <c r="E2182" s="141"/>
      <c r="F2182" s="141"/>
    </row>
    <row r="2183" spans="2:6" hidden="1" outlineLevel="1" x14ac:dyDescent="0.15">
      <c r="B2183" s="101">
        <v>42284</v>
      </c>
      <c r="C2183" s="125">
        <v>10870.04</v>
      </c>
      <c r="E2183" s="141"/>
      <c r="F2183" s="141"/>
    </row>
    <row r="2184" spans="2:6" hidden="1" outlineLevel="1" x14ac:dyDescent="0.15">
      <c r="B2184" s="101">
        <v>42283</v>
      </c>
      <c r="C2184" s="125">
        <v>10837.5</v>
      </c>
      <c r="E2184" s="141"/>
      <c r="F2184" s="141"/>
    </row>
    <row r="2185" spans="2:6" hidden="1" outlineLevel="1" x14ac:dyDescent="0.15">
      <c r="B2185" s="101">
        <v>42282</v>
      </c>
      <c r="C2185" s="125">
        <v>10792.79</v>
      </c>
      <c r="E2185" s="141"/>
      <c r="F2185" s="141"/>
    </row>
    <row r="2186" spans="2:6" hidden="1" outlineLevel="1" x14ac:dyDescent="0.15">
      <c r="B2186" s="101">
        <v>42278</v>
      </c>
      <c r="C2186" s="125">
        <v>10568.94</v>
      </c>
      <c r="E2186" s="141"/>
      <c r="F2186" s="141"/>
    </row>
    <row r="2187" spans="2:6" hidden="1" outlineLevel="1" x14ac:dyDescent="0.15">
      <c r="B2187" s="101">
        <v>42277</v>
      </c>
      <c r="C2187" s="125">
        <v>10566.29</v>
      </c>
      <c r="E2187" s="141"/>
      <c r="F2187" s="141"/>
    </row>
    <row r="2188" spans="2:6" hidden="1" outlineLevel="1" x14ac:dyDescent="0.15">
      <c r="B2188" s="101">
        <v>42276</v>
      </c>
      <c r="C2188" s="125">
        <v>10425.93</v>
      </c>
      <c r="E2188" s="141"/>
      <c r="F2188" s="141"/>
    </row>
    <row r="2189" spans="2:6" hidden="1" outlineLevel="1" x14ac:dyDescent="0.15">
      <c r="B2189" s="101">
        <v>42275</v>
      </c>
      <c r="C2189" s="125">
        <v>10362.68</v>
      </c>
      <c r="E2189" s="141"/>
      <c r="F2189" s="141"/>
    </row>
    <row r="2190" spans="2:6" hidden="1" outlineLevel="1" x14ac:dyDescent="0.15">
      <c r="B2190" s="101">
        <v>42271</v>
      </c>
      <c r="C2190" s="125">
        <v>10459.44</v>
      </c>
      <c r="E2190" s="141"/>
      <c r="F2190" s="141"/>
    </row>
    <row r="2191" spans="2:6" hidden="1" outlineLevel="1" x14ac:dyDescent="0.15">
      <c r="B2191" s="101">
        <v>42270</v>
      </c>
      <c r="C2191" s="125">
        <v>10429.44</v>
      </c>
      <c r="E2191" s="141"/>
      <c r="F2191" s="141"/>
    </row>
    <row r="2192" spans="2:6" hidden="1" outlineLevel="1" x14ac:dyDescent="0.15">
      <c r="B2192" s="101">
        <v>42269</v>
      </c>
      <c r="C2192" s="125">
        <v>10384.35</v>
      </c>
      <c r="E2192" s="141"/>
      <c r="F2192" s="141"/>
    </row>
    <row r="2193" spans="2:6" hidden="1" outlineLevel="1" x14ac:dyDescent="0.15">
      <c r="B2193" s="101">
        <v>42268</v>
      </c>
      <c r="C2193" s="125">
        <v>10603.8</v>
      </c>
      <c r="E2193" s="141"/>
      <c r="F2193" s="141"/>
    </row>
    <row r="2194" spans="2:6" hidden="1" outlineLevel="1" x14ac:dyDescent="0.15">
      <c r="B2194" s="101">
        <v>42265</v>
      </c>
      <c r="C2194" s="125">
        <v>10609.87</v>
      </c>
      <c r="E2194" s="141"/>
      <c r="F2194" s="141"/>
    </row>
    <row r="2195" spans="2:6" hidden="1" outlineLevel="1" x14ac:dyDescent="0.15">
      <c r="B2195" s="101">
        <v>42263</v>
      </c>
      <c r="C2195" s="125">
        <v>10499.73</v>
      </c>
      <c r="E2195" s="141"/>
      <c r="F2195" s="141"/>
    </row>
    <row r="2196" spans="2:6" hidden="1" outlineLevel="1" x14ac:dyDescent="0.15">
      <c r="B2196" s="101">
        <v>42262</v>
      </c>
      <c r="C2196" s="125">
        <v>10406.56</v>
      </c>
      <c r="E2196" s="141"/>
      <c r="F2196" s="141"/>
    </row>
    <row r="2197" spans="2:6" hidden="1" outlineLevel="1" x14ac:dyDescent="0.15">
      <c r="B2197" s="101">
        <v>42261</v>
      </c>
      <c r="C2197" s="125">
        <v>10463.93</v>
      </c>
      <c r="E2197" s="141"/>
      <c r="F2197" s="141"/>
    </row>
    <row r="2198" spans="2:6" hidden="1" outlineLevel="1" x14ac:dyDescent="0.15">
      <c r="B2198" s="101">
        <v>42258</v>
      </c>
      <c r="C2198" s="125">
        <v>10353.540000000001</v>
      </c>
      <c r="E2198" s="141"/>
      <c r="F2198" s="141"/>
    </row>
    <row r="2199" spans="2:6" hidden="1" outlineLevel="1" x14ac:dyDescent="0.15">
      <c r="B2199" s="101">
        <v>42257</v>
      </c>
      <c r="C2199" s="125">
        <v>10351.93</v>
      </c>
      <c r="E2199" s="141"/>
      <c r="F2199" s="141"/>
    </row>
    <row r="2200" spans="2:6" hidden="1" outlineLevel="1" x14ac:dyDescent="0.15">
      <c r="B2200" s="101">
        <v>42256</v>
      </c>
      <c r="C2200" s="125">
        <v>10392.450000000001</v>
      </c>
      <c r="E2200" s="141"/>
      <c r="F2200" s="141"/>
    </row>
    <row r="2201" spans="2:6" hidden="1" outlineLevel="1" x14ac:dyDescent="0.15">
      <c r="B2201" s="101">
        <v>42255</v>
      </c>
      <c r="C2201" s="125">
        <v>10219.209999999999</v>
      </c>
      <c r="E2201" s="141"/>
      <c r="F2201" s="141"/>
    </row>
    <row r="2202" spans="2:6" hidden="1" outlineLevel="1" x14ac:dyDescent="0.15">
      <c r="B2202" s="101">
        <v>42254</v>
      </c>
      <c r="C2202" s="125">
        <v>10047.15</v>
      </c>
      <c r="E2202" s="141"/>
      <c r="F2202" s="141"/>
    </row>
    <row r="2203" spans="2:6" hidden="1" outlineLevel="1" x14ac:dyDescent="0.15">
      <c r="B2203" s="101">
        <v>42251</v>
      </c>
      <c r="C2203" s="125">
        <v>10173.65</v>
      </c>
      <c r="E2203" s="141"/>
      <c r="F2203" s="141"/>
    </row>
    <row r="2204" spans="2:6" hidden="1" outlineLevel="1" x14ac:dyDescent="0.15">
      <c r="B2204" s="101">
        <v>42250</v>
      </c>
      <c r="C2204" s="125">
        <v>10396.83</v>
      </c>
      <c r="E2204" s="141"/>
      <c r="F2204" s="141"/>
    </row>
    <row r="2205" spans="2:6" hidden="1" outlineLevel="1" x14ac:dyDescent="0.15">
      <c r="B2205" s="101">
        <v>42249</v>
      </c>
      <c r="C2205" s="125">
        <v>10254.61</v>
      </c>
      <c r="E2205" s="141"/>
      <c r="F2205" s="141"/>
    </row>
    <row r="2206" spans="2:6" hidden="1" outlineLevel="1" x14ac:dyDescent="0.15">
      <c r="B2206" s="101">
        <v>42248</v>
      </c>
      <c r="C2206" s="125">
        <v>10346.16</v>
      </c>
      <c r="E2206" s="141"/>
      <c r="F2206" s="141"/>
    </row>
    <row r="2207" spans="2:6" hidden="1" outlineLevel="1" x14ac:dyDescent="0.15">
      <c r="B2207" s="101">
        <v>42247</v>
      </c>
      <c r="C2207" s="125">
        <v>10588.8</v>
      </c>
      <c r="E2207" s="141"/>
      <c r="F2207" s="141"/>
    </row>
    <row r="2208" spans="2:6" hidden="1" outlineLevel="1" x14ac:dyDescent="0.15">
      <c r="B2208" s="101">
        <v>42244</v>
      </c>
      <c r="C2208" s="125">
        <v>10629.49</v>
      </c>
      <c r="E2208" s="141"/>
      <c r="F2208" s="141"/>
    </row>
    <row r="2209" spans="2:6" hidden="1" outlineLevel="1" x14ac:dyDescent="0.15">
      <c r="B2209" s="101">
        <v>42243</v>
      </c>
      <c r="C2209" s="125">
        <v>10557.5</v>
      </c>
      <c r="E2209" s="141"/>
      <c r="F2209" s="141"/>
    </row>
    <row r="2210" spans="2:6" hidden="1" outlineLevel="1" x14ac:dyDescent="0.15">
      <c r="B2210" s="101">
        <v>42242</v>
      </c>
      <c r="C2210" s="125">
        <v>10348.4</v>
      </c>
      <c r="E2210" s="141"/>
      <c r="F2210" s="141"/>
    </row>
    <row r="2211" spans="2:6" hidden="1" outlineLevel="1" x14ac:dyDescent="0.15">
      <c r="B2211" s="101">
        <v>42241</v>
      </c>
      <c r="C2211" s="125">
        <v>10465.459999999999</v>
      </c>
      <c r="E2211" s="141"/>
      <c r="F2211" s="141"/>
    </row>
    <row r="2212" spans="2:6" hidden="1" outlineLevel="1" x14ac:dyDescent="0.15">
      <c r="B2212" s="101">
        <v>42240</v>
      </c>
      <c r="C2212" s="125">
        <v>10370.27</v>
      </c>
      <c r="E2212" s="141"/>
      <c r="F2212" s="141"/>
    </row>
    <row r="2213" spans="2:6" hidden="1" outlineLevel="1" x14ac:dyDescent="0.15">
      <c r="B2213" s="101">
        <v>42237</v>
      </c>
      <c r="C2213" s="125">
        <v>11022.22</v>
      </c>
      <c r="E2213" s="141"/>
      <c r="F2213" s="141"/>
    </row>
    <row r="2214" spans="2:6" hidden="1" outlineLevel="1" x14ac:dyDescent="0.15">
      <c r="B2214" s="101">
        <v>42236</v>
      </c>
      <c r="C2214" s="125">
        <v>11118.95</v>
      </c>
      <c r="E2214" s="141"/>
      <c r="F2214" s="141"/>
    </row>
    <row r="2215" spans="2:6" hidden="1" outlineLevel="1" x14ac:dyDescent="0.15">
      <c r="B2215" s="101">
        <v>42235</v>
      </c>
      <c r="C2215" s="125">
        <v>11281.26</v>
      </c>
      <c r="E2215" s="141"/>
      <c r="F2215" s="141"/>
    </row>
    <row r="2216" spans="2:6" hidden="1" outlineLevel="1" x14ac:dyDescent="0.15">
      <c r="B2216" s="101">
        <v>42234</v>
      </c>
      <c r="C2216" s="125">
        <v>11243.28</v>
      </c>
      <c r="E2216" s="141"/>
      <c r="F2216" s="141"/>
    </row>
    <row r="2217" spans="2:6" hidden="1" outlineLevel="1" x14ac:dyDescent="0.15">
      <c r="B2217" s="101">
        <v>42233</v>
      </c>
      <c r="C2217" s="125">
        <v>11257.56</v>
      </c>
      <c r="E2217" s="141"/>
      <c r="F2217" s="141"/>
    </row>
    <row r="2218" spans="2:6" hidden="1" outlineLevel="1" x14ac:dyDescent="0.15">
      <c r="B2218" s="101">
        <v>42230</v>
      </c>
      <c r="C2218" s="125">
        <v>11312.32</v>
      </c>
      <c r="E2218" s="141"/>
      <c r="F2218" s="141"/>
    </row>
    <row r="2219" spans="2:6" hidden="1" outlineLevel="1" x14ac:dyDescent="0.15">
      <c r="B2219" s="101">
        <v>42229</v>
      </c>
      <c r="C2219" s="125">
        <v>11095.98</v>
      </c>
      <c r="E2219" s="141"/>
      <c r="F2219" s="141"/>
    </row>
    <row r="2220" spans="2:6" hidden="1" outlineLevel="1" x14ac:dyDescent="0.15">
      <c r="B2220" s="101">
        <v>42228</v>
      </c>
      <c r="C2220" s="125">
        <v>11086.67</v>
      </c>
      <c r="E2220" s="141"/>
      <c r="F2220" s="141"/>
    </row>
    <row r="2221" spans="2:6" hidden="1" outlineLevel="1" x14ac:dyDescent="0.15">
      <c r="B2221" s="101">
        <v>42227</v>
      </c>
      <c r="C2221" s="125">
        <v>11236.57</v>
      </c>
      <c r="E2221" s="141"/>
      <c r="F2221" s="141"/>
    </row>
    <row r="2222" spans="2:6" hidden="1" outlineLevel="1" x14ac:dyDescent="0.15">
      <c r="B2222" s="101">
        <v>42226</v>
      </c>
      <c r="C2222" s="125">
        <v>11320.25</v>
      </c>
      <c r="E2222" s="141"/>
      <c r="F2222" s="141"/>
    </row>
    <row r="2223" spans="2:6" hidden="1" outlineLevel="1" x14ac:dyDescent="0.15">
      <c r="B2223" s="101">
        <v>42223</v>
      </c>
      <c r="C2223" s="125">
        <v>11372.02</v>
      </c>
      <c r="E2223" s="141"/>
      <c r="F2223" s="141"/>
    </row>
    <row r="2224" spans="2:6" hidden="1" outlineLevel="1" x14ac:dyDescent="0.15">
      <c r="B2224" s="101">
        <v>42222</v>
      </c>
      <c r="C2224" s="125">
        <v>11402.67</v>
      </c>
      <c r="E2224" s="141"/>
      <c r="F2224" s="141"/>
    </row>
    <row r="2225" spans="2:6" hidden="1" outlineLevel="1" x14ac:dyDescent="0.15">
      <c r="B2225" s="101">
        <v>42221</v>
      </c>
      <c r="C2225" s="125">
        <v>11375.18</v>
      </c>
      <c r="E2225" s="141"/>
      <c r="F2225" s="141"/>
    </row>
    <row r="2226" spans="2:6" hidden="1" outlineLevel="1" x14ac:dyDescent="0.15">
      <c r="B2226" s="101">
        <v>42220</v>
      </c>
      <c r="C2226" s="125">
        <v>11307.41</v>
      </c>
      <c r="E2226" s="141"/>
      <c r="F2226" s="141"/>
    </row>
    <row r="2227" spans="2:6" hidden="1" outlineLevel="1" x14ac:dyDescent="0.15">
      <c r="B2227" s="101">
        <v>42219</v>
      </c>
      <c r="C2227" s="125">
        <v>11342.11</v>
      </c>
      <c r="E2227" s="141"/>
      <c r="F2227" s="141"/>
    </row>
    <row r="2228" spans="2:6" hidden="1" outlineLevel="1" x14ac:dyDescent="0.15">
      <c r="B2228" s="101">
        <v>42216</v>
      </c>
      <c r="C2228" s="125">
        <v>11328.56</v>
      </c>
      <c r="E2228" s="141"/>
      <c r="F2228" s="141"/>
    </row>
    <row r="2229" spans="2:6" hidden="1" outlineLevel="1" x14ac:dyDescent="0.15">
      <c r="B2229" s="101">
        <v>42215</v>
      </c>
      <c r="C2229" s="125">
        <v>11180.79</v>
      </c>
      <c r="E2229" s="141"/>
      <c r="F2229" s="141"/>
    </row>
    <row r="2230" spans="2:6" hidden="1" outlineLevel="1" x14ac:dyDescent="0.15">
      <c r="B2230" s="101">
        <v>42214</v>
      </c>
      <c r="C2230" s="125">
        <v>11118.71</v>
      </c>
      <c r="E2230" s="141"/>
      <c r="F2230" s="141"/>
    </row>
    <row r="2231" spans="2:6" hidden="1" outlineLevel="1" x14ac:dyDescent="0.15">
      <c r="B2231" s="101">
        <v>42213</v>
      </c>
      <c r="C2231" s="125">
        <v>11068.18</v>
      </c>
      <c r="E2231" s="141"/>
      <c r="F2231" s="141"/>
    </row>
    <row r="2232" spans="2:6" hidden="1" outlineLevel="1" x14ac:dyDescent="0.15">
      <c r="B2232" s="101">
        <v>42212</v>
      </c>
      <c r="C2232" s="125">
        <v>11100.03</v>
      </c>
      <c r="E2232" s="141"/>
      <c r="F2232" s="141"/>
    </row>
    <row r="2233" spans="2:6" hidden="1" outlineLevel="1" x14ac:dyDescent="0.15">
      <c r="B2233" s="101">
        <v>42209</v>
      </c>
      <c r="C2233" s="125">
        <v>11313.22</v>
      </c>
      <c r="E2233" s="141"/>
      <c r="F2233" s="141"/>
    </row>
    <row r="2234" spans="2:6" hidden="1" outlineLevel="1" x14ac:dyDescent="0.15">
      <c r="B2234" s="101">
        <v>42208</v>
      </c>
      <c r="C2234" s="125">
        <v>11403.83</v>
      </c>
      <c r="E2234" s="141"/>
      <c r="F2234" s="141"/>
    </row>
    <row r="2235" spans="2:6" hidden="1" outlineLevel="1" x14ac:dyDescent="0.15">
      <c r="B2235" s="101">
        <v>42207</v>
      </c>
      <c r="C2235" s="125">
        <v>11459.27</v>
      </c>
      <c r="E2235" s="141"/>
      <c r="F2235" s="141"/>
    </row>
    <row r="2236" spans="2:6" hidden="1" outlineLevel="1" x14ac:dyDescent="0.15">
      <c r="B2236" s="101">
        <v>42206</v>
      </c>
      <c r="C2236" s="125">
        <v>11320.88</v>
      </c>
      <c r="E2236" s="141"/>
      <c r="F2236" s="141"/>
    </row>
    <row r="2237" spans="2:6" hidden="1" outlineLevel="1" x14ac:dyDescent="0.15">
      <c r="B2237" s="101">
        <v>42205</v>
      </c>
      <c r="C2237" s="125">
        <v>11419.13</v>
      </c>
      <c r="E2237" s="141"/>
      <c r="F2237" s="141"/>
    </row>
    <row r="2238" spans="2:6" hidden="1" outlineLevel="1" x14ac:dyDescent="0.15">
      <c r="B2238" s="101">
        <v>42202</v>
      </c>
      <c r="C2238" s="125">
        <v>11424.87</v>
      </c>
      <c r="E2238" s="141"/>
      <c r="F2238" s="141"/>
    </row>
    <row r="2239" spans="2:6" hidden="1" outlineLevel="1" x14ac:dyDescent="0.15">
      <c r="B2239" s="101">
        <v>42201</v>
      </c>
      <c r="C2239" s="125">
        <v>11422.48</v>
      </c>
      <c r="E2239" s="141"/>
      <c r="F2239" s="141"/>
    </row>
    <row r="2240" spans="2:6" hidden="1" outlineLevel="1" x14ac:dyDescent="0.15">
      <c r="B2240" s="101">
        <v>42200</v>
      </c>
      <c r="C2240" s="125">
        <v>11309.1</v>
      </c>
      <c r="E2240" s="141"/>
      <c r="F2240" s="141"/>
    </row>
    <row r="2241" spans="2:6" hidden="1" outlineLevel="1" x14ac:dyDescent="0.15">
      <c r="B2241" s="101">
        <v>42199</v>
      </c>
      <c r="C2241" s="125">
        <v>11210.85</v>
      </c>
      <c r="E2241" s="141"/>
      <c r="F2241" s="141"/>
    </row>
    <row r="2242" spans="2:6" hidden="1" outlineLevel="1" x14ac:dyDescent="0.15">
      <c r="B2242" s="101">
        <v>42198</v>
      </c>
      <c r="C2242" s="125">
        <v>11217.67</v>
      </c>
      <c r="E2242" s="141"/>
      <c r="F2242" s="141"/>
    </row>
    <row r="2243" spans="2:6" hidden="1" outlineLevel="1" x14ac:dyDescent="0.15">
      <c r="B2243" s="101">
        <v>42195</v>
      </c>
      <c r="C2243" s="125">
        <v>11086.29</v>
      </c>
      <c r="E2243" s="141"/>
      <c r="F2243" s="141"/>
    </row>
    <row r="2244" spans="2:6" hidden="1" outlineLevel="1" x14ac:dyDescent="0.15">
      <c r="B2244" s="101">
        <v>42194</v>
      </c>
      <c r="C2244" s="125">
        <v>11043.14</v>
      </c>
      <c r="E2244" s="141"/>
      <c r="F2244" s="141"/>
    </row>
    <row r="2245" spans="2:6" hidden="1" outlineLevel="1" x14ac:dyDescent="0.15">
      <c r="B2245" s="101">
        <v>42193</v>
      </c>
      <c r="C2245" s="125">
        <v>11084.34</v>
      </c>
      <c r="E2245" s="141"/>
      <c r="F2245" s="141"/>
    </row>
    <row r="2246" spans="2:6" hidden="1" outlineLevel="1" x14ac:dyDescent="0.15">
      <c r="B2246" s="101">
        <v>42192</v>
      </c>
      <c r="C2246" s="125">
        <v>11279.56</v>
      </c>
      <c r="E2246" s="141"/>
      <c r="F2246" s="141"/>
    </row>
    <row r="2247" spans="2:6" hidden="1" outlineLevel="1" x14ac:dyDescent="0.15">
      <c r="B2247" s="101">
        <v>42191</v>
      </c>
      <c r="C2247" s="125">
        <v>11294.6</v>
      </c>
      <c r="E2247" s="141"/>
      <c r="F2247" s="141"/>
    </row>
    <row r="2248" spans="2:6" hidden="1" outlineLevel="1" x14ac:dyDescent="0.15">
      <c r="B2248" s="101">
        <v>42188</v>
      </c>
      <c r="C2248" s="125">
        <v>11244.49</v>
      </c>
      <c r="E2248" s="141"/>
      <c r="F2248" s="141"/>
    </row>
    <row r="2249" spans="2:6" hidden="1" outlineLevel="1" x14ac:dyDescent="0.15">
      <c r="B2249" s="101">
        <v>42187</v>
      </c>
      <c r="C2249" s="125">
        <v>11191.5</v>
      </c>
      <c r="E2249" s="141"/>
      <c r="F2249" s="141"/>
    </row>
    <row r="2250" spans="2:6" hidden="1" outlineLevel="1" x14ac:dyDescent="0.15">
      <c r="B2250" s="101">
        <v>42186</v>
      </c>
      <c r="C2250" s="125">
        <v>11197.83</v>
      </c>
      <c r="E2250" s="141"/>
      <c r="F2250" s="141"/>
    </row>
    <row r="2251" spans="2:6" hidden="1" outlineLevel="1" x14ac:dyDescent="0.15">
      <c r="B2251" s="101">
        <v>42185</v>
      </c>
      <c r="C2251" s="125">
        <v>11085.87</v>
      </c>
      <c r="E2251" s="141"/>
      <c r="F2251" s="141"/>
    </row>
    <row r="2252" spans="2:6" hidden="1" outlineLevel="1" x14ac:dyDescent="0.15">
      <c r="B2252" s="101">
        <v>42184</v>
      </c>
      <c r="C2252" s="125">
        <v>11019.47</v>
      </c>
      <c r="E2252" s="141"/>
      <c r="F2252" s="141"/>
    </row>
    <row r="2253" spans="2:6" hidden="1" outlineLevel="1" x14ac:dyDescent="0.15">
      <c r="B2253" s="101">
        <v>42181</v>
      </c>
      <c r="C2253" s="125">
        <v>11102.52</v>
      </c>
      <c r="E2253" s="141"/>
      <c r="F2253" s="141"/>
    </row>
    <row r="2254" spans="2:6" hidden="1" outlineLevel="1" x14ac:dyDescent="0.15">
      <c r="B2254" s="101">
        <v>42180</v>
      </c>
      <c r="C2254" s="125">
        <v>11124.95</v>
      </c>
      <c r="E2254" s="141"/>
      <c r="F2254" s="141"/>
    </row>
    <row r="2255" spans="2:6" hidden="1" outlineLevel="1" x14ac:dyDescent="0.15">
      <c r="B2255" s="101">
        <v>42179</v>
      </c>
      <c r="C2255" s="125">
        <v>11075.71</v>
      </c>
      <c r="E2255" s="141"/>
      <c r="F2255" s="141"/>
    </row>
    <row r="2256" spans="2:6" hidden="1" outlineLevel="1" x14ac:dyDescent="0.15">
      <c r="B2256" s="101">
        <v>42178</v>
      </c>
      <c r="C2256" s="125">
        <v>11102.6</v>
      </c>
      <c r="E2256" s="141"/>
      <c r="F2256" s="141"/>
    </row>
    <row r="2257" spans="2:6" hidden="1" outlineLevel="1" x14ac:dyDescent="0.15">
      <c r="B2257" s="101">
        <v>42177</v>
      </c>
      <c r="C2257" s="125">
        <v>11064.89</v>
      </c>
      <c r="E2257" s="141"/>
      <c r="F2257" s="141"/>
    </row>
    <row r="2258" spans="2:6" hidden="1" outlineLevel="1" x14ac:dyDescent="0.15">
      <c r="B2258" s="101">
        <v>42174</v>
      </c>
      <c r="C2258" s="125">
        <v>10894.44</v>
      </c>
      <c r="E2258" s="141"/>
      <c r="F2258" s="141"/>
    </row>
    <row r="2259" spans="2:6" hidden="1" outlineLevel="1" x14ac:dyDescent="0.15">
      <c r="B2259" s="101">
        <v>42173</v>
      </c>
      <c r="C2259" s="125">
        <v>10825.96</v>
      </c>
      <c r="E2259" s="141"/>
      <c r="F2259" s="141"/>
    </row>
    <row r="2260" spans="2:6" hidden="1" outlineLevel="1" x14ac:dyDescent="0.15">
      <c r="B2260" s="101">
        <v>42172</v>
      </c>
      <c r="C2260" s="125">
        <v>10715.85</v>
      </c>
      <c r="E2260" s="141"/>
      <c r="F2260" s="141"/>
    </row>
    <row r="2261" spans="2:6" hidden="1" outlineLevel="1" x14ac:dyDescent="0.15">
      <c r="B2261" s="101">
        <v>42171</v>
      </c>
      <c r="C2261" s="125">
        <v>10657.23</v>
      </c>
      <c r="E2261" s="141"/>
      <c r="F2261" s="141"/>
    </row>
    <row r="2262" spans="2:6" hidden="1" outlineLevel="1" x14ac:dyDescent="0.15">
      <c r="B2262" s="101">
        <v>42170</v>
      </c>
      <c r="C2262" s="125">
        <v>10612.12</v>
      </c>
      <c r="E2262" s="141"/>
      <c r="F2262" s="141"/>
    </row>
    <row r="2263" spans="2:6" hidden="1" outlineLevel="1" x14ac:dyDescent="0.15">
      <c r="B2263" s="101">
        <v>42167</v>
      </c>
      <c r="C2263" s="125">
        <v>10562.76</v>
      </c>
      <c r="E2263" s="141"/>
      <c r="F2263" s="141"/>
    </row>
    <row r="2264" spans="2:6" hidden="1" outlineLevel="1" x14ac:dyDescent="0.15">
      <c r="B2264" s="101">
        <v>42166</v>
      </c>
      <c r="C2264" s="125">
        <v>10539.53</v>
      </c>
      <c r="E2264" s="141"/>
      <c r="F2264" s="141"/>
    </row>
    <row r="2265" spans="2:6" hidden="1" outlineLevel="1" x14ac:dyDescent="0.15">
      <c r="B2265" s="101">
        <v>42165</v>
      </c>
      <c r="C2265" s="125">
        <v>10750.07</v>
      </c>
      <c r="E2265" s="141"/>
      <c r="F2265" s="141"/>
    </row>
    <row r="2266" spans="2:6" hidden="1" outlineLevel="1" x14ac:dyDescent="0.15">
      <c r="B2266" s="101">
        <v>42164</v>
      </c>
      <c r="C2266" s="125">
        <v>10615.01</v>
      </c>
      <c r="E2266" s="141"/>
      <c r="F2266" s="141"/>
    </row>
    <row r="2267" spans="2:6" hidden="1" outlineLevel="1" x14ac:dyDescent="0.15">
      <c r="B2267" s="101">
        <v>42163</v>
      </c>
      <c r="C2267" s="125">
        <v>10643.82</v>
      </c>
      <c r="E2267" s="141"/>
      <c r="F2267" s="141"/>
    </row>
    <row r="2268" spans="2:6" hidden="1" outlineLevel="1" x14ac:dyDescent="0.15">
      <c r="B2268" s="101">
        <v>42160</v>
      </c>
      <c r="C2268" s="125">
        <v>10737.17</v>
      </c>
      <c r="E2268" s="141"/>
      <c r="F2268" s="141"/>
    </row>
    <row r="2269" spans="2:6" hidden="1" outlineLevel="1" x14ac:dyDescent="0.15">
      <c r="B2269" s="101">
        <v>42159</v>
      </c>
      <c r="C2269" s="125">
        <v>10754.83</v>
      </c>
      <c r="E2269" s="141"/>
      <c r="F2269" s="141"/>
    </row>
    <row r="2270" spans="2:6" hidden="1" outlineLevel="1" x14ac:dyDescent="0.15">
      <c r="B2270" s="101">
        <v>42158</v>
      </c>
      <c r="C2270" s="125">
        <v>10752.52</v>
      </c>
      <c r="E2270" s="141"/>
      <c r="F2270" s="141"/>
    </row>
    <row r="2271" spans="2:6" hidden="1" outlineLevel="1" x14ac:dyDescent="0.15">
      <c r="B2271" s="101">
        <v>42157</v>
      </c>
      <c r="C2271" s="125">
        <v>10876.52</v>
      </c>
      <c r="E2271" s="141"/>
      <c r="F2271" s="141"/>
    </row>
    <row r="2272" spans="2:6" hidden="1" outlineLevel="1" x14ac:dyDescent="0.15">
      <c r="B2272" s="101">
        <v>42156</v>
      </c>
      <c r="C2272" s="125">
        <v>11136.64</v>
      </c>
      <c r="E2272" s="141"/>
      <c r="F2272" s="141"/>
    </row>
    <row r="2273" spans="2:6" hidden="1" outlineLevel="1" x14ac:dyDescent="0.15">
      <c r="B2273" s="101">
        <v>42153</v>
      </c>
      <c r="C2273" s="125">
        <v>11135.85</v>
      </c>
      <c r="E2273" s="141"/>
      <c r="F2273" s="141"/>
    </row>
    <row r="2274" spans="2:6" hidden="1" outlineLevel="1" x14ac:dyDescent="0.15">
      <c r="B2274" s="101">
        <v>42152</v>
      </c>
      <c r="C2274" s="125">
        <v>10984.45</v>
      </c>
      <c r="E2274" s="141"/>
      <c r="F2274" s="141"/>
    </row>
    <row r="2275" spans="2:6" hidden="1" outlineLevel="1" x14ac:dyDescent="0.15">
      <c r="B2275" s="101">
        <v>42151</v>
      </c>
      <c r="C2275" s="125">
        <v>11001.96</v>
      </c>
      <c r="E2275" s="141"/>
      <c r="F2275" s="141"/>
    </row>
    <row r="2276" spans="2:6" hidden="1" outlineLevel="1" x14ac:dyDescent="0.15">
      <c r="B2276" s="101">
        <v>42150</v>
      </c>
      <c r="C2276" s="125">
        <v>11008.25</v>
      </c>
      <c r="E2276" s="141"/>
      <c r="F2276" s="141"/>
    </row>
    <row r="2277" spans="2:6" hidden="1" outlineLevel="1" x14ac:dyDescent="0.15">
      <c r="B2277" s="101">
        <v>42149</v>
      </c>
      <c r="C2277" s="125">
        <v>11049</v>
      </c>
      <c r="E2277" s="141"/>
      <c r="F2277" s="141"/>
    </row>
    <row r="2278" spans="2:6" hidden="1" outlineLevel="1" x14ac:dyDescent="0.15">
      <c r="B2278" s="101">
        <v>42146</v>
      </c>
      <c r="C2278" s="125">
        <v>11166.12</v>
      </c>
      <c r="E2278" s="141"/>
      <c r="F2278" s="141"/>
    </row>
    <row r="2279" spans="2:6" hidden="1" outlineLevel="1" x14ac:dyDescent="0.15">
      <c r="B2279" s="101">
        <v>42145</v>
      </c>
      <c r="C2279" s="125">
        <v>11116</v>
      </c>
      <c r="E2279" s="141"/>
      <c r="F2279" s="141"/>
    </row>
    <row r="2280" spans="2:6" hidden="1" outlineLevel="1" x14ac:dyDescent="0.15">
      <c r="B2280" s="101">
        <v>42144</v>
      </c>
      <c r="C2280" s="125">
        <v>11118.14</v>
      </c>
      <c r="E2280" s="141"/>
      <c r="F2280" s="141"/>
    </row>
    <row r="2281" spans="2:6" hidden="1" outlineLevel="1" x14ac:dyDescent="0.15">
      <c r="B2281" s="101">
        <v>42143</v>
      </c>
      <c r="C2281" s="125">
        <v>11042.12</v>
      </c>
      <c r="E2281" s="141"/>
      <c r="F2281" s="141"/>
    </row>
    <row r="2282" spans="2:6" hidden="1" outlineLevel="1" x14ac:dyDescent="0.15">
      <c r="B2282" s="101">
        <v>42142</v>
      </c>
      <c r="C2282" s="125">
        <v>11052.7</v>
      </c>
      <c r="E2282" s="141"/>
      <c r="F2282" s="141"/>
    </row>
    <row r="2283" spans="2:6" hidden="1" outlineLevel="1" x14ac:dyDescent="0.15">
      <c r="B2283" s="101">
        <v>42139</v>
      </c>
      <c r="C2283" s="125">
        <v>10905.75</v>
      </c>
      <c r="E2283" s="141"/>
      <c r="F2283" s="141"/>
    </row>
    <row r="2284" spans="2:6" hidden="1" outlineLevel="1" x14ac:dyDescent="0.15">
      <c r="B2284" s="101">
        <v>42138</v>
      </c>
      <c r="C2284" s="125">
        <v>10855.42</v>
      </c>
      <c r="E2284" s="141"/>
      <c r="F2284" s="141"/>
    </row>
    <row r="2285" spans="2:6" hidden="1" outlineLevel="1" x14ac:dyDescent="0.15">
      <c r="B2285" s="101">
        <v>42137</v>
      </c>
      <c r="C2285" s="125">
        <v>10870.3</v>
      </c>
      <c r="E2285" s="141"/>
      <c r="F2285" s="141"/>
    </row>
    <row r="2286" spans="2:6" hidden="1" outlineLevel="1" x14ac:dyDescent="0.15">
      <c r="B2286" s="101">
        <v>42136</v>
      </c>
      <c r="C2286" s="125">
        <v>10727.03</v>
      </c>
      <c r="E2286" s="141"/>
      <c r="F2286" s="141"/>
    </row>
    <row r="2287" spans="2:6" hidden="1" outlineLevel="1" x14ac:dyDescent="0.15">
      <c r="B2287" s="101">
        <v>42135</v>
      </c>
      <c r="C2287" s="125">
        <v>10988.82</v>
      </c>
      <c r="E2287" s="141"/>
      <c r="F2287" s="141"/>
    </row>
    <row r="2288" spans="2:6" hidden="1" outlineLevel="1" x14ac:dyDescent="0.15">
      <c r="B2288" s="101">
        <v>42132</v>
      </c>
      <c r="C2288" s="125">
        <v>10812.25</v>
      </c>
      <c r="E2288" s="141"/>
      <c r="F2288" s="141"/>
    </row>
    <row r="2289" spans="2:6" hidden="1" outlineLevel="1" x14ac:dyDescent="0.15">
      <c r="B2289" s="101">
        <v>42131</v>
      </c>
      <c r="C2289" s="125">
        <v>10630.43</v>
      </c>
      <c r="E2289" s="141"/>
      <c r="F2289" s="141"/>
    </row>
    <row r="2290" spans="2:6" hidden="1" outlineLevel="1" x14ac:dyDescent="0.15">
      <c r="B2290" s="101">
        <v>42130</v>
      </c>
      <c r="C2290" s="125">
        <v>10682.81</v>
      </c>
      <c r="E2290" s="141"/>
      <c r="F2290" s="141"/>
    </row>
    <row r="2291" spans="2:6" hidden="1" outlineLevel="1" x14ac:dyDescent="0.15">
      <c r="B2291" s="101">
        <v>42129</v>
      </c>
      <c r="C2291" s="125">
        <v>10983.33</v>
      </c>
      <c r="E2291" s="141"/>
      <c r="F2291" s="141"/>
    </row>
    <row r="2292" spans="2:6" hidden="1" outlineLevel="1" x14ac:dyDescent="0.15">
      <c r="B2292" s="101">
        <v>42128</v>
      </c>
      <c r="C2292" s="125">
        <v>10992.81</v>
      </c>
      <c r="E2292" s="141"/>
      <c r="F2292" s="141"/>
    </row>
    <row r="2293" spans="2:6" hidden="1" outlineLevel="1" x14ac:dyDescent="0.15">
      <c r="B2293" s="101">
        <v>42124</v>
      </c>
      <c r="C2293" s="125">
        <v>10794.27</v>
      </c>
      <c r="E2293" s="141"/>
      <c r="F2293" s="141"/>
    </row>
    <row r="2294" spans="2:6" hidden="1" outlineLevel="1" x14ac:dyDescent="0.15">
      <c r="B2294" s="101">
        <v>42123</v>
      </c>
      <c r="C2294" s="125">
        <v>10871.15</v>
      </c>
      <c r="E2294" s="141"/>
      <c r="F2294" s="141"/>
    </row>
    <row r="2295" spans="2:6" hidden="1" outlineLevel="1" x14ac:dyDescent="0.15">
      <c r="B2295" s="101">
        <v>42122</v>
      </c>
      <c r="C2295" s="125">
        <v>10931.63</v>
      </c>
      <c r="E2295" s="141"/>
      <c r="F2295" s="141"/>
    </row>
    <row r="2296" spans="2:6" hidden="1" outlineLevel="1" x14ac:dyDescent="0.15">
      <c r="B2296" s="101">
        <v>42121</v>
      </c>
      <c r="C2296" s="125">
        <v>10836.88</v>
      </c>
      <c r="E2296" s="141"/>
      <c r="F2296" s="141"/>
    </row>
    <row r="2297" spans="2:6" hidden="1" outlineLevel="1" x14ac:dyDescent="0.15">
      <c r="B2297" s="101">
        <v>42118</v>
      </c>
      <c r="C2297" s="125">
        <v>10957.58</v>
      </c>
      <c r="E2297" s="141"/>
      <c r="F2297" s="141"/>
    </row>
    <row r="2298" spans="2:6" hidden="1" outlineLevel="1" x14ac:dyDescent="0.15">
      <c r="B2298" s="101">
        <v>42117</v>
      </c>
      <c r="C2298" s="125">
        <v>11079.67</v>
      </c>
      <c r="E2298" s="141"/>
      <c r="F2298" s="141"/>
    </row>
    <row r="2299" spans="2:6" hidden="1" outlineLevel="1" x14ac:dyDescent="0.15">
      <c r="B2299" s="101">
        <v>42116</v>
      </c>
      <c r="C2299" s="125">
        <v>11121.12</v>
      </c>
      <c r="E2299" s="141"/>
      <c r="F2299" s="141"/>
    </row>
    <row r="2300" spans="2:6" hidden="1" outlineLevel="1" x14ac:dyDescent="0.15">
      <c r="B2300" s="101">
        <v>42115</v>
      </c>
      <c r="C2300" s="125">
        <v>11052.56</v>
      </c>
      <c r="E2300" s="141"/>
      <c r="F2300" s="141"/>
    </row>
    <row r="2301" spans="2:6" hidden="1" outlineLevel="1" x14ac:dyDescent="0.15">
      <c r="B2301" s="101">
        <v>42114</v>
      </c>
      <c r="C2301" s="125">
        <v>11145.37</v>
      </c>
      <c r="E2301" s="141"/>
      <c r="F2301" s="141"/>
    </row>
    <row r="2302" spans="2:6" hidden="1" outlineLevel="1" x14ac:dyDescent="0.15">
      <c r="B2302" s="101">
        <v>42111</v>
      </c>
      <c r="C2302" s="125">
        <v>11353.68</v>
      </c>
      <c r="E2302" s="141"/>
      <c r="F2302" s="141"/>
    </row>
    <row r="2303" spans="2:6" hidden="1" outlineLevel="1" x14ac:dyDescent="0.15">
      <c r="B2303" s="101">
        <v>42110</v>
      </c>
      <c r="C2303" s="125">
        <v>11486.56</v>
      </c>
      <c r="E2303" s="141"/>
      <c r="F2303" s="141"/>
    </row>
    <row r="2304" spans="2:6" hidden="1" outlineLevel="1" x14ac:dyDescent="0.15">
      <c r="B2304" s="101">
        <v>42109</v>
      </c>
      <c r="C2304" s="125">
        <v>11543.96</v>
      </c>
      <c r="E2304" s="141"/>
      <c r="F2304" s="141"/>
    </row>
    <row r="2305" spans="2:6" hidden="1" outlineLevel="1" x14ac:dyDescent="0.15">
      <c r="B2305" s="101">
        <v>42107</v>
      </c>
      <c r="C2305" s="125">
        <v>11654.49</v>
      </c>
      <c r="E2305" s="141"/>
      <c r="F2305" s="141"/>
    </row>
    <row r="2306" spans="2:6" hidden="1" outlineLevel="1" x14ac:dyDescent="0.15">
      <c r="B2306" s="101">
        <v>42104</v>
      </c>
      <c r="C2306" s="125">
        <v>11583.75</v>
      </c>
      <c r="E2306" s="141"/>
      <c r="F2306" s="141"/>
    </row>
    <row r="2307" spans="2:6" hidden="1" outlineLevel="1" x14ac:dyDescent="0.15">
      <c r="B2307" s="101">
        <v>42103</v>
      </c>
      <c r="C2307" s="125">
        <v>11581.01</v>
      </c>
      <c r="E2307" s="141"/>
      <c r="F2307" s="141"/>
    </row>
    <row r="2308" spans="2:6" hidden="1" outlineLevel="1" x14ac:dyDescent="0.15">
      <c r="B2308" s="101">
        <v>42102</v>
      </c>
      <c r="C2308" s="125">
        <v>11496.74</v>
      </c>
      <c r="E2308" s="141"/>
      <c r="F2308" s="141"/>
    </row>
    <row r="2309" spans="2:6" hidden="1" outlineLevel="1" x14ac:dyDescent="0.15">
      <c r="B2309" s="101">
        <v>42101</v>
      </c>
      <c r="C2309" s="125">
        <v>11425.33</v>
      </c>
      <c r="E2309" s="141"/>
      <c r="F2309" s="141"/>
    </row>
    <row r="2310" spans="2:6" hidden="1" outlineLevel="1" x14ac:dyDescent="0.15">
      <c r="B2310" s="101">
        <v>42100</v>
      </c>
      <c r="C2310" s="125">
        <v>11424.83</v>
      </c>
      <c r="E2310" s="141"/>
      <c r="F2310" s="141"/>
    </row>
    <row r="2311" spans="2:6" hidden="1" outlineLevel="1" x14ac:dyDescent="0.15">
      <c r="B2311" s="101">
        <v>42095</v>
      </c>
      <c r="C2311" s="125">
        <v>11327.63</v>
      </c>
      <c r="E2311" s="141"/>
      <c r="F2311" s="141"/>
    </row>
    <row r="2312" spans="2:6" hidden="1" outlineLevel="1" x14ac:dyDescent="0.15">
      <c r="B2312" s="101">
        <v>42094</v>
      </c>
      <c r="C2312" s="125">
        <v>11201.99</v>
      </c>
      <c r="E2312" s="141"/>
      <c r="F2312" s="141"/>
    </row>
    <row r="2313" spans="2:6" hidden="1" outlineLevel="1" x14ac:dyDescent="0.15">
      <c r="B2313" s="101">
        <v>42093</v>
      </c>
      <c r="C2313" s="125">
        <v>11203.71</v>
      </c>
      <c r="E2313" s="141"/>
      <c r="F2313" s="141"/>
    </row>
    <row r="2314" spans="2:6" hidden="1" outlineLevel="1" x14ac:dyDescent="0.15">
      <c r="B2314" s="101">
        <v>42090</v>
      </c>
      <c r="C2314" s="125">
        <v>11004.63</v>
      </c>
      <c r="E2314" s="141"/>
      <c r="F2314" s="141"/>
    </row>
    <row r="2315" spans="2:6" hidden="1" outlineLevel="1" x14ac:dyDescent="0.15">
      <c r="B2315" s="101">
        <v>42089</v>
      </c>
      <c r="C2315" s="125">
        <v>11005.59</v>
      </c>
      <c r="E2315" s="141"/>
      <c r="F2315" s="141"/>
    </row>
    <row r="2316" spans="2:6" hidden="1" outlineLevel="1" x14ac:dyDescent="0.15">
      <c r="B2316" s="101">
        <v>42088</v>
      </c>
      <c r="C2316" s="125">
        <v>11254.51</v>
      </c>
      <c r="E2316" s="141"/>
      <c r="F2316" s="141"/>
    </row>
    <row r="2317" spans="2:6" hidden="1" outlineLevel="1" x14ac:dyDescent="0.15">
      <c r="B2317" s="101">
        <v>42087</v>
      </c>
      <c r="C2317" s="125">
        <v>11269.62</v>
      </c>
      <c r="E2317" s="141"/>
      <c r="F2317" s="141"/>
    </row>
    <row r="2318" spans="2:6" hidden="1" outlineLevel="1" x14ac:dyDescent="0.15">
      <c r="B2318" s="101">
        <v>42086</v>
      </c>
      <c r="C2318" s="125">
        <v>11277.98</v>
      </c>
      <c r="E2318" s="141"/>
      <c r="F2318" s="141"/>
    </row>
    <row r="2319" spans="2:6" hidden="1" outlineLevel="1" x14ac:dyDescent="0.15">
      <c r="B2319" s="101">
        <v>42083</v>
      </c>
      <c r="C2319" s="125">
        <v>11304.37</v>
      </c>
      <c r="E2319" s="141"/>
      <c r="F2319" s="141"/>
    </row>
    <row r="2320" spans="2:6" hidden="1" outlineLevel="1" x14ac:dyDescent="0.15">
      <c r="B2320" s="101">
        <v>42082</v>
      </c>
      <c r="C2320" s="125">
        <v>11380.91</v>
      </c>
      <c r="E2320" s="141"/>
      <c r="F2320" s="141"/>
    </row>
    <row r="2321" spans="2:6" hidden="1" outlineLevel="1" x14ac:dyDescent="0.15">
      <c r="B2321" s="101">
        <v>42081</v>
      </c>
      <c r="C2321" s="125">
        <v>11448.46</v>
      </c>
      <c r="E2321" s="141"/>
      <c r="F2321" s="141"/>
    </row>
    <row r="2322" spans="2:6" hidden="1" outlineLevel="1" x14ac:dyDescent="0.15">
      <c r="B2322" s="101">
        <v>42080</v>
      </c>
      <c r="C2322" s="125">
        <v>11497.78</v>
      </c>
      <c r="E2322" s="141"/>
      <c r="F2322" s="141"/>
    </row>
    <row r="2323" spans="2:6" hidden="1" outlineLevel="1" x14ac:dyDescent="0.15">
      <c r="B2323" s="101">
        <v>42079</v>
      </c>
      <c r="C2323" s="125">
        <v>11378.97</v>
      </c>
      <c r="E2323" s="141"/>
      <c r="F2323" s="141"/>
    </row>
    <row r="2324" spans="2:6" hidden="1" outlineLevel="1" x14ac:dyDescent="0.15">
      <c r="B2324" s="101">
        <v>42076</v>
      </c>
      <c r="C2324" s="125">
        <v>11398.21</v>
      </c>
      <c r="E2324" s="141"/>
      <c r="F2324" s="141"/>
    </row>
    <row r="2325" spans="2:6" hidden="1" outlineLevel="1" x14ac:dyDescent="0.15">
      <c r="B2325" s="101">
        <v>42075</v>
      </c>
      <c r="C2325" s="125">
        <v>11567.25</v>
      </c>
      <c r="E2325" s="141"/>
      <c r="F2325" s="141"/>
    </row>
    <row r="2326" spans="2:6" hidden="1" outlineLevel="1" x14ac:dyDescent="0.15">
      <c r="B2326" s="101">
        <v>42074</v>
      </c>
      <c r="C2326" s="125">
        <v>11466.5</v>
      </c>
      <c r="E2326" s="141"/>
      <c r="F2326" s="141"/>
    </row>
    <row r="2327" spans="2:6" hidden="1" outlineLevel="1" x14ac:dyDescent="0.15">
      <c r="B2327" s="101">
        <v>42073</v>
      </c>
      <c r="C2327" s="125">
        <v>11482.4</v>
      </c>
      <c r="E2327" s="141"/>
      <c r="F2327" s="141"/>
    </row>
    <row r="2328" spans="2:6" hidden="1" outlineLevel="1" x14ac:dyDescent="0.15">
      <c r="B2328" s="101">
        <v>42072</v>
      </c>
      <c r="C2328" s="125">
        <v>11541.34</v>
      </c>
      <c r="E2328" s="141"/>
      <c r="F2328" s="141"/>
    </row>
    <row r="2329" spans="2:6" hidden="1" outlineLevel="1" x14ac:dyDescent="0.15">
      <c r="B2329" s="101">
        <v>42068</v>
      </c>
      <c r="C2329" s="125">
        <v>11779.43</v>
      </c>
      <c r="E2329" s="141"/>
      <c r="F2329" s="141"/>
    </row>
    <row r="2330" spans="2:6" hidden="1" outlineLevel="1" x14ac:dyDescent="0.15">
      <c r="B2330" s="101">
        <v>42067</v>
      </c>
      <c r="C2330" s="125">
        <v>11759.58</v>
      </c>
      <c r="E2330" s="141"/>
      <c r="F2330" s="141"/>
    </row>
    <row r="2331" spans="2:6" hidden="1" outlineLevel="1" x14ac:dyDescent="0.15">
      <c r="B2331" s="101">
        <v>42066</v>
      </c>
      <c r="C2331" s="125">
        <v>11856.58</v>
      </c>
      <c r="E2331" s="141"/>
      <c r="F2331" s="141"/>
    </row>
    <row r="2332" spans="2:6" hidden="1" outlineLevel="1" x14ac:dyDescent="0.15">
      <c r="B2332" s="101">
        <v>42065</v>
      </c>
      <c r="C2332" s="125">
        <v>11796.73</v>
      </c>
      <c r="E2332" s="141"/>
      <c r="F2332" s="141"/>
    </row>
    <row r="2333" spans="2:6" hidden="1" outlineLevel="1" x14ac:dyDescent="0.15">
      <c r="B2333" s="101">
        <v>42063</v>
      </c>
      <c r="C2333" s="125">
        <v>11723.28</v>
      </c>
      <c r="E2333" s="141"/>
      <c r="F2333" s="141"/>
    </row>
    <row r="2334" spans="2:6" hidden="1" outlineLevel="1" x14ac:dyDescent="0.15">
      <c r="B2334" s="101">
        <v>42062</v>
      </c>
      <c r="C2334" s="125">
        <v>11647.9</v>
      </c>
      <c r="E2334" s="141"/>
      <c r="F2334" s="141"/>
    </row>
    <row r="2335" spans="2:6" hidden="1" outlineLevel="1" x14ac:dyDescent="0.15">
      <c r="B2335" s="101">
        <v>42061</v>
      </c>
      <c r="C2335" s="125">
        <v>11436.2</v>
      </c>
      <c r="E2335" s="141"/>
      <c r="F2335" s="141"/>
    </row>
    <row r="2336" spans="2:6" hidden="1" outlineLevel="1" x14ac:dyDescent="0.15">
      <c r="B2336" s="101">
        <v>42060</v>
      </c>
      <c r="C2336" s="125">
        <v>11546.02</v>
      </c>
      <c r="E2336" s="141"/>
      <c r="F2336" s="141"/>
    </row>
    <row r="2337" spans="2:6" hidden="1" outlineLevel="1" x14ac:dyDescent="0.15">
      <c r="B2337" s="101">
        <v>42059</v>
      </c>
      <c r="C2337" s="125">
        <v>11539.22</v>
      </c>
      <c r="E2337" s="141"/>
      <c r="F2337" s="141"/>
    </row>
    <row r="2338" spans="2:6" hidden="1" outlineLevel="1" x14ac:dyDescent="0.15">
      <c r="B2338" s="101">
        <v>42058</v>
      </c>
      <c r="C2338" s="125">
        <v>11529.79</v>
      </c>
      <c r="E2338" s="141"/>
      <c r="F2338" s="141"/>
    </row>
    <row r="2339" spans="2:6" hidden="1" outlineLevel="1" x14ac:dyDescent="0.15">
      <c r="B2339" s="101">
        <v>42055</v>
      </c>
      <c r="C2339" s="125">
        <v>11633.41</v>
      </c>
      <c r="E2339" s="141"/>
      <c r="F2339" s="141"/>
    </row>
    <row r="2340" spans="2:6" hidden="1" outlineLevel="1" x14ac:dyDescent="0.15">
      <c r="B2340" s="101">
        <v>42054</v>
      </c>
      <c r="C2340" s="125">
        <v>11714.65</v>
      </c>
      <c r="E2340" s="141"/>
      <c r="F2340" s="141"/>
    </row>
    <row r="2341" spans="2:6" hidden="1" outlineLevel="1" x14ac:dyDescent="0.15">
      <c r="B2341" s="101">
        <v>42053</v>
      </c>
      <c r="C2341" s="125">
        <v>11680.18</v>
      </c>
      <c r="E2341" s="141"/>
      <c r="F2341" s="141"/>
    </row>
    <row r="2342" spans="2:6" hidden="1" outlineLevel="1" x14ac:dyDescent="0.15">
      <c r="B2342" s="101">
        <v>42051</v>
      </c>
      <c r="C2342" s="125">
        <v>11600.46</v>
      </c>
      <c r="E2342" s="141"/>
      <c r="F2342" s="141"/>
    </row>
    <row r="2343" spans="2:6" hidden="1" outlineLevel="1" x14ac:dyDescent="0.15">
      <c r="B2343" s="101">
        <v>42048</v>
      </c>
      <c r="C2343" s="125">
        <v>11595.25</v>
      </c>
      <c r="E2343" s="141"/>
      <c r="F2343" s="141"/>
    </row>
    <row r="2344" spans="2:6" hidden="1" outlineLevel="1" x14ac:dyDescent="0.15">
      <c r="B2344" s="101">
        <v>42047</v>
      </c>
      <c r="C2344" s="125">
        <v>11471.52</v>
      </c>
      <c r="E2344" s="141"/>
      <c r="F2344" s="141"/>
    </row>
    <row r="2345" spans="2:6" hidden="1" outlineLevel="1" x14ac:dyDescent="0.15">
      <c r="B2345" s="101">
        <v>42046</v>
      </c>
      <c r="C2345" s="125">
        <v>11360.75</v>
      </c>
      <c r="E2345" s="141"/>
      <c r="F2345" s="141"/>
    </row>
    <row r="2346" spans="2:6" hidden="1" outlineLevel="1" x14ac:dyDescent="0.15">
      <c r="B2346" s="101">
        <v>42045</v>
      </c>
      <c r="C2346" s="125">
        <v>11279.29</v>
      </c>
      <c r="E2346" s="141"/>
      <c r="F2346" s="141"/>
    </row>
    <row r="2347" spans="2:6" hidden="1" outlineLevel="1" x14ac:dyDescent="0.15">
      <c r="B2347" s="101">
        <v>42044</v>
      </c>
      <c r="C2347" s="125">
        <v>11227.7</v>
      </c>
      <c r="E2347" s="141"/>
      <c r="F2347" s="141"/>
    </row>
    <row r="2348" spans="2:6" hidden="1" outlineLevel="1" x14ac:dyDescent="0.15">
      <c r="B2348" s="101">
        <v>42041</v>
      </c>
      <c r="C2348" s="125">
        <v>11405.06</v>
      </c>
      <c r="E2348" s="141"/>
      <c r="F2348" s="141"/>
    </row>
    <row r="2349" spans="2:6" hidden="1" outlineLevel="1" x14ac:dyDescent="0.15">
      <c r="B2349" s="101">
        <v>42040</v>
      </c>
      <c r="C2349" s="125">
        <v>11471.77</v>
      </c>
      <c r="E2349" s="141"/>
      <c r="F2349" s="141"/>
    </row>
    <row r="2350" spans="2:6" hidden="1" outlineLevel="1" x14ac:dyDescent="0.15">
      <c r="B2350" s="101">
        <v>42039</v>
      </c>
      <c r="C2350" s="125">
        <v>11487.57</v>
      </c>
      <c r="E2350" s="141"/>
      <c r="F2350" s="141"/>
    </row>
    <row r="2351" spans="2:6" hidden="1" outlineLevel="1" x14ac:dyDescent="0.15">
      <c r="B2351" s="101">
        <v>42038</v>
      </c>
      <c r="C2351" s="125">
        <v>11529.72</v>
      </c>
      <c r="E2351" s="141"/>
      <c r="F2351" s="141"/>
    </row>
    <row r="2352" spans="2:6" hidden="1" outlineLevel="1" x14ac:dyDescent="0.15">
      <c r="B2352" s="101">
        <v>42037</v>
      </c>
      <c r="C2352" s="125">
        <v>11583.49</v>
      </c>
      <c r="E2352" s="141"/>
      <c r="F2352" s="141"/>
    </row>
    <row r="2353" spans="2:6" hidden="1" outlineLevel="1" x14ac:dyDescent="0.15">
      <c r="B2353" s="101">
        <v>42034</v>
      </c>
      <c r="C2353" s="125">
        <v>11598.64</v>
      </c>
      <c r="E2353" s="141"/>
      <c r="F2353" s="141"/>
    </row>
    <row r="2354" spans="2:6" hidden="1" outlineLevel="1" x14ac:dyDescent="0.15">
      <c r="B2354" s="101">
        <v>42033</v>
      </c>
      <c r="C2354" s="125">
        <v>11787.53</v>
      </c>
      <c r="E2354" s="141"/>
      <c r="F2354" s="141"/>
    </row>
    <row r="2355" spans="2:6" hidden="1" outlineLevel="1" x14ac:dyDescent="0.15">
      <c r="B2355" s="101">
        <v>42032</v>
      </c>
      <c r="C2355" s="125">
        <v>11737.42</v>
      </c>
      <c r="E2355" s="141"/>
      <c r="F2355" s="141"/>
    </row>
    <row r="2356" spans="2:6" hidden="1" outlineLevel="1" x14ac:dyDescent="0.15">
      <c r="B2356" s="101">
        <v>42031</v>
      </c>
      <c r="C2356" s="125">
        <v>11732.39</v>
      </c>
      <c r="E2356" s="141"/>
      <c r="F2356" s="141"/>
    </row>
    <row r="2357" spans="2:6" hidden="1" outlineLevel="1" x14ac:dyDescent="0.15">
      <c r="B2357" s="101">
        <v>42027</v>
      </c>
      <c r="C2357" s="125">
        <v>11633.06</v>
      </c>
      <c r="E2357" s="141"/>
      <c r="F2357" s="141"/>
    </row>
    <row r="2358" spans="2:6" hidden="1" outlineLevel="1" x14ac:dyDescent="0.15">
      <c r="B2358" s="101">
        <v>42026</v>
      </c>
      <c r="C2358" s="125">
        <v>11535.32</v>
      </c>
      <c r="E2358" s="141"/>
      <c r="F2358" s="141"/>
    </row>
    <row r="2359" spans="2:6" hidden="1" outlineLevel="1" x14ac:dyDescent="0.15">
      <c r="B2359" s="101">
        <v>42025</v>
      </c>
      <c r="C2359" s="125">
        <v>11492.4</v>
      </c>
      <c r="E2359" s="141"/>
      <c r="F2359" s="141"/>
    </row>
    <row r="2360" spans="2:6" hidden="1" outlineLevel="1" x14ac:dyDescent="0.15">
      <c r="B2360" s="101">
        <v>42024</v>
      </c>
      <c r="C2360" s="125">
        <v>11447.77</v>
      </c>
      <c r="E2360" s="141"/>
      <c r="F2360" s="141"/>
    </row>
    <row r="2361" spans="2:6" hidden="1" outlineLevel="1" x14ac:dyDescent="0.15">
      <c r="B2361" s="101">
        <v>42023</v>
      </c>
      <c r="C2361" s="125">
        <v>11257.01</v>
      </c>
      <c r="E2361" s="141"/>
      <c r="F2361" s="141"/>
    </row>
    <row r="2362" spans="2:6" hidden="1" outlineLevel="1" x14ac:dyDescent="0.15">
      <c r="B2362" s="101">
        <v>42020</v>
      </c>
      <c r="C2362" s="125">
        <v>11208.42</v>
      </c>
      <c r="E2362" s="141"/>
      <c r="F2362" s="141"/>
    </row>
    <row r="2363" spans="2:6" hidden="1" outlineLevel="1" x14ac:dyDescent="0.15">
      <c r="B2363" s="101">
        <v>42019</v>
      </c>
      <c r="C2363" s="125">
        <v>11182.52</v>
      </c>
      <c r="E2363" s="141"/>
      <c r="F2363" s="141"/>
    </row>
    <row r="2364" spans="2:6" hidden="1" outlineLevel="1" x14ac:dyDescent="0.15">
      <c r="B2364" s="101">
        <v>42018</v>
      </c>
      <c r="C2364" s="125">
        <v>10897.36</v>
      </c>
      <c r="E2364" s="141"/>
      <c r="F2364" s="141"/>
    </row>
    <row r="2365" spans="2:6" hidden="1" outlineLevel="1" x14ac:dyDescent="0.15">
      <c r="B2365" s="101">
        <v>42017</v>
      </c>
      <c r="C2365" s="125">
        <v>10926.16</v>
      </c>
      <c r="E2365" s="141"/>
      <c r="F2365" s="141"/>
    </row>
    <row r="2366" spans="2:6" hidden="1" outlineLevel="1" x14ac:dyDescent="0.15">
      <c r="B2366" s="101">
        <v>42016</v>
      </c>
      <c r="C2366" s="125">
        <v>10957.22</v>
      </c>
      <c r="E2366" s="141"/>
      <c r="F2366" s="141"/>
    </row>
    <row r="2367" spans="2:6" hidden="1" outlineLevel="1" x14ac:dyDescent="0.15">
      <c r="B2367" s="101">
        <v>42013</v>
      </c>
      <c r="C2367" s="125">
        <v>10906.56</v>
      </c>
      <c r="E2367" s="141"/>
      <c r="F2367" s="141"/>
    </row>
    <row r="2368" spans="2:6" hidden="1" outlineLevel="1" x14ac:dyDescent="0.15">
      <c r="B2368" s="101">
        <v>42012</v>
      </c>
      <c r="C2368" s="125">
        <v>10840.84</v>
      </c>
      <c r="E2368" s="141"/>
      <c r="F2368" s="141"/>
    </row>
    <row r="2369" spans="2:6" hidden="1" outlineLevel="1" x14ac:dyDescent="0.15">
      <c r="B2369" s="101">
        <v>42011</v>
      </c>
      <c r="C2369" s="125">
        <v>10666.38</v>
      </c>
      <c r="E2369" s="141"/>
      <c r="F2369" s="141"/>
    </row>
    <row r="2370" spans="2:6" hidden="1" outlineLevel="1" x14ac:dyDescent="0.15">
      <c r="B2370" s="101">
        <v>42010</v>
      </c>
      <c r="C2370" s="125">
        <v>10699.62</v>
      </c>
      <c r="E2370" s="141"/>
      <c r="F2370" s="141"/>
    </row>
    <row r="2371" spans="2:6" hidden="1" outlineLevel="1" x14ac:dyDescent="0.15">
      <c r="B2371" s="101">
        <v>42009</v>
      </c>
      <c r="C2371" s="125">
        <v>11030.18</v>
      </c>
      <c r="E2371" s="141"/>
      <c r="F2371" s="141"/>
    </row>
    <row r="2372" spans="2:6" hidden="1" outlineLevel="1" x14ac:dyDescent="0.15">
      <c r="B2372" s="101">
        <v>42006</v>
      </c>
      <c r="C2372" s="125">
        <v>11052.57</v>
      </c>
      <c r="E2372" s="141"/>
      <c r="F2372" s="141"/>
    </row>
    <row r="2373" spans="2:6" hidden="1" outlineLevel="1" x14ac:dyDescent="0.15">
      <c r="B2373" s="101">
        <v>42005</v>
      </c>
      <c r="C2373" s="125">
        <v>10905.87</v>
      </c>
      <c r="E2373" s="141"/>
      <c r="F2373" s="141"/>
    </row>
    <row r="2374" spans="2:6" hidden="1" outlineLevel="1" x14ac:dyDescent="0.15">
      <c r="B2374" s="101">
        <v>42004</v>
      </c>
      <c r="C2374" s="125">
        <v>10904.18</v>
      </c>
      <c r="E2374" s="141"/>
      <c r="F2374" s="141"/>
    </row>
    <row r="2375" spans="2:6" hidden="1" outlineLevel="1" x14ac:dyDescent="0.15">
      <c r="B2375" s="101">
        <v>42003</v>
      </c>
      <c r="C2375" s="125">
        <v>10858.82</v>
      </c>
      <c r="E2375" s="141"/>
      <c r="F2375" s="141"/>
    </row>
    <row r="2376" spans="2:6" hidden="1" outlineLevel="1" x14ac:dyDescent="0.15">
      <c r="B2376" s="101">
        <v>42002</v>
      </c>
      <c r="C2376" s="125">
        <v>10856.23</v>
      </c>
      <c r="E2376" s="141"/>
      <c r="F2376" s="141"/>
    </row>
    <row r="2377" spans="2:6" hidden="1" outlineLevel="1" x14ac:dyDescent="0.15">
      <c r="B2377" s="101">
        <v>41999</v>
      </c>
      <c r="C2377" s="125">
        <v>10796.22</v>
      </c>
      <c r="E2377" s="141"/>
      <c r="F2377" s="141"/>
    </row>
    <row r="2378" spans="2:6" hidden="1" outlineLevel="1" x14ac:dyDescent="0.15">
      <c r="B2378" s="101">
        <v>41997</v>
      </c>
      <c r="C2378" s="125">
        <v>10761.16</v>
      </c>
      <c r="E2378" s="141"/>
      <c r="F2378" s="141"/>
    </row>
    <row r="2379" spans="2:6" hidden="1" outlineLevel="1" x14ac:dyDescent="0.15">
      <c r="B2379" s="101">
        <v>41996</v>
      </c>
      <c r="C2379" s="125">
        <v>10883.52</v>
      </c>
      <c r="E2379" s="141"/>
      <c r="F2379" s="141"/>
    </row>
    <row r="2380" spans="2:6" hidden="1" outlineLevel="1" x14ac:dyDescent="0.15">
      <c r="B2380" s="101">
        <v>41995</v>
      </c>
      <c r="C2380" s="125">
        <v>10958.56</v>
      </c>
      <c r="E2380" s="141"/>
      <c r="F2380" s="141"/>
    </row>
    <row r="2381" spans="2:6" hidden="1" outlineLevel="1" x14ac:dyDescent="0.15">
      <c r="B2381" s="101">
        <v>41992</v>
      </c>
      <c r="C2381" s="125">
        <v>10828.45</v>
      </c>
      <c r="E2381" s="141"/>
      <c r="F2381" s="141"/>
    </row>
    <row r="2382" spans="2:6" hidden="1" outlineLevel="1" x14ac:dyDescent="0.15">
      <c r="B2382" s="101">
        <v>41991</v>
      </c>
      <c r="C2382" s="125">
        <v>10741.73</v>
      </c>
      <c r="E2382" s="141"/>
      <c r="F2382" s="141"/>
    </row>
    <row r="2383" spans="2:6" hidden="1" outlineLevel="1" x14ac:dyDescent="0.15">
      <c r="B2383" s="101">
        <v>41990</v>
      </c>
      <c r="C2383" s="125">
        <v>10571.25</v>
      </c>
      <c r="E2383" s="141"/>
      <c r="F2383" s="141"/>
    </row>
    <row r="2384" spans="2:6" hidden="1" outlineLevel="1" x14ac:dyDescent="0.15">
      <c r="B2384" s="101">
        <v>41989</v>
      </c>
      <c r="C2384" s="125">
        <v>10620.96</v>
      </c>
      <c r="E2384" s="141"/>
      <c r="F2384" s="141"/>
    </row>
    <row r="2385" spans="2:6" hidden="1" outlineLevel="1" x14ac:dyDescent="0.15">
      <c r="B2385" s="101">
        <v>41988</v>
      </c>
      <c r="C2385" s="125">
        <v>10818.45</v>
      </c>
      <c r="E2385" s="141"/>
      <c r="F2385" s="141"/>
    </row>
    <row r="2386" spans="2:6" hidden="1" outlineLevel="1" x14ac:dyDescent="0.15">
      <c r="B2386" s="101">
        <v>41985</v>
      </c>
      <c r="C2386" s="125">
        <v>10824.36</v>
      </c>
      <c r="E2386" s="141"/>
      <c r="F2386" s="141"/>
    </row>
    <row r="2387" spans="2:6" hidden="1" outlineLevel="1" x14ac:dyDescent="0.15">
      <c r="B2387" s="101">
        <v>41984</v>
      </c>
      <c r="C2387" s="125">
        <v>10914.91</v>
      </c>
      <c r="E2387" s="141"/>
      <c r="F2387" s="141"/>
    </row>
    <row r="2388" spans="2:6" hidden="1" outlineLevel="1" x14ac:dyDescent="0.15">
      <c r="B2388" s="101">
        <v>41983</v>
      </c>
      <c r="C2388" s="125">
        <v>10997.53</v>
      </c>
      <c r="E2388" s="141"/>
      <c r="F2388" s="141"/>
    </row>
    <row r="2389" spans="2:6" hidden="1" outlineLevel="1" x14ac:dyDescent="0.15">
      <c r="B2389" s="101">
        <v>41982</v>
      </c>
      <c r="C2389" s="125">
        <v>10977.83</v>
      </c>
      <c r="E2389" s="141"/>
      <c r="F2389" s="141"/>
    </row>
    <row r="2390" spans="2:6" hidden="1" outlineLevel="1" x14ac:dyDescent="0.15">
      <c r="B2390" s="101">
        <v>41981</v>
      </c>
      <c r="C2390" s="125">
        <v>11106.22</v>
      </c>
      <c r="E2390" s="141"/>
      <c r="F2390" s="141"/>
    </row>
    <row r="2391" spans="2:6" hidden="1" outlineLevel="1" x14ac:dyDescent="0.15">
      <c r="B2391" s="101">
        <v>41978</v>
      </c>
      <c r="C2391" s="125">
        <v>11237.89</v>
      </c>
      <c r="E2391" s="141"/>
      <c r="F2391" s="141"/>
    </row>
    <row r="2392" spans="2:6" hidden="1" outlineLevel="1" x14ac:dyDescent="0.15">
      <c r="B2392" s="101">
        <v>41977</v>
      </c>
      <c r="C2392" s="125">
        <v>11272.28</v>
      </c>
      <c r="E2392" s="141"/>
      <c r="F2392" s="141"/>
    </row>
    <row r="2393" spans="2:6" hidden="1" outlineLevel="1" x14ac:dyDescent="0.15">
      <c r="B2393" s="101">
        <v>41976</v>
      </c>
      <c r="C2393" s="125">
        <v>11237.05</v>
      </c>
      <c r="E2393" s="141"/>
      <c r="F2393" s="141"/>
    </row>
    <row r="2394" spans="2:6" hidden="1" outlineLevel="1" x14ac:dyDescent="0.15">
      <c r="B2394" s="101">
        <v>41975</v>
      </c>
      <c r="C2394" s="125">
        <v>11219.98</v>
      </c>
      <c r="E2394" s="141"/>
      <c r="F2394" s="141"/>
    </row>
    <row r="2395" spans="2:6" hidden="1" outlineLevel="1" x14ac:dyDescent="0.15">
      <c r="B2395" s="101">
        <v>41974</v>
      </c>
      <c r="C2395" s="125">
        <v>11261.08</v>
      </c>
      <c r="E2395" s="141"/>
      <c r="F2395" s="141"/>
    </row>
    <row r="2396" spans="2:6" hidden="1" outlineLevel="1" x14ac:dyDescent="0.15">
      <c r="B2396" s="101">
        <v>41971</v>
      </c>
      <c r="C2396" s="125">
        <v>11303.65</v>
      </c>
      <c r="E2396" s="141"/>
      <c r="F2396" s="141"/>
    </row>
    <row r="2397" spans="2:6" hidden="1" outlineLevel="1" x14ac:dyDescent="0.15">
      <c r="B2397" s="101">
        <v>41970</v>
      </c>
      <c r="C2397" s="125">
        <v>11179.89</v>
      </c>
      <c r="E2397" s="141"/>
      <c r="F2397" s="141"/>
    </row>
    <row r="2398" spans="2:6" hidden="1" outlineLevel="1" x14ac:dyDescent="0.15">
      <c r="B2398" s="101">
        <v>41969</v>
      </c>
      <c r="C2398" s="125">
        <v>11155.59</v>
      </c>
      <c r="E2398" s="141"/>
      <c r="F2398" s="141"/>
    </row>
    <row r="2399" spans="2:6" hidden="1" outlineLevel="1" x14ac:dyDescent="0.15">
      <c r="B2399" s="101">
        <v>41968</v>
      </c>
      <c r="C2399" s="125">
        <v>11138.95</v>
      </c>
      <c r="E2399" s="141"/>
      <c r="F2399" s="141"/>
    </row>
    <row r="2400" spans="2:6" hidden="1" outlineLevel="1" x14ac:dyDescent="0.15">
      <c r="B2400" s="101">
        <v>41967</v>
      </c>
      <c r="C2400" s="125">
        <v>11227.19</v>
      </c>
      <c r="E2400" s="141"/>
      <c r="F2400" s="141"/>
    </row>
    <row r="2401" spans="2:6" hidden="1" outlineLevel="1" x14ac:dyDescent="0.15">
      <c r="B2401" s="101">
        <v>41964</v>
      </c>
      <c r="C2401" s="125">
        <v>11157.68</v>
      </c>
      <c r="E2401" s="141"/>
      <c r="F2401" s="141"/>
    </row>
    <row r="2402" spans="2:6" hidden="1" outlineLevel="1" x14ac:dyDescent="0.15">
      <c r="B2402" s="101">
        <v>41963</v>
      </c>
      <c r="C2402" s="125">
        <v>11058.39</v>
      </c>
      <c r="E2402" s="141"/>
      <c r="F2402" s="141"/>
    </row>
    <row r="2403" spans="2:6" hidden="1" outlineLevel="1" x14ac:dyDescent="0.15">
      <c r="B2403" s="101">
        <v>41962</v>
      </c>
      <c r="C2403" s="125">
        <v>11032.59</v>
      </c>
      <c r="E2403" s="141"/>
      <c r="F2403" s="141"/>
    </row>
    <row r="2404" spans="2:6" hidden="1" outlineLevel="1" x14ac:dyDescent="0.15">
      <c r="B2404" s="101">
        <v>41961</v>
      </c>
      <c r="C2404" s="125">
        <v>11089.98</v>
      </c>
      <c r="E2404" s="141"/>
      <c r="F2404" s="141"/>
    </row>
    <row r="2405" spans="2:6" hidden="1" outlineLevel="1" x14ac:dyDescent="0.15">
      <c r="B2405" s="101">
        <v>41960</v>
      </c>
      <c r="C2405" s="125">
        <v>11096.32</v>
      </c>
      <c r="E2405" s="141"/>
      <c r="F2405" s="141"/>
    </row>
    <row r="2406" spans="2:6" hidden="1" outlineLevel="1" x14ac:dyDescent="0.15">
      <c r="B2406" s="101">
        <v>41957</v>
      </c>
      <c r="C2406" s="125">
        <v>11042.61</v>
      </c>
      <c r="E2406" s="141"/>
      <c r="F2406" s="141"/>
    </row>
    <row r="2407" spans="2:6" hidden="1" outlineLevel="1" x14ac:dyDescent="0.15">
      <c r="B2407" s="101">
        <v>41956</v>
      </c>
      <c r="C2407" s="125">
        <v>11000.37</v>
      </c>
      <c r="E2407" s="141"/>
      <c r="F2407" s="141"/>
    </row>
    <row r="2408" spans="2:6" hidden="1" outlineLevel="1" x14ac:dyDescent="0.15">
      <c r="B2408" s="101">
        <v>41955</v>
      </c>
      <c r="C2408" s="125">
        <v>11033.19</v>
      </c>
      <c r="E2408" s="141"/>
      <c r="F2408" s="141"/>
    </row>
    <row r="2409" spans="2:6" hidden="1" outlineLevel="1" x14ac:dyDescent="0.15">
      <c r="B2409" s="101">
        <v>41954</v>
      </c>
      <c r="C2409" s="125">
        <v>11006.04</v>
      </c>
      <c r="E2409" s="141"/>
      <c r="F2409" s="141"/>
    </row>
    <row r="2410" spans="2:6" hidden="1" outlineLevel="1" x14ac:dyDescent="0.15">
      <c r="B2410" s="101">
        <v>41953</v>
      </c>
      <c r="C2410" s="125">
        <v>10981.77</v>
      </c>
      <c r="E2410" s="141"/>
      <c r="F2410" s="141"/>
    </row>
    <row r="2411" spans="2:6" hidden="1" outlineLevel="1" x14ac:dyDescent="0.15">
      <c r="B2411" s="101">
        <v>41950</v>
      </c>
      <c r="C2411" s="125">
        <v>10972.24</v>
      </c>
      <c r="E2411" s="141"/>
      <c r="F2411" s="141"/>
    </row>
    <row r="2412" spans="2:6" hidden="1" outlineLevel="1" x14ac:dyDescent="0.15">
      <c r="B2412" s="101">
        <v>41948</v>
      </c>
      <c r="C2412" s="125">
        <v>10973.95</v>
      </c>
      <c r="E2412" s="141"/>
      <c r="F2412" s="141"/>
    </row>
    <row r="2413" spans="2:6" hidden="1" outlineLevel="1" x14ac:dyDescent="0.15">
      <c r="B2413" s="101">
        <v>41946</v>
      </c>
      <c r="C2413" s="125">
        <v>10955.32</v>
      </c>
      <c r="E2413" s="141"/>
      <c r="F2413" s="141"/>
    </row>
    <row r="2414" spans="2:6" hidden="1" outlineLevel="1" x14ac:dyDescent="0.15">
      <c r="B2414" s="101">
        <v>41943</v>
      </c>
      <c r="C2414" s="125">
        <v>10952.14</v>
      </c>
      <c r="E2414" s="141"/>
      <c r="F2414" s="141"/>
    </row>
    <row r="2415" spans="2:6" hidden="1" outlineLevel="1" x14ac:dyDescent="0.15">
      <c r="B2415" s="101">
        <v>41942</v>
      </c>
      <c r="C2415" s="125">
        <v>10749.57</v>
      </c>
      <c r="E2415" s="141"/>
      <c r="F2415" s="141"/>
    </row>
    <row r="2416" spans="2:6" hidden="1" outlineLevel="1" x14ac:dyDescent="0.15">
      <c r="B2416" s="101">
        <v>41941</v>
      </c>
      <c r="C2416" s="125">
        <v>10645.96</v>
      </c>
      <c r="E2416" s="141"/>
      <c r="F2416" s="141"/>
    </row>
    <row r="2417" spans="2:6" hidden="1" outlineLevel="1" x14ac:dyDescent="0.15">
      <c r="B2417" s="101">
        <v>41940</v>
      </c>
      <c r="C2417" s="125">
        <v>10562.48</v>
      </c>
      <c r="E2417" s="141"/>
      <c r="F2417" s="141"/>
    </row>
    <row r="2418" spans="2:6" hidden="1" outlineLevel="1" x14ac:dyDescent="0.15">
      <c r="B2418" s="101">
        <v>41939</v>
      </c>
      <c r="C2418" s="125">
        <v>10515.22</v>
      </c>
      <c r="E2418" s="141"/>
      <c r="F2418" s="141"/>
    </row>
    <row r="2419" spans="2:6" hidden="1" outlineLevel="1" x14ac:dyDescent="0.15">
      <c r="B2419" s="101">
        <v>41935</v>
      </c>
      <c r="C2419" s="125">
        <v>10545.31</v>
      </c>
      <c r="E2419" s="141"/>
      <c r="F2419" s="141"/>
    </row>
    <row r="2420" spans="2:6" hidden="1" outlineLevel="1" x14ac:dyDescent="0.15">
      <c r="B2420" s="101">
        <v>41934</v>
      </c>
      <c r="C2420" s="125">
        <v>10520.79</v>
      </c>
      <c r="E2420" s="141"/>
      <c r="F2420" s="141"/>
    </row>
    <row r="2421" spans="2:6" hidden="1" outlineLevel="1" x14ac:dyDescent="0.15">
      <c r="B2421" s="101">
        <v>41933</v>
      </c>
      <c r="C2421" s="125">
        <v>10431.1</v>
      </c>
      <c r="E2421" s="141"/>
      <c r="F2421" s="141"/>
    </row>
    <row r="2422" spans="2:6" hidden="1" outlineLevel="1" x14ac:dyDescent="0.15">
      <c r="B2422" s="101">
        <v>41932</v>
      </c>
      <c r="C2422" s="125">
        <v>10367.030000000001</v>
      </c>
      <c r="E2422" s="141"/>
      <c r="F2422" s="141"/>
    </row>
    <row r="2423" spans="2:6" hidden="1" outlineLevel="1" x14ac:dyDescent="0.15">
      <c r="B2423" s="101">
        <v>41929</v>
      </c>
      <c r="C2423" s="125">
        <v>10235.83</v>
      </c>
      <c r="E2423" s="141"/>
      <c r="F2423" s="141"/>
    </row>
    <row r="2424" spans="2:6" hidden="1" outlineLevel="1" x14ac:dyDescent="0.15">
      <c r="B2424" s="101">
        <v>41928</v>
      </c>
      <c r="C2424" s="125">
        <v>10194.41</v>
      </c>
      <c r="E2424" s="141"/>
      <c r="F2424" s="141"/>
    </row>
    <row r="2425" spans="2:6" hidden="1" outlineLevel="1" x14ac:dyDescent="0.15">
      <c r="B2425" s="101">
        <v>41926</v>
      </c>
      <c r="C2425" s="125">
        <v>10342.43</v>
      </c>
      <c r="E2425" s="141"/>
      <c r="F2425" s="141"/>
    </row>
    <row r="2426" spans="2:6" hidden="1" outlineLevel="1" x14ac:dyDescent="0.15">
      <c r="B2426" s="101">
        <v>41925</v>
      </c>
      <c r="C2426" s="125">
        <v>10369.11</v>
      </c>
      <c r="E2426" s="141"/>
      <c r="F2426" s="141"/>
    </row>
    <row r="2427" spans="2:6" hidden="1" outlineLevel="1" x14ac:dyDescent="0.15">
      <c r="B2427" s="101">
        <v>41922</v>
      </c>
      <c r="C2427" s="125">
        <v>10337.14</v>
      </c>
      <c r="E2427" s="141"/>
      <c r="F2427" s="141"/>
    </row>
    <row r="2428" spans="2:6" hidden="1" outlineLevel="1" x14ac:dyDescent="0.15">
      <c r="B2428" s="101">
        <v>41921</v>
      </c>
      <c r="C2428" s="125">
        <v>10469.450000000001</v>
      </c>
      <c r="E2428" s="141"/>
      <c r="F2428" s="141"/>
    </row>
    <row r="2429" spans="2:6" hidden="1" outlineLevel="1" x14ac:dyDescent="0.15">
      <c r="B2429" s="101">
        <v>41920</v>
      </c>
      <c r="C2429" s="125">
        <v>10314.44</v>
      </c>
      <c r="E2429" s="141"/>
      <c r="F2429" s="141"/>
    </row>
    <row r="2430" spans="2:6" hidden="1" outlineLevel="1" x14ac:dyDescent="0.15">
      <c r="B2430" s="101">
        <v>41919</v>
      </c>
      <c r="C2430" s="125">
        <v>10327.23</v>
      </c>
      <c r="E2430" s="141"/>
      <c r="F2430" s="141"/>
    </row>
    <row r="2431" spans="2:6" hidden="1" outlineLevel="1" x14ac:dyDescent="0.15">
      <c r="B2431" s="101">
        <v>41913</v>
      </c>
      <c r="C2431" s="125">
        <v>10449.700000000001</v>
      </c>
      <c r="E2431" s="141"/>
      <c r="F2431" s="141"/>
    </row>
    <row r="2432" spans="2:6" hidden="1" outlineLevel="1" x14ac:dyDescent="0.15">
      <c r="B2432" s="101">
        <v>41912</v>
      </c>
      <c r="C2432" s="125">
        <v>10475.040000000001</v>
      </c>
      <c r="E2432" s="141"/>
      <c r="F2432" s="141"/>
    </row>
    <row r="2433" spans="2:6" hidden="1" outlineLevel="1" x14ac:dyDescent="0.15">
      <c r="B2433" s="101">
        <v>41911</v>
      </c>
      <c r="C2433" s="125">
        <v>10467.25</v>
      </c>
      <c r="E2433" s="141"/>
      <c r="F2433" s="141"/>
    </row>
    <row r="2434" spans="2:6" hidden="1" outlineLevel="1" x14ac:dyDescent="0.15">
      <c r="B2434" s="101">
        <v>41908</v>
      </c>
      <c r="C2434" s="125">
        <v>10480.36</v>
      </c>
      <c r="E2434" s="141"/>
      <c r="F2434" s="141"/>
    </row>
    <row r="2435" spans="2:6" hidden="1" outlineLevel="1" x14ac:dyDescent="0.15">
      <c r="B2435" s="101">
        <v>41907</v>
      </c>
      <c r="C2435" s="125">
        <v>10405.39</v>
      </c>
      <c r="E2435" s="141"/>
      <c r="F2435" s="141"/>
    </row>
    <row r="2436" spans="2:6" hidden="1" outlineLevel="1" x14ac:dyDescent="0.15">
      <c r="B2436" s="101">
        <v>41906</v>
      </c>
      <c r="C2436" s="125">
        <v>10524.5</v>
      </c>
      <c r="E2436" s="141"/>
      <c r="F2436" s="141"/>
    </row>
    <row r="2437" spans="2:6" hidden="1" outlineLevel="1" x14ac:dyDescent="0.15">
      <c r="B2437" s="101">
        <v>41905</v>
      </c>
      <c r="C2437" s="125">
        <v>10544.42</v>
      </c>
      <c r="E2437" s="141"/>
      <c r="F2437" s="141"/>
    </row>
    <row r="2438" spans="2:6" hidden="1" outlineLevel="1" x14ac:dyDescent="0.15">
      <c r="B2438" s="101">
        <v>41904</v>
      </c>
      <c r="C2438" s="125">
        <v>10713.74</v>
      </c>
      <c r="E2438" s="141"/>
      <c r="F2438" s="141"/>
    </row>
    <row r="2439" spans="2:6" hidden="1" outlineLevel="1" x14ac:dyDescent="0.15">
      <c r="B2439" s="101">
        <v>41901</v>
      </c>
      <c r="C2439" s="125">
        <v>10679.98</v>
      </c>
      <c r="E2439" s="141"/>
      <c r="F2439" s="141"/>
    </row>
    <row r="2440" spans="2:6" hidden="1" outlineLevel="1" x14ac:dyDescent="0.15">
      <c r="B2440" s="101">
        <v>41900</v>
      </c>
      <c r="C2440" s="125">
        <v>10671.16</v>
      </c>
      <c r="E2440" s="141"/>
      <c r="F2440" s="141"/>
    </row>
    <row r="2441" spans="2:6" hidden="1" outlineLevel="1" x14ac:dyDescent="0.15">
      <c r="B2441" s="101">
        <v>41899</v>
      </c>
      <c r="C2441" s="125">
        <v>10488.05</v>
      </c>
      <c r="E2441" s="141"/>
      <c r="F2441" s="141"/>
    </row>
    <row r="2442" spans="2:6" hidden="1" outlineLevel="1" x14ac:dyDescent="0.15">
      <c r="B2442" s="101">
        <v>41898</v>
      </c>
      <c r="C2442" s="125">
        <v>10432.030000000001</v>
      </c>
      <c r="E2442" s="141"/>
      <c r="F2442" s="141"/>
    </row>
    <row r="2443" spans="2:6" hidden="1" outlineLevel="1" x14ac:dyDescent="0.15">
      <c r="B2443" s="101">
        <v>41897</v>
      </c>
      <c r="C2443" s="125">
        <v>10575.5</v>
      </c>
      <c r="E2443" s="141"/>
      <c r="F2443" s="141"/>
    </row>
    <row r="2444" spans="2:6" hidden="1" outlineLevel="1" x14ac:dyDescent="0.15">
      <c r="B2444" s="101">
        <v>41894</v>
      </c>
      <c r="C2444" s="125">
        <v>10658.96</v>
      </c>
      <c r="E2444" s="141"/>
      <c r="F2444" s="141"/>
    </row>
    <row r="2445" spans="2:6" hidden="1" outlineLevel="1" x14ac:dyDescent="0.15">
      <c r="B2445" s="101">
        <v>41893</v>
      </c>
      <c r="C2445" s="125">
        <v>10632.96</v>
      </c>
      <c r="E2445" s="141"/>
      <c r="F2445" s="141"/>
    </row>
    <row r="2446" spans="2:6" hidden="1" outlineLevel="1" x14ac:dyDescent="0.15">
      <c r="B2446" s="101">
        <v>41892</v>
      </c>
      <c r="C2446" s="125">
        <v>10643.54</v>
      </c>
      <c r="E2446" s="141"/>
      <c r="F2446" s="141"/>
    </row>
    <row r="2447" spans="2:6" hidden="1" outlineLevel="1" x14ac:dyDescent="0.15">
      <c r="B2447" s="101">
        <v>41891</v>
      </c>
      <c r="C2447" s="125">
        <v>10720.95</v>
      </c>
      <c r="E2447" s="141"/>
      <c r="F2447" s="141"/>
    </row>
    <row r="2448" spans="2:6" hidden="1" outlineLevel="1" x14ac:dyDescent="0.15">
      <c r="B2448" s="101">
        <v>41890</v>
      </c>
      <c r="C2448" s="125">
        <v>10748.49</v>
      </c>
      <c r="E2448" s="141"/>
      <c r="F2448" s="141"/>
    </row>
    <row r="2449" spans="2:6" hidden="1" outlineLevel="1" x14ac:dyDescent="0.15">
      <c r="B2449" s="101">
        <v>41887</v>
      </c>
      <c r="C2449" s="125">
        <v>10633.24</v>
      </c>
      <c r="E2449" s="141"/>
      <c r="F2449" s="141"/>
    </row>
    <row r="2450" spans="2:6" hidden="1" outlineLevel="1" x14ac:dyDescent="0.15">
      <c r="B2450" s="101">
        <v>41886</v>
      </c>
      <c r="C2450" s="125">
        <v>10643.88</v>
      </c>
      <c r="E2450" s="141"/>
      <c r="F2450" s="141"/>
    </row>
    <row r="2451" spans="2:6" hidden="1" outlineLevel="1" x14ac:dyDescent="0.15">
      <c r="B2451" s="101">
        <v>41885</v>
      </c>
      <c r="C2451" s="125">
        <v>10667.5</v>
      </c>
      <c r="E2451" s="141"/>
      <c r="F2451" s="141"/>
    </row>
    <row r="2452" spans="2:6" hidden="1" outlineLevel="1" x14ac:dyDescent="0.15">
      <c r="B2452" s="101">
        <v>41884</v>
      </c>
      <c r="C2452" s="125">
        <v>10626.05</v>
      </c>
      <c r="E2452" s="141"/>
      <c r="F2452" s="141"/>
    </row>
    <row r="2453" spans="2:6" hidden="1" outlineLevel="1" x14ac:dyDescent="0.15">
      <c r="B2453" s="101">
        <v>41883</v>
      </c>
      <c r="C2453" s="125">
        <v>10553.26</v>
      </c>
      <c r="E2453" s="141"/>
      <c r="F2453" s="141"/>
    </row>
    <row r="2454" spans="2:6" hidden="1" outlineLevel="1" x14ac:dyDescent="0.15">
      <c r="B2454" s="101">
        <v>41879</v>
      </c>
      <c r="C2454" s="125">
        <v>10456.85</v>
      </c>
      <c r="E2454" s="141"/>
      <c r="F2454" s="141"/>
    </row>
    <row r="2455" spans="2:6" hidden="1" outlineLevel="1" x14ac:dyDescent="0.15">
      <c r="B2455" s="101">
        <v>41878</v>
      </c>
      <c r="C2455" s="125">
        <v>10432.780000000001</v>
      </c>
      <c r="E2455" s="141"/>
      <c r="F2455" s="141"/>
    </row>
    <row r="2456" spans="2:6" hidden="1" outlineLevel="1" x14ac:dyDescent="0.15">
      <c r="B2456" s="101">
        <v>41877</v>
      </c>
      <c r="C2456" s="125">
        <v>10390.39</v>
      </c>
      <c r="E2456" s="141"/>
      <c r="F2456" s="141"/>
    </row>
    <row r="2457" spans="2:6" hidden="1" outlineLevel="1" x14ac:dyDescent="0.15">
      <c r="B2457" s="101">
        <v>41876</v>
      </c>
      <c r="C2457" s="125">
        <v>10392.41</v>
      </c>
      <c r="E2457" s="141"/>
      <c r="F2457" s="141"/>
    </row>
    <row r="2458" spans="2:6" hidden="1" outlineLevel="1" x14ac:dyDescent="0.15">
      <c r="B2458" s="101">
        <v>41873</v>
      </c>
      <c r="C2458" s="125">
        <v>10401.48</v>
      </c>
      <c r="E2458" s="141"/>
      <c r="F2458" s="141"/>
    </row>
    <row r="2459" spans="2:6" hidden="1" outlineLevel="1" x14ac:dyDescent="0.15">
      <c r="B2459" s="101">
        <v>41872</v>
      </c>
      <c r="C2459" s="125">
        <v>10372.44</v>
      </c>
      <c r="E2459" s="141"/>
      <c r="F2459" s="141"/>
    </row>
    <row r="2460" spans="2:6" hidden="1" outlineLevel="1" x14ac:dyDescent="0.15">
      <c r="B2460" s="101">
        <v>41871</v>
      </c>
      <c r="C2460" s="125">
        <v>10350.280000000001</v>
      </c>
      <c r="E2460" s="141"/>
      <c r="F2460" s="141"/>
    </row>
    <row r="2461" spans="2:6" hidden="1" outlineLevel="1" x14ac:dyDescent="0.15">
      <c r="B2461" s="101">
        <v>41870</v>
      </c>
      <c r="C2461" s="125">
        <v>10379.049999999999</v>
      </c>
      <c r="E2461" s="141"/>
      <c r="F2461" s="141"/>
    </row>
    <row r="2462" spans="2:6" hidden="1" outlineLevel="1" x14ac:dyDescent="0.15">
      <c r="B2462" s="101">
        <v>41869</v>
      </c>
      <c r="C2462" s="125">
        <v>10348.219999999999</v>
      </c>
      <c r="E2462" s="141"/>
      <c r="F2462" s="141"/>
    </row>
    <row r="2463" spans="2:6" hidden="1" outlineLevel="1" x14ac:dyDescent="0.15">
      <c r="B2463" s="101">
        <v>41865</v>
      </c>
      <c r="C2463" s="125">
        <v>10239.76</v>
      </c>
      <c r="E2463" s="141"/>
      <c r="F2463" s="141"/>
    </row>
    <row r="2464" spans="2:6" hidden="1" outlineLevel="1" x14ac:dyDescent="0.15">
      <c r="B2464" s="101">
        <v>41864</v>
      </c>
      <c r="C2464" s="125">
        <v>10171.219999999999</v>
      </c>
      <c r="E2464" s="141"/>
      <c r="F2464" s="141"/>
    </row>
    <row r="2465" spans="2:6" hidden="1" outlineLevel="1" x14ac:dyDescent="0.15">
      <c r="B2465" s="101">
        <v>41863</v>
      </c>
      <c r="C2465" s="125">
        <v>10150.24</v>
      </c>
      <c r="E2465" s="141"/>
      <c r="F2465" s="141"/>
    </row>
    <row r="2466" spans="2:6" hidden="1" outlineLevel="1" x14ac:dyDescent="0.15">
      <c r="B2466" s="101">
        <v>41862</v>
      </c>
      <c r="C2466" s="125">
        <v>10017.44</v>
      </c>
      <c r="E2466" s="141"/>
      <c r="F2466" s="141"/>
    </row>
    <row r="2467" spans="2:6" hidden="1" outlineLevel="1" x14ac:dyDescent="0.15">
      <c r="B2467" s="101">
        <v>41859</v>
      </c>
      <c r="C2467" s="125">
        <v>9942.0300000000007</v>
      </c>
      <c r="E2467" s="141"/>
      <c r="F2467" s="141"/>
    </row>
    <row r="2468" spans="2:6" hidden="1" outlineLevel="1" x14ac:dyDescent="0.15">
      <c r="B2468" s="101">
        <v>41858</v>
      </c>
      <c r="C2468" s="125">
        <v>10046.98</v>
      </c>
      <c r="E2468" s="141"/>
      <c r="F2468" s="141"/>
    </row>
    <row r="2469" spans="2:6" hidden="1" outlineLevel="1" x14ac:dyDescent="0.15">
      <c r="B2469" s="101">
        <v>41857</v>
      </c>
      <c r="C2469" s="125">
        <v>10076.950000000001</v>
      </c>
      <c r="E2469" s="141"/>
      <c r="F2469" s="141"/>
    </row>
    <row r="2470" spans="2:6" hidden="1" outlineLevel="1" x14ac:dyDescent="0.15">
      <c r="B2470" s="101">
        <v>41856</v>
      </c>
      <c r="C2470" s="125">
        <v>10174.469999999999</v>
      </c>
      <c r="E2470" s="141"/>
      <c r="F2470" s="141"/>
    </row>
    <row r="2471" spans="2:6" hidden="1" outlineLevel="1" x14ac:dyDescent="0.15">
      <c r="B2471" s="101">
        <v>41855</v>
      </c>
      <c r="C2471" s="125">
        <v>10090.879999999999</v>
      </c>
      <c r="E2471" s="141"/>
      <c r="F2471" s="141"/>
    </row>
    <row r="2472" spans="2:6" hidden="1" outlineLevel="1" x14ac:dyDescent="0.15">
      <c r="B2472" s="101">
        <v>41852</v>
      </c>
      <c r="C2472" s="125">
        <v>9984.48</v>
      </c>
      <c r="E2472" s="141"/>
      <c r="F2472" s="141"/>
    </row>
    <row r="2473" spans="2:6" hidden="1" outlineLevel="1" x14ac:dyDescent="0.15">
      <c r="B2473" s="101">
        <v>41851</v>
      </c>
      <c r="C2473" s="125">
        <v>10140.34</v>
      </c>
      <c r="E2473" s="141"/>
      <c r="F2473" s="141"/>
    </row>
    <row r="2474" spans="2:6" hidden="1" outlineLevel="1" x14ac:dyDescent="0.15">
      <c r="B2474" s="101">
        <v>41850</v>
      </c>
      <c r="C2474" s="125">
        <v>10232.41</v>
      </c>
      <c r="E2474" s="141"/>
      <c r="F2474" s="141"/>
    </row>
    <row r="2475" spans="2:6" hidden="1" outlineLevel="1" x14ac:dyDescent="0.15">
      <c r="B2475" s="101">
        <v>41848</v>
      </c>
      <c r="C2475" s="125">
        <v>10175.950000000001</v>
      </c>
      <c r="E2475" s="141"/>
      <c r="F2475" s="141"/>
    </row>
    <row r="2476" spans="2:6" collapsed="1" x14ac:dyDescent="0.15">
      <c r="B2476" s="101">
        <v>41845</v>
      </c>
      <c r="C2476" s="125">
        <v>10223.52</v>
      </c>
      <c r="E2476" s="141"/>
      <c r="F2476" s="141"/>
    </row>
    <row r="2477" spans="2:6" x14ac:dyDescent="0.15">
      <c r="B2477" s="101">
        <v>41844</v>
      </c>
      <c r="C2477" s="125">
        <v>10275.33</v>
      </c>
      <c r="E2477" s="141"/>
      <c r="F2477" s="141"/>
    </row>
    <row r="2478" spans="2:6" x14ac:dyDescent="0.15">
      <c r="B2478" s="101">
        <v>41843</v>
      </c>
      <c r="C2478" s="125">
        <v>10229.290000000001</v>
      </c>
      <c r="E2478" s="141"/>
      <c r="F2478" s="141"/>
    </row>
    <row r="2479" spans="2:6" x14ac:dyDescent="0.15">
      <c r="B2479" s="101">
        <v>41842</v>
      </c>
      <c r="C2479" s="125">
        <v>10191.98</v>
      </c>
      <c r="E2479" s="141"/>
      <c r="F2479" s="141"/>
    </row>
    <row r="2480" spans="2:6" x14ac:dyDescent="0.15">
      <c r="B2480" s="101">
        <v>41841</v>
      </c>
      <c r="C2480" s="125">
        <v>10082.280000000001</v>
      </c>
      <c r="E2480" s="141"/>
      <c r="F2480" s="141"/>
    </row>
    <row r="2481" spans="1:6" x14ac:dyDescent="0.15">
      <c r="B2481" s="101">
        <v>41838</v>
      </c>
      <c r="C2481" s="125">
        <v>10054.4</v>
      </c>
      <c r="E2481" s="141"/>
      <c r="F2481" s="141"/>
    </row>
    <row r="2482" spans="1:6" x14ac:dyDescent="0.15">
      <c r="B2482" s="101">
        <v>41837</v>
      </c>
      <c r="C2482" s="125">
        <v>10023.67</v>
      </c>
      <c r="E2482" s="141"/>
      <c r="F2482" s="141"/>
    </row>
    <row r="2483" spans="1:6" x14ac:dyDescent="0.15">
      <c r="B2483" s="101">
        <v>41836</v>
      </c>
      <c r="C2483" s="125">
        <v>9999.7099999999991</v>
      </c>
      <c r="E2483" s="141"/>
      <c r="F2483" s="141"/>
    </row>
    <row r="2484" spans="1:6" x14ac:dyDescent="0.15">
      <c r="B2484" s="101">
        <v>41835</v>
      </c>
      <c r="C2484" s="125">
        <v>9871.51</v>
      </c>
      <c r="E2484" s="141"/>
      <c r="F2484" s="141"/>
    </row>
    <row r="2486" spans="1:6" ht="21" x14ac:dyDescent="0.25">
      <c r="A2486" s="10"/>
      <c r="B2486" s="10"/>
      <c r="C2486" s="10"/>
      <c r="D2486" s="10"/>
      <c r="E2486" s="10"/>
      <c r="F2486" s="10"/>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08C6-C81C-4349-8AEE-7194DB64A3AD}">
  <sheetPr>
    <tabColor theme="5" tint="0.79998168889431442"/>
  </sheetPr>
  <dimension ref="A1:R73"/>
  <sheetViews>
    <sheetView showGridLines="0" workbookViewId="0"/>
  </sheetViews>
  <sheetFormatPr baseColWidth="10" defaultColWidth="15.6640625" defaultRowHeight="14" outlineLevelRow="1" x14ac:dyDescent="0.15"/>
  <cols>
    <col min="1" max="1" width="2.6640625" style="3" customWidth="1"/>
    <col min="2" max="2" width="15.6640625" style="6" customWidth="1"/>
    <col min="3" max="16384" width="15.6640625" style="3"/>
  </cols>
  <sheetData>
    <row r="1" spans="1:18" s="1" customFormat="1" x14ac:dyDescent="0.15"/>
    <row r="2" spans="1:18" s="1" customFormat="1" x14ac:dyDescent="0.15"/>
    <row r="3" spans="1:18" s="1" customFormat="1" x14ac:dyDescent="0.15"/>
    <row r="4" spans="1:18" s="1" customFormat="1" x14ac:dyDescent="0.15"/>
    <row r="5" spans="1:18" s="1" customFormat="1" x14ac:dyDescent="0.15"/>
    <row r="6" spans="1:18" s="1" customFormat="1" x14ac:dyDescent="0.15"/>
    <row r="7" spans="1:18" s="1" customFormat="1" x14ac:dyDescent="0.15"/>
    <row r="8" spans="1:18" s="1" customFormat="1" ht="21" x14ac:dyDescent="0.25">
      <c r="A8" s="10" t="s">
        <v>359</v>
      </c>
      <c r="B8" s="10"/>
      <c r="C8" s="10"/>
      <c r="D8" s="10"/>
      <c r="E8" s="10"/>
      <c r="F8" s="10"/>
      <c r="G8" s="10"/>
      <c r="H8" s="10"/>
      <c r="I8" s="10"/>
      <c r="J8" s="103"/>
      <c r="K8" s="103"/>
      <c r="L8" s="103"/>
      <c r="M8" s="103"/>
      <c r="N8" s="103"/>
      <c r="O8" s="103"/>
      <c r="P8" s="103"/>
      <c r="Q8" s="103"/>
      <c r="R8" s="103"/>
    </row>
    <row r="9" spans="1:18" s="1" customFormat="1" ht="21" x14ac:dyDescent="0.25">
      <c r="A9" s="10" t="s">
        <v>266</v>
      </c>
      <c r="B9" s="10"/>
      <c r="C9" s="10"/>
      <c r="D9" s="10"/>
      <c r="E9" s="10"/>
      <c r="F9" s="10"/>
      <c r="G9" s="10"/>
      <c r="H9" s="10"/>
      <c r="I9" s="10"/>
      <c r="J9" s="103"/>
      <c r="K9" s="103"/>
      <c r="L9" s="103"/>
      <c r="M9" s="103"/>
      <c r="N9" s="103"/>
      <c r="O9" s="103"/>
      <c r="P9" s="103"/>
      <c r="Q9" s="103"/>
      <c r="R9" s="103"/>
    </row>
    <row r="10" spans="1:18" s="1" customFormat="1" x14ac:dyDescent="0.15"/>
    <row r="11" spans="1:18" s="18" customFormat="1" ht="18" x14ac:dyDescent="0.2">
      <c r="A11" s="3"/>
      <c r="B11" s="97"/>
      <c r="C11" s="5"/>
      <c r="D11" s="5"/>
      <c r="E11" s="5"/>
      <c r="F11" s="5"/>
      <c r="G11" s="5"/>
      <c r="H11" s="5"/>
      <c r="I11" s="5"/>
      <c r="J11" s="5"/>
      <c r="K11" s="5"/>
      <c r="L11" s="5"/>
      <c r="M11" s="5"/>
      <c r="N11" s="5"/>
      <c r="O11" s="5"/>
      <c r="P11" s="5"/>
      <c r="Q11" s="5"/>
      <c r="R11" s="5"/>
    </row>
    <row r="12" spans="1:18" s="25" customFormat="1" ht="16.75" customHeight="1" x14ac:dyDescent="0.2">
      <c r="A12" s="3"/>
      <c r="B12" s="109" t="s">
        <v>254</v>
      </c>
      <c r="C12" s="110" t="s">
        <v>259</v>
      </c>
      <c r="D12" s="110" t="s">
        <v>261</v>
      </c>
      <c r="E12" s="110" t="s">
        <v>260</v>
      </c>
      <c r="F12" s="110" t="s">
        <v>261</v>
      </c>
      <c r="G12" s="4"/>
      <c r="H12" s="4"/>
      <c r="I12" s="4"/>
      <c r="J12" s="4"/>
      <c r="K12" s="4"/>
      <c r="L12" s="4"/>
      <c r="M12" s="4"/>
      <c r="N12" s="4"/>
      <c r="O12" s="4"/>
      <c r="P12" s="4"/>
      <c r="Q12" s="4"/>
      <c r="R12" s="4"/>
    </row>
    <row r="13" spans="1:18" s="25" customFormat="1" ht="16.75" customHeight="1" x14ac:dyDescent="0.2">
      <c r="A13" s="3"/>
      <c r="B13" s="108"/>
      <c r="C13" s="4"/>
      <c r="D13" s="4"/>
      <c r="E13" s="4"/>
      <c r="F13" s="4"/>
      <c r="G13" s="4"/>
      <c r="H13" s="4"/>
      <c r="I13" s="4"/>
      <c r="J13" s="4"/>
      <c r="K13" s="4"/>
      <c r="L13" s="4"/>
      <c r="M13" s="4"/>
      <c r="N13" s="4"/>
      <c r="O13" s="4"/>
      <c r="P13" s="4"/>
      <c r="Q13" s="4"/>
      <c r="R13" s="4"/>
    </row>
    <row r="14" spans="1:18" x14ac:dyDescent="0.15">
      <c r="B14" s="107">
        <v>43739</v>
      </c>
      <c r="C14" s="125">
        <v>40129.050000000003</v>
      </c>
      <c r="E14" s="125">
        <v>882.2</v>
      </c>
    </row>
    <row r="15" spans="1:18" x14ac:dyDescent="0.15">
      <c r="B15" s="107">
        <v>43770</v>
      </c>
      <c r="C15" s="125">
        <v>40793.81</v>
      </c>
      <c r="D15" s="34">
        <f>C15/C14-1</f>
        <v>1.6565555376965024E-2</v>
      </c>
      <c r="E15" s="125">
        <v>897.1</v>
      </c>
      <c r="F15" s="34">
        <f>E15/E14-1</f>
        <v>1.6889594196327407E-2</v>
      </c>
    </row>
    <row r="16" spans="1:18" x14ac:dyDescent="0.15">
      <c r="B16" s="107">
        <v>43800</v>
      </c>
      <c r="C16" s="125">
        <v>41253.74</v>
      </c>
      <c r="D16" s="34">
        <f t="shared" ref="D16:D71" si="0">C16/C15-1</f>
        <v>1.127450463685542E-2</v>
      </c>
      <c r="E16" s="125">
        <v>934</v>
      </c>
      <c r="F16" s="34">
        <f t="shared" ref="F16:F71" si="1">E16/E15-1</f>
        <v>4.1132538178575428E-2</v>
      </c>
      <c r="H16" s="111" t="s">
        <v>262</v>
      </c>
      <c r="I16" s="112">
        <f>SLOPE(F15:F71,D15:D71)</f>
        <v>1.2281692584666535</v>
      </c>
    </row>
    <row r="17" spans="2:10" x14ac:dyDescent="0.15">
      <c r="B17" s="107">
        <v>43831</v>
      </c>
      <c r="C17" s="125">
        <v>40723.49</v>
      </c>
      <c r="D17" s="34">
        <f t="shared" si="0"/>
        <v>-1.285338008141812E-2</v>
      </c>
      <c r="E17" s="125">
        <v>1212</v>
      </c>
      <c r="F17" s="34">
        <f t="shared" si="1"/>
        <v>0.29764453961456105</v>
      </c>
    </row>
    <row r="18" spans="2:10" x14ac:dyDescent="0.15">
      <c r="B18" s="107">
        <v>43862</v>
      </c>
      <c r="C18" s="125">
        <v>38297.29</v>
      </c>
      <c r="D18" s="34">
        <f t="shared" si="0"/>
        <v>-5.957740851778659E-2</v>
      </c>
      <c r="E18" s="125">
        <v>1744.65</v>
      </c>
      <c r="F18" s="34">
        <f t="shared" si="1"/>
        <v>0.43948019801980198</v>
      </c>
      <c r="H18" s="111" t="s">
        <v>263</v>
      </c>
      <c r="I18" s="113">
        <f>_xlfn.COVARIANCE.S(F15:F71,D15:D71)</f>
        <v>3.6388443023742416E-3</v>
      </c>
    </row>
    <row r="19" spans="2:10" x14ac:dyDescent="0.15">
      <c r="B19" s="107">
        <v>43891</v>
      </c>
      <c r="C19" s="125">
        <v>29468.49</v>
      </c>
      <c r="D19" s="34">
        <f t="shared" si="0"/>
        <v>-0.23053328316442234</v>
      </c>
      <c r="E19" s="125">
        <v>982.4</v>
      </c>
      <c r="F19" s="34">
        <f t="shared" si="1"/>
        <v>-0.43690711604046661</v>
      </c>
      <c r="H19" s="111" t="s">
        <v>264</v>
      </c>
      <c r="I19" s="113">
        <f>_xlfn.VAR.S(D15:D71)</f>
        <v>2.9628198860125097E-3</v>
      </c>
    </row>
    <row r="20" spans="2:10" x14ac:dyDescent="0.15">
      <c r="B20" s="107">
        <v>43922</v>
      </c>
      <c r="C20" s="125">
        <v>33717.620000000003</v>
      </c>
      <c r="D20" s="34">
        <f t="shared" si="0"/>
        <v>0.14419232203618182</v>
      </c>
      <c r="E20" s="125">
        <v>1323.6</v>
      </c>
      <c r="F20" s="34">
        <f t="shared" si="1"/>
        <v>0.34731270358306188</v>
      </c>
      <c r="H20" s="111" t="s">
        <v>265</v>
      </c>
      <c r="I20" s="112">
        <f>I18/I19</f>
        <v>1.2281692584666544</v>
      </c>
    </row>
    <row r="21" spans="2:10" x14ac:dyDescent="0.15">
      <c r="B21" s="107">
        <v>43952</v>
      </c>
      <c r="C21" s="125">
        <v>32424.1</v>
      </c>
      <c r="D21" s="34">
        <f t="shared" si="0"/>
        <v>-3.8363324576289881E-2</v>
      </c>
      <c r="E21" s="125">
        <v>1409.9</v>
      </c>
      <c r="F21" s="34">
        <f t="shared" si="1"/>
        <v>6.520096705953482E-2</v>
      </c>
    </row>
    <row r="22" spans="2:10" x14ac:dyDescent="0.15">
      <c r="B22" s="107">
        <v>43983</v>
      </c>
      <c r="C22" s="125">
        <v>34915.800000000003</v>
      </c>
      <c r="D22" s="34">
        <f t="shared" si="0"/>
        <v>7.6847159982852409E-2</v>
      </c>
      <c r="E22" s="125">
        <v>1359.2</v>
      </c>
      <c r="F22" s="34">
        <f t="shared" si="1"/>
        <v>-3.5959997162919421E-2</v>
      </c>
      <c r="H22" s="141"/>
      <c r="I22" s="141"/>
    </row>
    <row r="23" spans="2:10" x14ac:dyDescent="0.15">
      <c r="B23" s="107">
        <v>44013</v>
      </c>
      <c r="C23" s="125">
        <v>37606.89</v>
      </c>
      <c r="D23" s="34">
        <f t="shared" si="0"/>
        <v>7.7073703022700224E-2</v>
      </c>
      <c r="E23" s="125">
        <v>1336.4</v>
      </c>
      <c r="F23" s="34">
        <f t="shared" si="1"/>
        <v>-1.6774573278399041E-2</v>
      </c>
      <c r="H23" s="141"/>
      <c r="I23" s="141"/>
    </row>
    <row r="24" spans="2:10" x14ac:dyDescent="0.15">
      <c r="B24" s="107">
        <v>44044</v>
      </c>
      <c r="C24" s="125">
        <v>38628.29</v>
      </c>
      <c r="D24" s="34">
        <f t="shared" si="0"/>
        <v>2.7159916706752441E-2</v>
      </c>
      <c r="E24" s="125">
        <v>1342.7</v>
      </c>
      <c r="F24" s="34">
        <f t="shared" si="1"/>
        <v>4.7141574378928297E-3</v>
      </c>
      <c r="H24" s="141"/>
      <c r="I24" s="141"/>
    </row>
    <row r="25" spans="2:10" x14ac:dyDescent="0.15">
      <c r="B25" s="107">
        <v>44075</v>
      </c>
      <c r="C25" s="125">
        <v>38067.93</v>
      </c>
      <c r="D25" s="34">
        <f t="shared" si="0"/>
        <v>-1.4506466633651183E-2</v>
      </c>
      <c r="E25" s="125">
        <v>1382.1</v>
      </c>
      <c r="F25" s="34">
        <f t="shared" si="1"/>
        <v>2.9343859387800597E-2</v>
      </c>
      <c r="H25" s="141"/>
      <c r="I25" s="141"/>
      <c r="J25"/>
    </row>
    <row r="26" spans="2:10" x14ac:dyDescent="0.15">
      <c r="B26" s="107">
        <v>44105</v>
      </c>
      <c r="C26" s="125">
        <v>39614.07</v>
      </c>
      <c r="D26" s="34">
        <f t="shared" si="0"/>
        <v>4.061528956263194E-2</v>
      </c>
      <c r="E26" s="125">
        <v>1315.55</v>
      </c>
      <c r="F26" s="34">
        <f t="shared" si="1"/>
        <v>-4.815136386657981E-2</v>
      </c>
      <c r="H26" s="141"/>
      <c r="I26" s="141"/>
      <c r="J26"/>
    </row>
    <row r="27" spans="2:10" x14ac:dyDescent="0.15">
      <c r="B27" s="107">
        <v>44136</v>
      </c>
      <c r="C27" s="125">
        <v>44149.72</v>
      </c>
      <c r="D27" s="34">
        <f t="shared" si="0"/>
        <v>0.11449593540880798</v>
      </c>
      <c r="E27" s="125">
        <v>1353.75</v>
      </c>
      <c r="F27" s="34">
        <f t="shared" si="1"/>
        <v>2.9037284785831119E-2</v>
      </c>
      <c r="H27" s="141"/>
      <c r="I27" s="141"/>
      <c r="J27"/>
    </row>
    <row r="28" spans="2:10" x14ac:dyDescent="0.15">
      <c r="B28" s="107">
        <v>44166</v>
      </c>
      <c r="C28" s="125">
        <v>47751.33</v>
      </c>
      <c r="D28" s="34">
        <f t="shared" si="0"/>
        <v>8.15771878054945E-2</v>
      </c>
      <c r="E28" s="125">
        <v>1437.25</v>
      </c>
      <c r="F28" s="34">
        <f t="shared" si="1"/>
        <v>6.1680517082179032E-2</v>
      </c>
      <c r="H28" s="141"/>
      <c r="I28" s="141"/>
      <c r="J28"/>
    </row>
    <row r="29" spans="2:10" x14ac:dyDescent="0.15">
      <c r="B29" s="107">
        <v>44197</v>
      </c>
      <c r="C29" s="125">
        <v>46285.77</v>
      </c>
      <c r="D29" s="34">
        <f t="shared" si="0"/>
        <v>-3.0691501158187751E-2</v>
      </c>
      <c r="E29" s="125">
        <v>1457</v>
      </c>
      <c r="F29" s="34">
        <f t="shared" si="1"/>
        <v>1.3741520264393792E-2</v>
      </c>
      <c r="H29" s="141"/>
      <c r="I29" s="141"/>
      <c r="J29"/>
    </row>
    <row r="30" spans="2:10" x14ac:dyDescent="0.15">
      <c r="B30" s="107">
        <v>44228</v>
      </c>
      <c r="C30" s="125">
        <v>49099.99</v>
      </c>
      <c r="D30" s="34">
        <f t="shared" si="0"/>
        <v>6.0800976196355938E-2</v>
      </c>
      <c r="E30" s="125">
        <v>1758.65</v>
      </c>
      <c r="F30" s="34">
        <f t="shared" si="1"/>
        <v>0.207035003431709</v>
      </c>
      <c r="H30" s="141"/>
      <c r="I30" s="141"/>
      <c r="J30"/>
    </row>
    <row r="31" spans="2:10" x14ac:dyDescent="0.15">
      <c r="B31" s="107">
        <v>44256</v>
      </c>
      <c r="C31" s="125">
        <v>49509.15</v>
      </c>
      <c r="D31" s="34">
        <f t="shared" si="0"/>
        <v>8.3331992531974208E-3</v>
      </c>
      <c r="E31" s="125">
        <v>1756.2</v>
      </c>
      <c r="F31" s="34">
        <f t="shared" si="1"/>
        <v>-1.3931140363346861E-3</v>
      </c>
      <c r="H31" s="141"/>
      <c r="I31" s="141"/>
      <c r="J31"/>
    </row>
    <row r="32" spans="2:10" x14ac:dyDescent="0.15">
      <c r="B32" s="107">
        <v>44287</v>
      </c>
      <c r="C32" s="125">
        <v>48782.36</v>
      </c>
      <c r="D32" s="34">
        <f t="shared" si="0"/>
        <v>-1.4679912703005393E-2</v>
      </c>
      <c r="E32" s="125">
        <v>1790.4</v>
      </c>
      <c r="F32" s="34">
        <f t="shared" si="1"/>
        <v>1.9473864024598608E-2</v>
      </c>
      <c r="H32" s="141"/>
      <c r="I32" s="141"/>
      <c r="J32"/>
    </row>
    <row r="33" spans="2:18" x14ac:dyDescent="0.15">
      <c r="B33" s="107">
        <v>44317</v>
      </c>
      <c r="C33" s="125">
        <v>51937.440000000002</v>
      </c>
      <c r="D33" s="34">
        <f t="shared" si="0"/>
        <v>6.4676657709877183E-2</v>
      </c>
      <c r="E33" s="125">
        <v>1901.7</v>
      </c>
      <c r="F33" s="34">
        <f t="shared" si="1"/>
        <v>6.2164879356568337E-2</v>
      </c>
      <c r="H33" s="141"/>
      <c r="I33" s="141"/>
      <c r="J33"/>
    </row>
    <row r="34" spans="2:18" x14ac:dyDescent="0.15">
      <c r="B34" s="107">
        <v>44348</v>
      </c>
      <c r="C34" s="125">
        <v>52482.71</v>
      </c>
      <c r="D34" s="34">
        <f t="shared" si="0"/>
        <v>1.0498592152404784E-2</v>
      </c>
      <c r="E34" s="125">
        <v>2033.7</v>
      </c>
      <c r="F34" s="34">
        <f t="shared" si="1"/>
        <v>6.9411579113424882E-2</v>
      </c>
      <c r="H34" s="141"/>
      <c r="I34" s="141"/>
      <c r="J34"/>
    </row>
    <row r="35" spans="2:18" x14ac:dyDescent="0.15">
      <c r="B35" s="107">
        <v>44378</v>
      </c>
      <c r="C35" s="125">
        <v>52586.84</v>
      </c>
      <c r="D35" s="34">
        <f t="shared" si="0"/>
        <v>1.9840819957657185E-3</v>
      </c>
      <c r="E35" s="125">
        <v>2329.6</v>
      </c>
      <c r="F35" s="34">
        <f t="shared" si="1"/>
        <v>0.14549835275606027</v>
      </c>
      <c r="H35" s="141"/>
      <c r="I35" s="141"/>
      <c r="J35"/>
    </row>
    <row r="36" spans="2:18" x14ac:dyDescent="0.15">
      <c r="B36" s="107">
        <v>44409</v>
      </c>
      <c r="C36" s="125">
        <v>57552.39</v>
      </c>
      <c r="D36" s="34">
        <f t="shared" si="0"/>
        <v>9.4425715635318763E-2</v>
      </c>
      <c r="E36" s="125">
        <v>2751.4</v>
      </c>
      <c r="F36" s="34">
        <f t="shared" si="1"/>
        <v>0.18106112637362637</v>
      </c>
      <c r="H36" s="141"/>
      <c r="I36" s="141"/>
      <c r="J36"/>
    </row>
    <row r="37" spans="2:18" x14ac:dyDescent="0.15">
      <c r="B37" s="107">
        <v>44440</v>
      </c>
      <c r="C37" s="125">
        <v>59126.36</v>
      </c>
      <c r="D37" s="34">
        <f t="shared" si="0"/>
        <v>2.7348473277999386E-2</v>
      </c>
      <c r="E37" s="125">
        <v>3797</v>
      </c>
      <c r="F37" s="34">
        <f t="shared" si="1"/>
        <v>0.38002471469070276</v>
      </c>
      <c r="H37" s="141"/>
      <c r="I37" s="141"/>
      <c r="J37"/>
    </row>
    <row r="38" spans="2:18" x14ac:dyDescent="0.15">
      <c r="B38" s="107">
        <v>44470</v>
      </c>
      <c r="C38" s="125">
        <v>59306.93</v>
      </c>
      <c r="D38" s="34">
        <f t="shared" si="0"/>
        <v>3.0539678072520893E-3</v>
      </c>
      <c r="E38" s="125">
        <v>845.65</v>
      </c>
      <c r="F38" s="34">
        <f t="shared" si="1"/>
        <v>-0.77728469844614168</v>
      </c>
      <c r="H38" s="141"/>
      <c r="I38" s="141"/>
      <c r="J38"/>
    </row>
    <row r="39" spans="2:18" hidden="1" outlineLevel="1" x14ac:dyDescent="0.15">
      <c r="B39" s="107">
        <v>44501</v>
      </c>
      <c r="C39" s="125">
        <v>57064.87</v>
      </c>
      <c r="D39" s="34">
        <f t="shared" si="0"/>
        <v>-3.7804351026094252E-2</v>
      </c>
      <c r="E39" s="125">
        <v>794.35</v>
      </c>
      <c r="F39" s="34">
        <f t="shared" si="1"/>
        <v>-6.0663395021581024E-2</v>
      </c>
      <c r="H39" s="141"/>
      <c r="I39" s="141"/>
      <c r="J39"/>
      <c r="K39"/>
      <c r="L39"/>
      <c r="M39"/>
      <c r="N39"/>
      <c r="O39"/>
      <c r="P39"/>
      <c r="Q39"/>
      <c r="R39"/>
    </row>
    <row r="40" spans="2:18" hidden="1" outlineLevel="1" x14ac:dyDescent="0.15">
      <c r="B40" s="107">
        <v>44531</v>
      </c>
      <c r="C40" s="125">
        <v>58253.82</v>
      </c>
      <c r="D40" s="34">
        <f t="shared" si="0"/>
        <v>2.0835060169242414E-2</v>
      </c>
      <c r="E40" s="125">
        <v>831.8</v>
      </c>
      <c r="F40" s="34">
        <f t="shared" si="1"/>
        <v>4.7145464845470997E-2</v>
      </c>
      <c r="H40" s="141"/>
      <c r="I40" s="141"/>
      <c r="J40" s="144"/>
      <c r="K40" s="144" t="s">
        <v>363</v>
      </c>
      <c r="L40" s="144" t="s">
        <v>361</v>
      </c>
      <c r="M40" s="144" t="s">
        <v>364</v>
      </c>
      <c r="N40" s="144" t="s">
        <v>365</v>
      </c>
      <c r="O40" s="144" t="s">
        <v>366</v>
      </c>
      <c r="P40" s="144" t="s">
        <v>367</v>
      </c>
      <c r="Q40" s="144" t="s">
        <v>368</v>
      </c>
      <c r="R40" s="144" t="s">
        <v>369</v>
      </c>
    </row>
    <row r="41" spans="2:18" hidden="1" outlineLevel="1" x14ac:dyDescent="0.15">
      <c r="B41" s="107">
        <v>44562</v>
      </c>
      <c r="C41" s="125">
        <v>58014.17</v>
      </c>
      <c r="D41" s="34">
        <f t="shared" si="0"/>
        <v>-4.113893303477778E-3</v>
      </c>
      <c r="E41" s="125">
        <v>867.8</v>
      </c>
      <c r="F41" s="34">
        <f t="shared" si="1"/>
        <v>4.3279634527530586E-2</v>
      </c>
      <c r="H41" s="141"/>
      <c r="I41" s="141"/>
      <c r="J41" t="s">
        <v>362</v>
      </c>
      <c r="K41">
        <v>7.7026501585491722E-3</v>
      </c>
      <c r="L41">
        <v>2.1735595228993213E-2</v>
      </c>
      <c r="M41">
        <v>0.35437953630432767</v>
      </c>
      <c r="N41">
        <v>0.7244095994693649</v>
      </c>
      <c r="O41">
        <v>-3.5856456071799117E-2</v>
      </c>
      <c r="P41">
        <v>5.1261756388897461E-2</v>
      </c>
      <c r="Q41">
        <v>-3.5856456071799117E-2</v>
      </c>
      <c r="R41">
        <v>5.1261756388897461E-2</v>
      </c>
    </row>
    <row r="42" spans="2:18" ht="15" hidden="1" outlineLevel="1" thickBot="1" x14ac:dyDescent="0.2">
      <c r="B42" s="107">
        <v>44593</v>
      </c>
      <c r="C42" s="125">
        <v>56247.28</v>
      </c>
      <c r="D42" s="34">
        <f t="shared" si="0"/>
        <v>-3.0456179929834404E-2</v>
      </c>
      <c r="E42" s="125">
        <v>809.05</v>
      </c>
      <c r="F42" s="34">
        <f t="shared" si="1"/>
        <v>-6.7699930859645097E-2</v>
      </c>
      <c r="H42" s="141"/>
      <c r="I42" s="141"/>
      <c r="J42" s="143" t="s">
        <v>370</v>
      </c>
      <c r="K42" s="143">
        <v>1.2281692584666546</v>
      </c>
      <c r="L42" s="143">
        <v>0.39028887701685672</v>
      </c>
      <c r="M42" s="143">
        <v>3.1468210620145589</v>
      </c>
      <c r="N42" s="143">
        <v>2.6643684386575442E-3</v>
      </c>
      <c r="O42" s="143">
        <v>0.44601287050524396</v>
      </c>
      <c r="P42" s="143">
        <v>2.0103256464280652</v>
      </c>
      <c r="Q42" s="143">
        <v>0.44601287050524396</v>
      </c>
      <c r="R42" s="143">
        <v>2.0103256464280652</v>
      </c>
    </row>
    <row r="43" spans="2:18" hidden="1" outlineLevel="1" x14ac:dyDescent="0.15">
      <c r="B43" s="107">
        <v>44621</v>
      </c>
      <c r="C43" s="125">
        <v>58568.51</v>
      </c>
      <c r="D43" s="34">
        <f t="shared" si="0"/>
        <v>4.1268306663006626E-2</v>
      </c>
      <c r="E43" s="125">
        <v>774.6</v>
      </c>
      <c r="F43" s="34">
        <f t="shared" si="1"/>
        <v>-4.2580804647425863E-2</v>
      </c>
      <c r="H43" s="141"/>
      <c r="I43" s="141"/>
      <c r="J43"/>
      <c r="K43"/>
      <c r="L43"/>
      <c r="M43"/>
      <c r="N43"/>
      <c r="O43"/>
      <c r="P43"/>
      <c r="Q43"/>
      <c r="R43"/>
    </row>
    <row r="44" spans="2:18" hidden="1" outlineLevel="1" x14ac:dyDescent="0.15">
      <c r="B44" s="107">
        <v>44652</v>
      </c>
      <c r="C44" s="125">
        <v>57060.87</v>
      </c>
      <c r="D44" s="34">
        <f t="shared" si="0"/>
        <v>-2.5741477800954815E-2</v>
      </c>
      <c r="E44" s="125">
        <v>746.3</v>
      </c>
      <c r="F44" s="34">
        <f t="shared" si="1"/>
        <v>-3.6534985799122177E-2</v>
      </c>
      <c r="H44" s="141"/>
      <c r="I44" s="141"/>
      <c r="J44"/>
      <c r="K44"/>
      <c r="L44"/>
      <c r="M44"/>
      <c r="N44"/>
      <c r="O44"/>
      <c r="P44"/>
      <c r="Q44"/>
      <c r="R44"/>
    </row>
    <row r="45" spans="2:18" hidden="1" outlineLevel="1" x14ac:dyDescent="0.15">
      <c r="B45" s="107">
        <v>44682</v>
      </c>
      <c r="C45" s="125">
        <v>55566.41</v>
      </c>
      <c r="D45" s="34">
        <f t="shared" si="0"/>
        <v>-2.6190627657797672E-2</v>
      </c>
      <c r="E45" s="125">
        <v>692.95</v>
      </c>
      <c r="F45" s="34">
        <f t="shared" si="1"/>
        <v>-7.1485997588101147E-2</v>
      </c>
      <c r="H45" s="141"/>
      <c r="I45" s="141"/>
      <c r="J45"/>
      <c r="K45"/>
      <c r="L45"/>
      <c r="M45"/>
      <c r="N45"/>
      <c r="O45"/>
      <c r="P45"/>
      <c r="Q45"/>
      <c r="R45"/>
    </row>
    <row r="46" spans="2:18" hidden="1" outlineLevel="1" x14ac:dyDescent="0.15">
      <c r="B46" s="107">
        <v>44713</v>
      </c>
      <c r="C46" s="125">
        <v>53018.94</v>
      </c>
      <c r="D46" s="34">
        <f t="shared" si="0"/>
        <v>-4.5845502705681329E-2</v>
      </c>
      <c r="E46" s="125">
        <v>576.4</v>
      </c>
      <c r="F46" s="34">
        <f t="shared" si="1"/>
        <v>-0.16819395338769039</v>
      </c>
      <c r="H46" s="141"/>
      <c r="I46" s="141"/>
    </row>
    <row r="47" spans="2:18" hidden="1" outlineLevel="1" x14ac:dyDescent="0.15">
      <c r="B47" s="107">
        <v>44743</v>
      </c>
      <c r="C47" s="125">
        <v>57570.25</v>
      </c>
      <c r="D47" s="34">
        <f t="shared" si="0"/>
        <v>8.5843096825398479E-2</v>
      </c>
      <c r="E47" s="125">
        <v>637.65</v>
      </c>
      <c r="F47" s="34">
        <f t="shared" si="1"/>
        <v>0.10626301179736286</v>
      </c>
      <c r="H47" s="141"/>
      <c r="I47" s="141"/>
    </row>
    <row r="48" spans="2:18" hidden="1" outlineLevel="1" x14ac:dyDescent="0.15">
      <c r="B48" s="107">
        <v>44774</v>
      </c>
      <c r="C48" s="125">
        <v>59537.07</v>
      </c>
      <c r="D48" s="34">
        <f t="shared" si="0"/>
        <v>3.4163825934401926E-2</v>
      </c>
      <c r="E48" s="125">
        <v>710.2</v>
      </c>
      <c r="F48" s="34">
        <f t="shared" si="1"/>
        <v>0.11377715047439829</v>
      </c>
      <c r="H48" s="141"/>
      <c r="I48" s="141"/>
    </row>
    <row r="49" spans="2:9" hidden="1" outlineLevel="1" x14ac:dyDescent="0.15">
      <c r="B49" s="107">
        <v>44805</v>
      </c>
      <c r="C49" s="125">
        <v>57426.92</v>
      </c>
      <c r="D49" s="34">
        <f t="shared" si="0"/>
        <v>-3.5442624233943731E-2</v>
      </c>
      <c r="E49" s="125">
        <v>706.85</v>
      </c>
      <c r="F49" s="34">
        <f t="shared" si="1"/>
        <v>-4.7169811320755262E-3</v>
      </c>
      <c r="H49" s="141"/>
      <c r="I49" s="141"/>
    </row>
    <row r="50" spans="2:9" hidden="1" outlineLevel="1" x14ac:dyDescent="0.15">
      <c r="B50" s="107">
        <v>44835</v>
      </c>
      <c r="C50" s="125">
        <v>60746.59</v>
      </c>
      <c r="D50" s="34">
        <f t="shared" si="0"/>
        <v>5.7806861311733293E-2</v>
      </c>
      <c r="E50" s="125">
        <v>741.2</v>
      </c>
      <c r="F50" s="34">
        <f t="shared" si="1"/>
        <v>4.8595883143524032E-2</v>
      </c>
      <c r="H50" s="141"/>
      <c r="I50" s="141"/>
    </row>
    <row r="51" spans="2:9" hidden="1" outlineLevel="1" x14ac:dyDescent="0.15">
      <c r="B51" s="107">
        <v>44866</v>
      </c>
      <c r="C51" s="125">
        <v>63099.65</v>
      </c>
      <c r="D51" s="34">
        <f t="shared" si="0"/>
        <v>3.8735672241026364E-2</v>
      </c>
      <c r="E51" s="125">
        <v>735.8</v>
      </c>
      <c r="F51" s="34">
        <f t="shared" si="1"/>
        <v>-7.2854830005397719E-3</v>
      </c>
      <c r="H51" s="141"/>
      <c r="I51" s="141"/>
    </row>
    <row r="52" spans="2:9" hidden="1" outlineLevel="1" x14ac:dyDescent="0.15">
      <c r="B52" s="107">
        <v>44896</v>
      </c>
      <c r="C52" s="125">
        <v>60840.74</v>
      </c>
      <c r="D52" s="34">
        <f t="shared" si="0"/>
        <v>-3.5799089218403024E-2</v>
      </c>
      <c r="E52" s="125">
        <v>639.75</v>
      </c>
      <c r="F52" s="34">
        <f t="shared" si="1"/>
        <v>-0.13053818972546882</v>
      </c>
      <c r="H52" s="141"/>
      <c r="I52" s="141"/>
    </row>
    <row r="53" spans="2:9" hidden="1" outlineLevel="1" x14ac:dyDescent="0.15">
      <c r="B53" s="107">
        <v>44927</v>
      </c>
      <c r="C53" s="125">
        <v>59549.9</v>
      </c>
      <c r="D53" s="34">
        <f t="shared" si="0"/>
        <v>-2.1216704464804281E-2</v>
      </c>
      <c r="E53" s="125">
        <v>637.25</v>
      </c>
      <c r="F53" s="34">
        <f t="shared" si="1"/>
        <v>-3.907776475185587E-3</v>
      </c>
      <c r="H53" s="141"/>
      <c r="I53" s="141"/>
    </row>
    <row r="54" spans="2:9" hidden="1" outlineLevel="1" x14ac:dyDescent="0.15">
      <c r="B54" s="107">
        <v>44958</v>
      </c>
      <c r="C54" s="125">
        <v>58962.12</v>
      </c>
      <c r="D54" s="34">
        <f t="shared" si="0"/>
        <v>-9.8703776160833367E-3</v>
      </c>
      <c r="E54" s="125">
        <v>609.1</v>
      </c>
      <c r="F54" s="34">
        <f t="shared" si="1"/>
        <v>-4.4174185955276557E-2</v>
      </c>
      <c r="H54" s="141"/>
      <c r="I54" s="141"/>
    </row>
    <row r="55" spans="2:9" hidden="1" outlineLevel="1" x14ac:dyDescent="0.15">
      <c r="B55" s="107">
        <v>44986</v>
      </c>
      <c r="C55" s="125">
        <v>58991.519999999997</v>
      </c>
      <c r="D55" s="34">
        <f t="shared" si="0"/>
        <v>4.9862521903887291E-4</v>
      </c>
      <c r="E55" s="125">
        <v>573</v>
      </c>
      <c r="F55" s="34">
        <f t="shared" si="1"/>
        <v>-5.9267772122804208E-2</v>
      </c>
      <c r="H55" s="141"/>
      <c r="I55" s="141"/>
    </row>
    <row r="56" spans="2:9" collapsed="1" x14ac:dyDescent="0.15">
      <c r="B56" s="107">
        <v>45017</v>
      </c>
      <c r="C56" s="125">
        <v>61112.44</v>
      </c>
      <c r="D56" s="34">
        <f t="shared" si="0"/>
        <v>3.5952964087041739E-2</v>
      </c>
      <c r="E56" s="125">
        <v>617.5</v>
      </c>
      <c r="F56" s="34">
        <f t="shared" si="1"/>
        <v>7.7661431064572461E-2</v>
      </c>
      <c r="H56" s="141"/>
      <c r="I56" s="141"/>
    </row>
    <row r="57" spans="2:9" x14ac:dyDescent="0.15">
      <c r="B57" s="107">
        <v>45047</v>
      </c>
      <c r="C57" s="125">
        <v>62622.239999999998</v>
      </c>
      <c r="D57" s="34">
        <f t="shared" si="0"/>
        <v>2.4705280954254061E-2</v>
      </c>
      <c r="E57" s="125">
        <v>649.45000000000005</v>
      </c>
      <c r="F57" s="34">
        <f t="shared" si="1"/>
        <v>5.1740890688259267E-2</v>
      </c>
      <c r="H57" s="141"/>
      <c r="I57" s="141"/>
    </row>
    <row r="58" spans="2:9" x14ac:dyDescent="0.15">
      <c r="B58" s="107">
        <v>45078</v>
      </c>
      <c r="C58" s="125">
        <v>64718.559999999998</v>
      </c>
      <c r="D58" s="34">
        <f t="shared" si="0"/>
        <v>3.3475646990589913E-2</v>
      </c>
      <c r="E58" s="125">
        <v>635.25</v>
      </c>
      <c r="F58" s="34">
        <f t="shared" si="1"/>
        <v>-2.1864654707829723E-2</v>
      </c>
      <c r="H58" s="141"/>
      <c r="I58" s="141"/>
    </row>
    <row r="59" spans="2:9" x14ac:dyDescent="0.15">
      <c r="B59" s="107">
        <v>45108</v>
      </c>
      <c r="C59" s="125">
        <v>66527.67</v>
      </c>
      <c r="D59" s="34">
        <f t="shared" si="0"/>
        <v>2.7953495875062684E-2</v>
      </c>
      <c r="E59" s="125">
        <v>640.54999999999995</v>
      </c>
      <c r="F59" s="34">
        <f t="shared" si="1"/>
        <v>8.3431719795354908E-3</v>
      </c>
      <c r="H59" s="141"/>
      <c r="I59" s="141"/>
    </row>
    <row r="60" spans="2:9" x14ac:dyDescent="0.15">
      <c r="B60" s="107">
        <v>45139</v>
      </c>
      <c r="C60" s="125">
        <v>64831.41</v>
      </c>
      <c r="D60" s="34">
        <f t="shared" si="0"/>
        <v>-2.5497060095445945E-2</v>
      </c>
      <c r="E60" s="125">
        <v>672.15</v>
      </c>
      <c r="F60" s="34">
        <f t="shared" si="1"/>
        <v>4.9332604792756252E-2</v>
      </c>
      <c r="H60" s="141"/>
      <c r="I60" s="141"/>
    </row>
    <row r="61" spans="2:9" x14ac:dyDescent="0.15">
      <c r="B61" s="107">
        <v>45170</v>
      </c>
      <c r="C61" s="125">
        <v>65828.41</v>
      </c>
      <c r="D61" s="34">
        <f t="shared" si="0"/>
        <v>1.5378348242001794E-2</v>
      </c>
      <c r="E61" s="125">
        <v>680.7</v>
      </c>
      <c r="F61" s="34">
        <f t="shared" si="1"/>
        <v>1.2720374916313393E-2</v>
      </c>
      <c r="H61" s="141"/>
      <c r="I61" s="141"/>
    </row>
    <row r="62" spans="2:9" x14ac:dyDescent="0.15">
      <c r="B62" s="107">
        <v>45200</v>
      </c>
      <c r="C62" s="125">
        <v>63874.93</v>
      </c>
      <c r="D62" s="34">
        <f t="shared" si="0"/>
        <v>-2.9675333188208586E-2</v>
      </c>
      <c r="E62" s="125">
        <v>665.7</v>
      </c>
      <c r="F62" s="34">
        <f t="shared" si="1"/>
        <v>-2.2036139268400201E-2</v>
      </c>
      <c r="H62" s="141"/>
      <c r="I62" s="141"/>
    </row>
    <row r="63" spans="2:9" x14ac:dyDescent="0.15">
      <c r="B63" s="107">
        <v>45231</v>
      </c>
      <c r="C63" s="125">
        <v>66988.44</v>
      </c>
      <c r="D63" s="34">
        <f t="shared" si="0"/>
        <v>4.8743849895412916E-2</v>
      </c>
      <c r="E63" s="125">
        <v>705.25</v>
      </c>
      <c r="F63" s="34">
        <f t="shared" si="1"/>
        <v>5.9411146161934658E-2</v>
      </c>
      <c r="H63" s="141"/>
      <c r="I63" s="141"/>
    </row>
    <row r="64" spans="2:9" x14ac:dyDescent="0.15">
      <c r="B64" s="107">
        <v>45261</v>
      </c>
      <c r="C64" s="125">
        <v>72240.259999999995</v>
      </c>
      <c r="D64" s="34">
        <f t="shared" si="0"/>
        <v>7.8398899869887906E-2</v>
      </c>
      <c r="E64" s="125">
        <v>886.65</v>
      </c>
      <c r="F64" s="34">
        <f t="shared" si="1"/>
        <v>0.25721375398794755</v>
      </c>
      <c r="H64" s="141"/>
      <c r="I64" s="141"/>
    </row>
    <row r="65" spans="1:9" x14ac:dyDescent="0.15">
      <c r="B65" s="107">
        <v>45292</v>
      </c>
      <c r="C65" s="125">
        <v>71752.11</v>
      </c>
      <c r="D65" s="34">
        <f t="shared" si="0"/>
        <v>-6.7573123352545617E-3</v>
      </c>
      <c r="E65" s="125">
        <v>978.35</v>
      </c>
      <c r="F65" s="34">
        <f t="shared" si="1"/>
        <v>0.10342299667286992</v>
      </c>
      <c r="H65" s="141"/>
      <c r="I65" s="141"/>
    </row>
    <row r="66" spans="1:9" x14ac:dyDescent="0.15">
      <c r="B66" s="107">
        <v>45323</v>
      </c>
      <c r="C66" s="125">
        <v>72500.3</v>
      </c>
      <c r="D66" s="34">
        <f t="shared" si="0"/>
        <v>1.0427428545306983E-2</v>
      </c>
      <c r="E66" s="125">
        <v>926.9</v>
      </c>
      <c r="F66" s="34">
        <f t="shared" si="1"/>
        <v>-5.2588541932846122E-2</v>
      </c>
      <c r="H66" s="141"/>
      <c r="I66" s="141"/>
    </row>
    <row r="67" spans="1:9" x14ac:dyDescent="0.15">
      <c r="B67" s="107">
        <v>45352</v>
      </c>
      <c r="C67" s="125">
        <v>73651.350000000006</v>
      </c>
      <c r="D67" s="34">
        <f t="shared" si="0"/>
        <v>1.5876486028333803E-2</v>
      </c>
      <c r="E67" s="125">
        <v>929.95</v>
      </c>
      <c r="F67" s="34">
        <f t="shared" si="1"/>
        <v>3.2905383536521171E-3</v>
      </c>
      <c r="H67" s="141"/>
      <c r="I67" s="141"/>
    </row>
    <row r="68" spans="1:9" x14ac:dyDescent="0.15">
      <c r="B68" s="107">
        <v>45383</v>
      </c>
      <c r="C68" s="125">
        <v>74482.78</v>
      </c>
      <c r="D68" s="34">
        <f t="shared" si="0"/>
        <v>1.1288727226316908E-2</v>
      </c>
      <c r="E68" s="125">
        <v>1038.5</v>
      </c>
      <c r="F68" s="34">
        <f t="shared" si="1"/>
        <v>0.1167267057368675</v>
      </c>
      <c r="H68" s="141"/>
      <c r="I68" s="141"/>
    </row>
    <row r="69" spans="1:9" x14ac:dyDescent="0.15">
      <c r="B69" s="107">
        <v>45413</v>
      </c>
      <c r="C69" s="125">
        <v>73961.31</v>
      </c>
      <c r="D69" s="34">
        <f t="shared" si="0"/>
        <v>-7.0012155829843881E-3</v>
      </c>
      <c r="E69" s="125">
        <v>1021.7</v>
      </c>
      <c r="F69" s="34">
        <f t="shared" si="1"/>
        <v>-1.6177178623013933E-2</v>
      </c>
      <c r="H69" s="141"/>
      <c r="I69" s="141"/>
    </row>
    <row r="70" spans="1:9" x14ac:dyDescent="0.15">
      <c r="B70" s="107">
        <v>45444</v>
      </c>
      <c r="C70" s="125">
        <v>79032.73</v>
      </c>
      <c r="D70" s="34">
        <f t="shared" si="0"/>
        <v>6.8568552936663751E-2</v>
      </c>
      <c r="E70" s="125">
        <v>989.1</v>
      </c>
      <c r="F70" s="34">
        <f t="shared" si="1"/>
        <v>-3.1907604972105319E-2</v>
      </c>
      <c r="H70" s="141"/>
      <c r="I70" s="141"/>
    </row>
    <row r="71" spans="1:9" x14ac:dyDescent="0.15">
      <c r="B71" s="107">
        <v>45474</v>
      </c>
      <c r="C71" s="125">
        <v>80519.34</v>
      </c>
      <c r="D71" s="34">
        <f t="shared" si="0"/>
        <v>1.8810055024038874E-2</v>
      </c>
      <c r="E71" s="125">
        <v>1042.5</v>
      </c>
      <c r="F71" s="34">
        <f t="shared" si="1"/>
        <v>5.3988474370640027E-2</v>
      </c>
      <c r="H71" s="141"/>
      <c r="I71" s="141"/>
    </row>
    <row r="73" spans="1:9" ht="21" x14ac:dyDescent="0.25">
      <c r="A73" s="10"/>
      <c r="B73" s="10"/>
      <c r="C73" s="10"/>
      <c r="D73" s="10"/>
      <c r="E73" s="10"/>
      <c r="F73" s="10"/>
      <c r="G73" s="10"/>
      <c r="H73" s="10"/>
      <c r="I73" s="10"/>
    </row>
  </sheetData>
  <conditionalFormatting sqref="D15:D71">
    <cfRule type="dataBar" priority="2">
      <dataBar>
        <cfvo type="min"/>
        <cfvo type="max"/>
        <color rgb="FF63C384"/>
      </dataBar>
      <extLst>
        <ext xmlns:x14="http://schemas.microsoft.com/office/spreadsheetml/2009/9/main" uri="{B025F937-C7B1-47D3-B67F-A62EFF666E3E}">
          <x14:id>{8A11FBD9-7A09-453C-BE5B-3610D118A954}</x14:id>
        </ext>
      </extLst>
    </cfRule>
  </conditionalFormatting>
  <conditionalFormatting sqref="F15:F71">
    <cfRule type="dataBar" priority="1">
      <dataBar>
        <cfvo type="min"/>
        <cfvo type="max"/>
        <color rgb="FF63C384"/>
      </dataBar>
      <extLst>
        <ext xmlns:x14="http://schemas.microsoft.com/office/spreadsheetml/2009/9/main" uri="{B025F937-C7B1-47D3-B67F-A62EFF666E3E}">
          <x14:id>{1538F19B-5324-491B-A5C9-B2B1F8E14EE2}</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8A11FBD9-7A09-453C-BE5B-3610D118A954}">
            <x14:dataBar minLength="0" maxLength="100" border="1" negativeBarBorderColorSameAsPositive="0">
              <x14:cfvo type="autoMin"/>
              <x14:cfvo type="autoMax"/>
              <x14:borderColor rgb="FF63C384"/>
              <x14:negativeFillColor rgb="FFFF0000"/>
              <x14:negativeBorderColor rgb="FFFF0000"/>
              <x14:axisColor rgb="FF000000"/>
            </x14:dataBar>
          </x14:cfRule>
          <xm:sqref>D15:D71</xm:sqref>
        </x14:conditionalFormatting>
        <x14:conditionalFormatting xmlns:xm="http://schemas.microsoft.com/office/excel/2006/main">
          <x14:cfRule type="dataBar" id="{1538F19B-5324-491B-A5C9-B2B1F8E14EE2}">
            <x14:dataBar minLength="0" maxLength="100" border="1" negativeBarBorderColorSameAsPositive="0">
              <x14:cfvo type="autoMin"/>
              <x14:cfvo type="autoMax"/>
              <x14:borderColor rgb="FF63C384"/>
              <x14:negativeFillColor rgb="FFFF0000"/>
              <x14:negativeBorderColor rgb="FFFF0000"/>
              <x14:axisColor rgb="FF000000"/>
            </x14:dataBar>
          </x14:cfRule>
          <xm:sqref>F15:F71</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AA114-DC9C-4BF5-8BE7-C86AB77A1DC1}">
  <sheetPr>
    <tabColor rgb="FF92D050"/>
  </sheetPr>
  <dimension ref="A1:Q46"/>
  <sheetViews>
    <sheetView showGridLines="0" workbookViewId="0"/>
  </sheetViews>
  <sheetFormatPr baseColWidth="10" defaultColWidth="15.6640625" defaultRowHeight="14" x14ac:dyDescent="0.15"/>
  <cols>
    <col min="1" max="1" width="2.6640625" style="3" customWidth="1"/>
    <col min="2" max="2" width="40.6640625" style="6" customWidth="1"/>
    <col min="3" max="17" width="15.6640625" style="13"/>
    <col min="18" max="16384" width="15.6640625" style="3"/>
  </cols>
  <sheetData>
    <row r="1" spans="1:17" s="1" customFormat="1" x14ac:dyDescent="0.15"/>
    <row r="2" spans="1:17" s="1" customFormat="1" x14ac:dyDescent="0.15"/>
    <row r="3" spans="1:17" s="1" customFormat="1" x14ac:dyDescent="0.15"/>
    <row r="4" spans="1:17" s="1" customFormat="1" x14ac:dyDescent="0.15"/>
    <row r="5" spans="1:17" s="1" customFormat="1" x14ac:dyDescent="0.15"/>
    <row r="6" spans="1:17" s="1" customFormat="1" x14ac:dyDescent="0.15"/>
    <row r="7" spans="1:17" s="1" customFormat="1" x14ac:dyDescent="0.15"/>
    <row r="8" spans="1:17" s="1" customFormat="1" ht="21" x14ac:dyDescent="0.25">
      <c r="A8" s="10" t="s">
        <v>359</v>
      </c>
      <c r="B8" s="10"/>
      <c r="C8" s="10"/>
      <c r="D8" s="10"/>
      <c r="E8" s="10"/>
      <c r="F8" s="10"/>
      <c r="G8" s="10"/>
      <c r="H8" s="10"/>
      <c r="I8" s="10"/>
      <c r="J8" s="10"/>
      <c r="K8" s="10"/>
      <c r="L8" s="10"/>
      <c r="M8" s="10"/>
      <c r="N8" s="10"/>
      <c r="O8" s="10"/>
      <c r="P8" s="10"/>
      <c r="Q8" s="10"/>
    </row>
    <row r="9" spans="1:17" s="1" customFormat="1" ht="21" x14ac:dyDescent="0.25">
      <c r="A9" s="10" t="s">
        <v>298</v>
      </c>
      <c r="B9" s="10"/>
      <c r="C9" s="10"/>
      <c r="D9" s="10"/>
      <c r="E9" s="10"/>
      <c r="F9" s="10"/>
      <c r="G9" s="10"/>
      <c r="H9" s="10"/>
      <c r="I9" s="10"/>
      <c r="J9" s="10"/>
      <c r="K9" s="10"/>
      <c r="L9" s="10"/>
      <c r="M9" s="10"/>
      <c r="N9" s="10"/>
      <c r="O9" s="10"/>
      <c r="P9" s="10"/>
      <c r="Q9" s="10"/>
    </row>
    <row r="10" spans="1:17" s="1" customFormat="1" x14ac:dyDescent="0.15"/>
    <row r="11" spans="1:17" s="18" customFormat="1" ht="18" x14ac:dyDescent="0.2">
      <c r="A11" s="3"/>
      <c r="B11" s="157" t="s">
        <v>0</v>
      </c>
      <c r="C11" s="5">
        <v>2020</v>
      </c>
      <c r="D11" s="5">
        <v>2021</v>
      </c>
      <c r="E11" s="5">
        <v>2022</v>
      </c>
      <c r="F11" s="5">
        <v>2023</v>
      </c>
      <c r="G11" s="5">
        <v>2024</v>
      </c>
      <c r="H11" s="35">
        <v>2025</v>
      </c>
      <c r="I11" s="35">
        <v>2026</v>
      </c>
      <c r="J11" s="35">
        <v>2027</v>
      </c>
      <c r="K11" s="35">
        <v>2028</v>
      </c>
      <c r="L11" s="35">
        <v>2029</v>
      </c>
      <c r="M11" s="35">
        <v>2030</v>
      </c>
      <c r="N11" s="35">
        <v>2031</v>
      </c>
      <c r="O11" s="35">
        <v>2032</v>
      </c>
      <c r="P11" s="35">
        <v>2033</v>
      </c>
      <c r="Q11" s="35">
        <v>2034</v>
      </c>
    </row>
    <row r="12" spans="1:17" s="25" customFormat="1" ht="18" x14ac:dyDescent="0.2">
      <c r="A12" s="3"/>
      <c r="B12" s="157"/>
      <c r="C12" s="4" t="s">
        <v>1</v>
      </c>
      <c r="D12" s="4" t="s">
        <v>1</v>
      </c>
      <c r="E12" s="4" t="s">
        <v>1</v>
      </c>
      <c r="F12" s="4" t="s">
        <v>1</v>
      </c>
      <c r="G12" s="4" t="s">
        <v>1</v>
      </c>
      <c r="H12" s="36" t="s">
        <v>71</v>
      </c>
      <c r="I12" s="36" t="s">
        <v>71</v>
      </c>
      <c r="J12" s="36" t="s">
        <v>71</v>
      </c>
      <c r="K12" s="36" t="s">
        <v>71</v>
      </c>
      <c r="L12" s="36" t="s">
        <v>71</v>
      </c>
      <c r="M12" s="36" t="s">
        <v>71</v>
      </c>
      <c r="N12" s="36" t="s">
        <v>71</v>
      </c>
      <c r="O12" s="36" t="s">
        <v>71</v>
      </c>
      <c r="P12" s="36" t="s">
        <v>71</v>
      </c>
      <c r="Q12" s="36" t="s">
        <v>71</v>
      </c>
    </row>
    <row r="13" spans="1:17" x14ac:dyDescent="0.15">
      <c r="C13" s="3"/>
      <c r="D13" s="3"/>
      <c r="E13" s="3"/>
      <c r="F13" s="3"/>
      <c r="G13" s="3"/>
      <c r="H13" s="37"/>
      <c r="I13" s="37"/>
      <c r="J13" s="37"/>
      <c r="K13" s="37"/>
      <c r="L13" s="37"/>
      <c r="M13" s="37"/>
      <c r="N13" s="37"/>
      <c r="O13" s="37"/>
      <c r="P13" s="37"/>
      <c r="Q13" s="37"/>
    </row>
    <row r="14" spans="1:17" x14ac:dyDescent="0.15">
      <c r="B14" s="6" t="s">
        <v>267</v>
      </c>
      <c r="D14" s="13">
        <f>Income_Statement!D32</f>
        <v>14140.88999999999</v>
      </c>
      <c r="E14" s="13">
        <f>Income_Statement!E32</f>
        <v>82452.740000000005</v>
      </c>
      <c r="F14" s="13">
        <f>Income_Statement!F32</f>
        <v>122249.16000000002</v>
      </c>
      <c r="G14" s="13">
        <f>Income_Statement!G32</f>
        <v>141009.38573209735</v>
      </c>
      <c r="H14" s="39">
        <f>Income_Statement!H32</f>
        <v>170360.44979558946</v>
      </c>
      <c r="I14" s="39">
        <f>Income_Statement!I32</f>
        <v>204229.09158064882</v>
      </c>
      <c r="J14" s="39">
        <f>Income_Statement!J32</f>
        <v>244497.94590507672</v>
      </c>
      <c r="K14" s="39">
        <f>Income_Statement!K32</f>
        <v>292915.62827979587</v>
      </c>
      <c r="L14" s="39">
        <f>Income_Statement!L32</f>
        <v>350816.76603753178</v>
      </c>
      <c r="M14" s="39">
        <f>Income_Statement!M32</f>
        <v>419833.98522285832</v>
      </c>
      <c r="N14" s="39">
        <f>Income_Statement!N32</f>
        <v>502664.58493219636</v>
      </c>
      <c r="O14" s="39">
        <f>Income_Statement!O32</f>
        <v>601748.76578348048</v>
      </c>
      <c r="P14" s="39">
        <f>Income_Statement!P32</f>
        <v>720044.40007922251</v>
      </c>
      <c r="Q14" s="39">
        <f>Income_Statement!Q32</f>
        <v>861865.47551383416</v>
      </c>
    </row>
    <row r="15" spans="1:17" x14ac:dyDescent="0.15">
      <c r="B15" s="6" t="s">
        <v>268</v>
      </c>
      <c r="C15" s="34"/>
      <c r="D15" s="34">
        <f>Cost_Build_Up!D50</f>
        <v>0.27372252427734906</v>
      </c>
      <c r="E15" s="34">
        <f>Cost_Build_Up!E50</f>
        <v>0.255059569559488</v>
      </c>
      <c r="F15" s="34">
        <f>Cost_Build_Up!F50</f>
        <v>0.25710932921007362</v>
      </c>
      <c r="G15" s="34">
        <f>Cost_Build_Up!G50</f>
        <v>0.25732231920699589</v>
      </c>
      <c r="H15" s="40">
        <f>Cost_Build_Up!H50</f>
        <v>0.26232231920699589</v>
      </c>
      <c r="I15" s="40">
        <f>Cost_Build_Up!I50</f>
        <v>0.26232231920699589</v>
      </c>
      <c r="J15" s="40">
        <f>Cost_Build_Up!J50</f>
        <v>0.2673223192069959</v>
      </c>
      <c r="K15" s="40">
        <f>Cost_Build_Up!K50</f>
        <v>0.2673223192069959</v>
      </c>
      <c r="L15" s="40">
        <f>Cost_Build_Up!L50</f>
        <v>0.2723223192069959</v>
      </c>
      <c r="M15" s="40">
        <f>Cost_Build_Up!M50</f>
        <v>0.2723223192069959</v>
      </c>
      <c r="N15" s="40">
        <f>Cost_Build_Up!N50</f>
        <v>0.2773223192069959</v>
      </c>
      <c r="O15" s="40">
        <f>Cost_Build_Up!O50</f>
        <v>0.2773223192069959</v>
      </c>
      <c r="P15" s="40">
        <f>Cost_Build_Up!P50</f>
        <v>0.28232231920699591</v>
      </c>
      <c r="Q15" s="40">
        <f>Cost_Build_Up!Q50</f>
        <v>0.28232231920699591</v>
      </c>
    </row>
    <row r="16" spans="1:17" x14ac:dyDescent="0.15">
      <c r="B16" s="15" t="s">
        <v>269</v>
      </c>
      <c r="C16" s="29"/>
      <c r="D16" s="30">
        <f t="shared" ref="D16:Q16" si="0">D14*(1-D15)</f>
        <v>10270.20989367167</v>
      </c>
      <c r="E16" s="30">
        <f t="shared" si="0"/>
        <v>61422.379626599628</v>
      </c>
      <c r="F16" s="30">
        <f t="shared" si="0"/>
        <v>90817.760475905045</v>
      </c>
      <c r="G16" s="30">
        <f t="shared" si="0"/>
        <v>104724.52356556019</v>
      </c>
      <c r="H16" s="75">
        <f t="shared" si="0"/>
        <v>125671.10150406345</v>
      </c>
      <c r="I16" s="75">
        <f t="shared" si="0"/>
        <v>150655.24262767506</v>
      </c>
      <c r="J16" s="75">
        <f t="shared" si="0"/>
        <v>179138.187964385</v>
      </c>
      <c r="K16" s="75">
        <f t="shared" si="0"/>
        <v>214612.74319606653</v>
      </c>
      <c r="L16" s="75">
        <f t="shared" si="0"/>
        <v>255281.53069349306</v>
      </c>
      <c r="M16" s="75">
        <f t="shared" si="0"/>
        <v>305503.82068505388</v>
      </c>
      <c r="N16" s="75">
        <f t="shared" si="0"/>
        <v>363264.47645557771</v>
      </c>
      <c r="O16" s="75">
        <f t="shared" si="0"/>
        <v>434870.40247645829</v>
      </c>
      <c r="P16" s="75">
        <f t="shared" si="0"/>
        <v>516759.79511684639</v>
      </c>
      <c r="Q16" s="75">
        <f t="shared" si="0"/>
        <v>618541.61562232813</v>
      </c>
    </row>
    <row r="17" spans="2:17" x14ac:dyDescent="0.15">
      <c r="B17" s="6" t="s">
        <v>270</v>
      </c>
      <c r="D17" s="13">
        <f>Income_Statement!D30</f>
        <v>4634.74</v>
      </c>
      <c r="E17" s="13">
        <f>Income_Statement!E30</f>
        <v>4898.8400000000011</v>
      </c>
      <c r="F17" s="13">
        <f>Income_Statement!F30</f>
        <v>5372.96</v>
      </c>
      <c r="G17" s="13">
        <f>Income_Statement!G30</f>
        <v>5586.2335000000003</v>
      </c>
      <c r="H17" s="39">
        <f>Income_Statement!H30</f>
        <v>5586.2335000000003</v>
      </c>
      <c r="I17" s="39">
        <f>Income_Statement!I30</f>
        <v>5586.2335000000003</v>
      </c>
      <c r="J17" s="39">
        <f>Income_Statement!J30</f>
        <v>5809.6828400000013</v>
      </c>
      <c r="K17" s="39">
        <f>Income_Statement!K30</f>
        <v>5809.6828400000013</v>
      </c>
      <c r="L17" s="39">
        <f>Income_Statement!L30</f>
        <v>5809.6828400000013</v>
      </c>
      <c r="M17" s="39">
        <f>Income_Statement!M30</f>
        <v>6042.0701536000015</v>
      </c>
      <c r="N17" s="39">
        <f>Income_Statement!N30</f>
        <v>6042.0701536000015</v>
      </c>
      <c r="O17" s="39">
        <f>Income_Statement!O30</f>
        <v>6042.0701536000015</v>
      </c>
      <c r="P17" s="39">
        <f>Income_Statement!P30</f>
        <v>6283.7529597439998</v>
      </c>
      <c r="Q17" s="39">
        <f>Income_Statement!Q30</f>
        <v>6283.7529597439998</v>
      </c>
    </row>
    <row r="18" spans="2:17" x14ac:dyDescent="0.15">
      <c r="B18" s="6" t="s">
        <v>271</v>
      </c>
      <c r="D18" s="13">
        <f>Cash_Flow_Statement!D50</f>
        <v>7300.6600000000071</v>
      </c>
      <c r="E18" s="13">
        <f>Cash_Flow_Statement!E50</f>
        <v>7305.9600000000028</v>
      </c>
      <c r="F18" s="13">
        <f>Cash_Flow_Statement!F50</f>
        <v>6924.3400000000038</v>
      </c>
      <c r="G18" s="13">
        <f>Cash_Flow_Statement!G50</f>
        <v>4769.786533333332</v>
      </c>
      <c r="H18" s="39">
        <f>Cash_Flow_Statement!H50</f>
        <v>7786.2566666666753</v>
      </c>
      <c r="I18" s="39">
        <f>Cash_Flow_Statement!I50</f>
        <v>7786.256666666668</v>
      </c>
      <c r="J18" s="39">
        <f>Cash_Flow_Statement!J50</f>
        <v>8081.0091093333322</v>
      </c>
      <c r="K18" s="39">
        <f>Cash_Flow_Statement!K50</f>
        <v>8097.7069333333275</v>
      </c>
      <c r="L18" s="39">
        <f>Cash_Flow_Statement!L50</f>
        <v>8097.7069333333275</v>
      </c>
      <c r="M18" s="39">
        <f>Cash_Flow_Statement!M50</f>
        <v>8404.2494737066736</v>
      </c>
      <c r="N18" s="39">
        <f>Cash_Flow_Statement!N50</f>
        <v>8421.6152106666705</v>
      </c>
      <c r="O18" s="39">
        <f>Cash_Flow_Statement!O50</f>
        <v>8421.6152106666705</v>
      </c>
      <c r="P18" s="39">
        <f>Cash_Flow_Statement!P50</f>
        <v>8740.4194526549254</v>
      </c>
      <c r="Q18" s="39">
        <f>Cash_Flow_Statement!Q50</f>
        <v>8758.4798190933361</v>
      </c>
    </row>
    <row r="19" spans="2:17" x14ac:dyDescent="0.15">
      <c r="B19" s="6" t="s">
        <v>272</v>
      </c>
      <c r="D19" s="13">
        <f>SUM(Cash_Flow_Statement!D22:D28,Cash_Flow_Statement!D33:D39)</f>
        <v>-11677.230000000007</v>
      </c>
      <c r="E19" s="13">
        <f>SUM(Cash_Flow_Statement!E22:E28,Cash_Flow_Statement!E33:E39)</f>
        <v>90757.430000000022</v>
      </c>
      <c r="F19" s="13">
        <f>SUM(Cash_Flow_Statement!F22:F28,Cash_Flow_Statement!F33:F39)</f>
        <v>150667.87</v>
      </c>
      <c r="G19" s="13">
        <f>SUM(Cash_Flow_Statement!G22:G28,Cash_Flow_Statement!G33:G39)</f>
        <v>75516.75</v>
      </c>
      <c r="H19" s="39">
        <f>SUM(Cash_Flow_Statement!H22:H28,Cash_Flow_Statement!H33:H39)</f>
        <v>166901.47415500059</v>
      </c>
      <c r="I19" s="39">
        <f>SUM(Cash_Flow_Statement!I22:I28,Cash_Flow_Statement!I33:I39)</f>
        <v>94168.072214941116</v>
      </c>
      <c r="J19" s="39">
        <f>SUM(Cash_Flow_Statement!J22:J28,Cash_Flow_Statement!J33:J39)</f>
        <v>109530.79330754076</v>
      </c>
      <c r="K19" s="39">
        <f>SUM(Cash_Flow_Statement!K22:K28,Cash_Flow_Statement!K33:K39)</f>
        <v>127632.63063873893</v>
      </c>
      <c r="L19" s="39">
        <f>SUM(Cash_Flow_Statement!L22:L28,Cash_Flow_Statement!L33:L39)</f>
        <v>148978.58456042624</v>
      </c>
      <c r="M19" s="39">
        <f>SUM(Cash_Flow_Statement!M22:M28,Cash_Flow_Statement!M33:M39)</f>
        <v>174168.15962866254</v>
      </c>
      <c r="N19" s="39">
        <f>SUM(Cash_Flow_Statement!N22:N28,Cash_Flow_Statement!N33:N39)</f>
        <v>203913.20924285101</v>
      </c>
      <c r="O19" s="39">
        <f>SUM(Cash_Flow_Statement!O22:O28,Cash_Flow_Statement!O33:O39)</f>
        <v>239059.17311524606</v>
      </c>
      <c r="P19" s="39">
        <f>SUM(Cash_Flow_Statement!P22:P28,Cash_Flow_Statement!P33:P39)</f>
        <v>280610.3565353991</v>
      </c>
      <c r="Q19" s="39">
        <f>SUM(Cash_Flow_Statement!Q22:Q28,Cash_Flow_Statement!Q33:Q39)</f>
        <v>329760.02520305122</v>
      </c>
    </row>
    <row r="20" spans="2:17" x14ac:dyDescent="0.15">
      <c r="B20" s="15" t="s">
        <v>273</v>
      </c>
      <c r="D20" s="17">
        <f t="shared" ref="D20:Q20" si="1">D16+D17-D18-D19</f>
        <v>19281.51989367167</v>
      </c>
      <c r="E20" s="17">
        <f t="shared" si="1"/>
        <v>-31742.170373400397</v>
      </c>
      <c r="F20" s="17">
        <f t="shared" si="1"/>
        <v>-61401.489524094941</v>
      </c>
      <c r="G20" s="17">
        <f t="shared" si="1"/>
        <v>30024.220532226856</v>
      </c>
      <c r="H20" s="76">
        <f t="shared" si="1"/>
        <v>-43430.395817603829</v>
      </c>
      <c r="I20" s="76">
        <f t="shared" si="1"/>
        <v>54287.147246067267</v>
      </c>
      <c r="J20" s="76">
        <f t="shared" si="1"/>
        <v>67336.068387510895</v>
      </c>
      <c r="K20" s="76">
        <f t="shared" si="1"/>
        <v>84692.088463994252</v>
      </c>
      <c r="L20" s="76">
        <f t="shared" si="1"/>
        <v>104014.92203973347</v>
      </c>
      <c r="M20" s="76">
        <f t="shared" si="1"/>
        <v>128973.48173628465</v>
      </c>
      <c r="N20" s="76">
        <f t="shared" si="1"/>
        <v>156971.72215566004</v>
      </c>
      <c r="O20" s="76">
        <f t="shared" si="1"/>
        <v>193431.68430414557</v>
      </c>
      <c r="P20" s="76">
        <f t="shared" si="1"/>
        <v>233692.77208853641</v>
      </c>
      <c r="Q20" s="76">
        <f t="shared" si="1"/>
        <v>286306.8635599275</v>
      </c>
    </row>
    <row r="23" spans="2:17" ht="16" x14ac:dyDescent="0.2">
      <c r="B23" s="114" t="s">
        <v>274</v>
      </c>
      <c r="C23" s="115"/>
      <c r="E23" s="116" t="s">
        <v>288</v>
      </c>
      <c r="F23" s="116"/>
      <c r="G23" s="116"/>
      <c r="I23" s="116" t="s">
        <v>297</v>
      </c>
      <c r="J23" s="116"/>
      <c r="K23" s="116"/>
      <c r="L23" s="116"/>
      <c r="M23" s="116"/>
      <c r="N23" s="116"/>
      <c r="P23" s="33"/>
      <c r="Q23" s="33"/>
    </row>
    <row r="24" spans="2:17" x14ac:dyDescent="0.15">
      <c r="J24" s="149" t="s">
        <v>357</v>
      </c>
      <c r="K24" s="140"/>
      <c r="L24" s="140"/>
      <c r="M24" s="140"/>
      <c r="N24" s="140"/>
      <c r="P24" s="33"/>
      <c r="Q24" s="33"/>
    </row>
    <row r="25" spans="2:17" ht="15" thickBot="1" x14ac:dyDescent="0.2">
      <c r="B25" s="6" t="s">
        <v>275</v>
      </c>
      <c r="C25" s="34">
        <f>Assumption_Sheet!C20</f>
        <v>6.9860000000000005E-2</v>
      </c>
      <c r="E25" s="117" t="s">
        <v>288</v>
      </c>
      <c r="G25" s="13">
        <f>Q20*(1+G26)/(C44-G26)</f>
        <v>3201848.7570820409</v>
      </c>
      <c r="I25" s="120">
        <f>G41</f>
        <v>294.51428074978128</v>
      </c>
      <c r="J25" s="151">
        <v>0.13478438814521024</v>
      </c>
      <c r="K25" s="151">
        <v>0.14478438814521025</v>
      </c>
      <c r="L25" s="151">
        <v>0.15478438814521026</v>
      </c>
      <c r="M25" s="151">
        <v>0.16478438814521026</v>
      </c>
      <c r="N25" s="151">
        <v>0.17478438814521027</v>
      </c>
      <c r="P25" s="33"/>
      <c r="Q25" s="33"/>
    </row>
    <row r="26" spans="2:17" x14ac:dyDescent="0.15">
      <c r="B26" s="6" t="s">
        <v>276</v>
      </c>
      <c r="C26" s="34">
        <f>Equity_Returns!F14</f>
        <v>0.13913165804072714</v>
      </c>
      <c r="E26" s="117" t="s">
        <v>289</v>
      </c>
      <c r="G26" s="34">
        <f>Assumption_Sheet!C26</f>
        <v>0.06</v>
      </c>
      <c r="H26" s="169" t="s">
        <v>358</v>
      </c>
      <c r="I26" s="150">
        <v>3.9999999999999994E-2</v>
      </c>
      <c r="J26" s="95">
        <f t="dataTable" ref="J26:N30" dt2D="1" dtr="1" r1="C44" r2="G26"/>
        <v>310.80530409760343</v>
      </c>
      <c r="K26" s="95">
        <v>290.12852857586148</v>
      </c>
      <c r="L26" s="95">
        <v>273.71037381453363</v>
      </c>
      <c r="M26" s="95">
        <v>260.47165572591609</v>
      </c>
      <c r="N26" s="95">
        <v>249.65852218475433</v>
      </c>
      <c r="P26" s="33"/>
      <c r="Q26" s="33"/>
    </row>
    <row r="27" spans="2:17" x14ac:dyDescent="0.15">
      <c r="B27" s="6" t="s">
        <v>277</v>
      </c>
      <c r="C27" s="34">
        <f>C26-C25</f>
        <v>6.927165804072713E-2</v>
      </c>
      <c r="H27" s="169"/>
      <c r="I27" s="150">
        <v>4.9999999999999996E-2</v>
      </c>
      <c r="J27" s="95">
        <v>327.00035257522097</v>
      </c>
      <c r="K27" s="147">
        <v>302.34424083497527</v>
      </c>
      <c r="L27" s="147">
        <v>283.11962658964507</v>
      </c>
      <c r="M27" s="147">
        <v>267.8461860604865</v>
      </c>
      <c r="N27" s="95">
        <v>255.52363803677565</v>
      </c>
      <c r="P27" s="33"/>
      <c r="Q27" s="33"/>
    </row>
    <row r="28" spans="2:17" x14ac:dyDescent="0.15">
      <c r="B28" s="6" t="s">
        <v>265</v>
      </c>
      <c r="C28" s="9">
        <f>Beta_Calculation!I16</f>
        <v>1.2281692584666535</v>
      </c>
      <c r="H28" s="169"/>
      <c r="I28" s="150">
        <v>0.06</v>
      </c>
      <c r="J28" s="95">
        <v>347.52653188890872</v>
      </c>
      <c r="K28" s="147">
        <v>317.4415478136716</v>
      </c>
      <c r="L28" s="148">
        <v>294.51428074978128</v>
      </c>
      <c r="M28" s="147">
        <v>276.62827919426917</v>
      </c>
      <c r="N28" s="95">
        <v>262.41069005046421</v>
      </c>
      <c r="P28" s="33"/>
      <c r="Q28" s="33"/>
    </row>
    <row r="29" spans="2:17" x14ac:dyDescent="0.15">
      <c r="B29" s="145" t="s">
        <v>279</v>
      </c>
      <c r="C29" s="146">
        <f>C25+C27*C28</f>
        <v>0.15493732088863543</v>
      </c>
      <c r="H29" s="169"/>
      <c r="I29" s="150">
        <v>6.9999999999999993E-2</v>
      </c>
      <c r="J29" s="95">
        <v>374.38947840881883</v>
      </c>
      <c r="K29" s="147">
        <v>336.57641058526463</v>
      </c>
      <c r="L29" s="147">
        <v>308.59684819428782</v>
      </c>
      <c r="M29" s="147">
        <v>287.26343975943684</v>
      </c>
      <c r="N29" s="95">
        <v>270.61226078885892</v>
      </c>
      <c r="P29" s="33"/>
      <c r="Q29" s="33"/>
    </row>
    <row r="30" spans="2:17" x14ac:dyDescent="0.15">
      <c r="H30" s="169"/>
      <c r="I30" s="150">
        <v>7.9999999999999988E-2</v>
      </c>
      <c r="J30" s="95">
        <v>411.05921384410664</v>
      </c>
      <c r="K30" s="95">
        <v>361.61851839518488</v>
      </c>
      <c r="L30" s="95">
        <v>326.44559406019494</v>
      </c>
      <c r="M30" s="95">
        <v>300.40735477759489</v>
      </c>
      <c r="N30" s="95">
        <v>280.5444057070078</v>
      </c>
      <c r="P30" s="33"/>
      <c r="Q30" s="33"/>
    </row>
    <row r="31" spans="2:17" x14ac:dyDescent="0.15">
      <c r="P31" s="33"/>
      <c r="Q31" s="33"/>
    </row>
    <row r="32" spans="2:17" ht="16" x14ac:dyDescent="0.2">
      <c r="B32" s="114" t="s">
        <v>280</v>
      </c>
      <c r="C32" s="115"/>
      <c r="E32" s="116" t="s">
        <v>290</v>
      </c>
      <c r="F32" s="115"/>
      <c r="G32" s="115"/>
      <c r="P32" s="33"/>
      <c r="Q32" s="33"/>
    </row>
    <row r="33" spans="1:17" x14ac:dyDescent="0.15">
      <c r="I33" s="33"/>
      <c r="J33" s="33"/>
      <c r="K33" s="33"/>
      <c r="L33" s="33"/>
      <c r="M33" s="33"/>
      <c r="N33" s="33"/>
      <c r="O33" s="33"/>
      <c r="P33" s="33"/>
      <c r="Q33" s="33"/>
    </row>
    <row r="34" spans="1:17" x14ac:dyDescent="0.15">
      <c r="B34" s="6" t="s">
        <v>281</v>
      </c>
      <c r="C34" s="34">
        <f>Cost_Build_Up!H48</f>
        <v>5.9585741758313451E-2</v>
      </c>
      <c r="E34" s="117" t="s">
        <v>291</v>
      </c>
      <c r="G34" s="13">
        <f>XNPV(C44,H20:Q20,H11:Q11)</f>
        <v>1263029.6426464119</v>
      </c>
      <c r="I34" s="33"/>
      <c r="J34" s="33"/>
      <c r="K34" s="33"/>
      <c r="L34" s="33"/>
      <c r="M34" s="33"/>
      <c r="N34" s="33"/>
      <c r="O34" s="33"/>
      <c r="P34" s="33"/>
      <c r="Q34" s="33"/>
    </row>
    <row r="35" spans="1:17" x14ac:dyDescent="0.15">
      <c r="B35" s="6" t="s">
        <v>282</v>
      </c>
      <c r="C35" s="34">
        <f>Cost_Build_Up!H50</f>
        <v>0.26232231920699589</v>
      </c>
      <c r="E35" s="117" t="s">
        <v>292</v>
      </c>
      <c r="G35" s="13">
        <f>PV(C44,COUNT(H11:Q11)-1,,-G25)</f>
        <v>876784.12638517108</v>
      </c>
      <c r="I35" s="33"/>
      <c r="J35" s="33"/>
      <c r="K35" s="33"/>
      <c r="L35" s="33"/>
      <c r="M35" s="33"/>
      <c r="N35" s="33"/>
      <c r="O35" s="33"/>
      <c r="P35" s="33"/>
      <c r="Q35" s="33"/>
    </row>
    <row r="36" spans="1:17" x14ac:dyDescent="0.15">
      <c r="B36" s="145" t="s">
        <v>283</v>
      </c>
      <c r="C36" s="146">
        <f>C34*(1-C35)</f>
        <v>4.3955071788603528E-2</v>
      </c>
      <c r="G36" s="30">
        <f>SUM(G34:G35)</f>
        <v>2139813.7690315829</v>
      </c>
      <c r="I36" s="33"/>
      <c r="J36" s="33"/>
      <c r="K36" s="33"/>
      <c r="L36" s="33"/>
      <c r="M36" s="33"/>
      <c r="N36" s="33"/>
      <c r="O36" s="33"/>
      <c r="P36" s="33"/>
      <c r="Q36" s="33"/>
    </row>
    <row r="37" spans="1:17" x14ac:dyDescent="0.15">
      <c r="E37" s="117" t="s">
        <v>293</v>
      </c>
      <c r="G37" s="13">
        <f>SUM(Balance_Sheet!G33:G34)</f>
        <v>227764.08696666677</v>
      </c>
      <c r="I37" s="33"/>
      <c r="J37" s="33"/>
      <c r="K37" s="33"/>
      <c r="L37" s="33"/>
      <c r="M37" s="33"/>
      <c r="N37" s="33"/>
      <c r="O37" s="33"/>
      <c r="P37" s="33"/>
      <c r="Q37" s="33"/>
    </row>
    <row r="38" spans="1:17" x14ac:dyDescent="0.15">
      <c r="B38" s="6" t="s">
        <v>285</v>
      </c>
      <c r="C38" s="13">
        <f>Assumption_Sheet!C24*Assumption_Sheet!C25/10^5</f>
        <v>8307600</v>
      </c>
      <c r="E38" s="117" t="s">
        <v>294</v>
      </c>
      <c r="G38" s="13">
        <f>C39</f>
        <v>11463.609999999999</v>
      </c>
      <c r="I38" s="33"/>
      <c r="J38" s="33"/>
      <c r="K38" s="33"/>
      <c r="L38" s="33"/>
      <c r="M38" s="33"/>
      <c r="N38" s="33"/>
      <c r="O38" s="33"/>
      <c r="P38" s="33"/>
      <c r="Q38" s="33"/>
    </row>
    <row r="39" spans="1:17" x14ac:dyDescent="0.15">
      <c r="B39" s="6" t="s">
        <v>286</v>
      </c>
      <c r="C39" s="13">
        <f>SUM(Balance_Sheet!G53:G55,Balance_Sheet!G62:G63)</f>
        <v>11463.609999999999</v>
      </c>
      <c r="G39" s="30">
        <f>G36+G37-G38</f>
        <v>2356114.2459982499</v>
      </c>
      <c r="I39" s="33"/>
      <c r="J39" s="33"/>
      <c r="K39" s="33"/>
      <c r="L39" s="33"/>
      <c r="M39" s="33"/>
      <c r="N39" s="33"/>
      <c r="O39" s="33"/>
      <c r="P39" s="33"/>
      <c r="Q39" s="33"/>
    </row>
    <row r="40" spans="1:17" x14ac:dyDescent="0.15">
      <c r="C40" s="30">
        <f>SUM(C38:C39)</f>
        <v>8319063.6100000003</v>
      </c>
      <c r="I40" s="33"/>
      <c r="J40" s="33"/>
      <c r="K40" s="33"/>
      <c r="L40" s="33"/>
      <c r="M40" s="33"/>
      <c r="N40" s="33"/>
      <c r="O40" s="33"/>
      <c r="P40" s="33"/>
      <c r="Q40" s="33"/>
    </row>
    <row r="41" spans="1:17" x14ac:dyDescent="0.15">
      <c r="E41" s="118" t="s">
        <v>295</v>
      </c>
      <c r="F41" s="118"/>
      <c r="G41" s="119">
        <f>G39/Assumption_Sheet!C24*10^5</f>
        <v>294.51428074978128</v>
      </c>
      <c r="I41" s="33"/>
      <c r="J41" s="33"/>
      <c r="K41" s="33"/>
      <c r="L41" s="33"/>
      <c r="M41" s="33"/>
      <c r="N41" s="33"/>
      <c r="O41" s="33"/>
      <c r="P41" s="33"/>
      <c r="Q41" s="33"/>
    </row>
    <row r="42" spans="1:17" ht="16" x14ac:dyDescent="0.2">
      <c r="B42" s="114" t="s">
        <v>287</v>
      </c>
      <c r="C42" s="115"/>
      <c r="E42" s="13" t="s">
        <v>296</v>
      </c>
      <c r="G42" s="24">
        <f>G41/Assumption_Sheet!C25-1</f>
        <v>-0.71639050435766638</v>
      </c>
      <c r="I42" s="33"/>
      <c r="J42" s="33"/>
      <c r="K42" s="33"/>
      <c r="L42" s="33"/>
      <c r="M42" s="33"/>
      <c r="N42" s="33"/>
      <c r="O42" s="33"/>
      <c r="P42" s="33"/>
      <c r="Q42" s="33"/>
    </row>
    <row r="43" spans="1:17" x14ac:dyDescent="0.15">
      <c r="I43" s="33"/>
      <c r="J43" s="33"/>
      <c r="K43" s="33"/>
      <c r="L43" s="33"/>
      <c r="M43" s="33"/>
      <c r="N43" s="33"/>
      <c r="O43" s="33"/>
      <c r="P43" s="33"/>
      <c r="Q43" s="33"/>
    </row>
    <row r="44" spans="1:17" x14ac:dyDescent="0.15">
      <c r="C44" s="146">
        <f>C29*(C38/C40)+C36*(C39/C40)</f>
        <v>0.15478438814521026</v>
      </c>
      <c r="I44" s="33"/>
      <c r="J44" s="33"/>
      <c r="K44" s="33"/>
      <c r="L44" s="33"/>
      <c r="M44" s="33"/>
      <c r="N44" s="33"/>
      <c r="O44" s="33"/>
      <c r="P44" s="33"/>
      <c r="Q44" s="33"/>
    </row>
    <row r="46" spans="1:17" s="1" customFormat="1" ht="21" x14ac:dyDescent="0.25">
      <c r="A46" s="10"/>
      <c r="B46" s="10"/>
      <c r="C46" s="10"/>
      <c r="D46" s="10"/>
      <c r="E46" s="10"/>
      <c r="F46" s="10"/>
      <c r="G46" s="10"/>
      <c r="H46" s="10"/>
      <c r="I46" s="10"/>
      <c r="J46" s="10"/>
      <c r="K46" s="10"/>
      <c r="L46" s="10"/>
      <c r="M46" s="10"/>
      <c r="N46" s="10"/>
      <c r="O46" s="10"/>
      <c r="P46" s="10"/>
      <c r="Q46" s="10"/>
    </row>
  </sheetData>
  <mergeCells count="2">
    <mergeCell ref="B11:B12"/>
    <mergeCell ref="H26:H30"/>
  </mergeCells>
  <pageMargins left="0.7" right="0.7" top="0.75" bottom="0.75" header="0.3" footer="0.3"/>
  <pageSetup orientation="portrait" r:id="rId1"/>
  <ignoredErrors>
    <ignoredError sqref="G34:G35"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Assumption_Sheet</vt:lpstr>
      <vt:lpstr>P&amp;L_Input</vt:lpstr>
      <vt:lpstr>BS_Input</vt:lpstr>
      <vt:lpstr>Common_Sizing</vt:lpstr>
      <vt:lpstr>Revenue_Build_Up</vt:lpstr>
      <vt:lpstr>Cost_Build_Up</vt:lpstr>
      <vt:lpstr>Fixed_Asset_Schedule</vt:lpstr>
      <vt:lpstr>Working_Capital</vt:lpstr>
      <vt:lpstr>BS_Items</vt:lpstr>
      <vt:lpstr>Income_Statement</vt:lpstr>
      <vt:lpstr>Balance_Sheet</vt:lpstr>
      <vt:lpstr>Cash_Flow_Statement</vt:lpstr>
      <vt:lpstr>Ratios_Analysis</vt:lpstr>
      <vt:lpstr>Ratios_Interpretation</vt:lpstr>
      <vt:lpstr>Equity_Returns</vt:lpstr>
      <vt:lpstr>Beta_Calculation</vt:lpstr>
      <vt:lpstr>DCF_Analysis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Pratap Singh</dc:creator>
  <cp:lastModifiedBy>harshnaresh4@gmail.com</cp:lastModifiedBy>
  <cp:lastPrinted>2024-08-21T10:36:26Z</cp:lastPrinted>
  <dcterms:created xsi:type="dcterms:W3CDTF">2024-07-13T12:02:59Z</dcterms:created>
  <dcterms:modified xsi:type="dcterms:W3CDTF">2024-09-20T08:32:31Z</dcterms:modified>
</cp:coreProperties>
</file>