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 Analyst\IIQF study\3rd IIQF CapSton Project\"/>
    </mc:Choice>
  </mc:AlternateContent>
  <xr:revisionPtr revIDLastSave="0" documentId="13_ncr:1_{32F62546-B336-40F1-9796-476A355BBC64}" xr6:coauthVersionLast="47" xr6:coauthVersionMax="47" xr10:uidLastSave="{00000000-0000-0000-0000-000000000000}"/>
  <bookViews>
    <workbookView xWindow="-110" yWindow="-110" windowWidth="19420" windowHeight="11500" activeTab="1" xr2:uid="{EC501618-999B-4B9B-B848-19F15CDD1BFC}"/>
  </bookViews>
  <sheets>
    <sheet name="Cash_Flow" sheetId="1" r:id="rId1"/>
    <sheet name="DV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D3" i="2"/>
  <c r="E3" i="2" s="1"/>
  <c r="F3" i="2" s="1"/>
  <c r="G3" i="2" s="1"/>
  <c r="D4" i="2"/>
  <c r="E4" i="2" s="1"/>
  <c r="F4" i="2" s="1"/>
  <c r="G4" i="2" s="1"/>
  <c r="D5" i="2"/>
  <c r="E5" i="2" s="1"/>
  <c r="F5" i="2" s="1"/>
  <c r="G5" i="2" s="1"/>
  <c r="D6" i="2"/>
  <c r="E6" i="2" s="1"/>
  <c r="F6" i="2" s="1"/>
  <c r="G6" i="2" s="1"/>
  <c r="D7" i="2"/>
  <c r="D8" i="2"/>
  <c r="D9" i="2"/>
  <c r="E9" i="2" s="1"/>
  <c r="F9" i="2" s="1"/>
  <c r="G9" i="2" s="1"/>
  <c r="D10" i="2"/>
  <c r="E10" i="2" s="1"/>
  <c r="F10" i="2" s="1"/>
  <c r="G10" i="2" s="1"/>
  <c r="D11" i="2"/>
  <c r="E11" i="2" s="1"/>
  <c r="F11" i="2" s="1"/>
  <c r="G11" i="2" s="1"/>
  <c r="D12" i="2"/>
  <c r="E12" i="2" s="1"/>
  <c r="F12" i="2" s="1"/>
  <c r="G12" i="2" s="1"/>
  <c r="D13" i="2"/>
  <c r="E13" i="2" s="1"/>
  <c r="F13" i="2" s="1"/>
  <c r="G13" i="2" s="1"/>
  <c r="D14" i="2"/>
  <c r="E14" i="2" s="1"/>
  <c r="F14" i="2" s="1"/>
  <c r="G14" i="2" s="1"/>
  <c r="D15" i="2"/>
  <c r="E15" i="2" s="1"/>
  <c r="F15" i="2" s="1"/>
  <c r="G15" i="2" s="1"/>
  <c r="D16" i="2"/>
  <c r="E16" i="2" s="1"/>
  <c r="F16" i="2" s="1"/>
  <c r="G16" i="2" s="1"/>
  <c r="D17" i="2"/>
  <c r="E17" i="2" s="1"/>
  <c r="F17" i="2" s="1"/>
  <c r="G17" i="2" s="1"/>
  <c r="D18" i="2"/>
  <c r="E18" i="2" s="1"/>
  <c r="F18" i="2" s="1"/>
  <c r="G18" i="2" s="1"/>
  <c r="D19" i="2"/>
  <c r="D20" i="2"/>
  <c r="D21" i="2"/>
  <c r="E21" i="2" s="1"/>
  <c r="F21" i="2" s="1"/>
  <c r="G21" i="2" s="1"/>
  <c r="D2" i="2"/>
  <c r="E7" i="2"/>
  <c r="F7" i="2" s="1"/>
  <c r="G7" i="2" s="1"/>
  <c r="E8" i="2"/>
  <c r="F8" i="2" s="1"/>
  <c r="G8" i="2" s="1"/>
  <c r="E19" i="2"/>
  <c r="F19" i="2" s="1"/>
  <c r="G19" i="2" s="1"/>
  <c r="E20" i="2"/>
  <c r="F20" i="2" s="1"/>
  <c r="G20" i="2" s="1"/>
  <c r="E2" i="2"/>
  <c r="F2" i="2" s="1"/>
  <c r="G2" i="2" s="1"/>
  <c r="H28" i="1"/>
  <c r="H27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" i="2"/>
  <c r="I34" i="1"/>
  <c r="P10" i="1" a="1"/>
  <c r="P10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B6" i="1"/>
  <c r="B2" i="1"/>
  <c r="B7" i="1" s="1"/>
  <c r="E22" i="1" s="1"/>
  <c r="J14" i="1" l="1"/>
  <c r="J25" i="1"/>
  <c r="G14" i="1"/>
  <c r="H14" i="1" s="1"/>
  <c r="G25" i="1"/>
  <c r="H25" i="1" s="1"/>
  <c r="G24" i="1"/>
  <c r="H24" i="1" s="1"/>
  <c r="G23" i="1"/>
  <c r="H23" i="1" s="1"/>
  <c r="G22" i="1"/>
  <c r="H22" i="1" s="1"/>
  <c r="I22" i="1" s="1"/>
  <c r="J22" i="1" s="1"/>
  <c r="G11" i="1"/>
  <c r="H11" i="1" s="1"/>
  <c r="G21" i="1"/>
  <c r="H21" i="1" s="1"/>
  <c r="G13" i="1"/>
  <c r="H13" i="1" s="1"/>
  <c r="G20" i="1"/>
  <c r="H20" i="1" s="1"/>
  <c r="G12" i="1"/>
  <c r="H12" i="1" s="1"/>
  <c r="G19" i="1"/>
  <c r="H19" i="1" s="1"/>
  <c r="G30" i="1"/>
  <c r="H30" i="1" s="1"/>
  <c r="G18" i="1"/>
  <c r="H18" i="1" s="1"/>
  <c r="G29" i="1"/>
  <c r="H29" i="1" s="1"/>
  <c r="G17" i="1"/>
  <c r="H17" i="1" s="1"/>
  <c r="G28" i="1"/>
  <c r="G16" i="1"/>
  <c r="H16" i="1" s="1"/>
  <c r="G27" i="1"/>
  <c r="G15" i="1"/>
  <c r="H15" i="1" s="1"/>
  <c r="G26" i="1"/>
  <c r="H26" i="1" s="1"/>
  <c r="E21" i="1"/>
  <c r="E20" i="1"/>
  <c r="I20" i="1" s="1"/>
  <c r="J20" i="1" s="1"/>
  <c r="E19" i="1"/>
  <c r="I19" i="1" s="1"/>
  <c r="J19" i="1" s="1"/>
  <c r="E11" i="1"/>
  <c r="E18" i="1"/>
  <c r="I18" i="1" s="1"/>
  <c r="J18" i="1" s="1"/>
  <c r="E29" i="1"/>
  <c r="I29" i="1" s="1"/>
  <c r="J29" i="1" s="1"/>
  <c r="E17" i="1"/>
  <c r="I17" i="1" s="1"/>
  <c r="J17" i="1" s="1"/>
  <c r="E28" i="1"/>
  <c r="I28" i="1" s="1"/>
  <c r="J28" i="1" s="1"/>
  <c r="E16" i="1"/>
  <c r="I16" i="1" s="1"/>
  <c r="J16" i="1" s="1"/>
  <c r="E27" i="1"/>
  <c r="I27" i="1" s="1"/>
  <c r="J27" i="1" s="1"/>
  <c r="E15" i="1"/>
  <c r="I15" i="1" s="1"/>
  <c r="J15" i="1" s="1"/>
  <c r="E26" i="1"/>
  <c r="I26" i="1" s="1"/>
  <c r="J26" i="1" s="1"/>
  <c r="E14" i="1"/>
  <c r="I14" i="1" s="1"/>
  <c r="E25" i="1"/>
  <c r="I25" i="1" s="1"/>
  <c r="E13" i="1"/>
  <c r="E24" i="1"/>
  <c r="I24" i="1" s="1"/>
  <c r="J24" i="1" s="1"/>
  <c r="E12" i="1"/>
  <c r="E23" i="1"/>
  <c r="E30" i="1"/>
  <c r="I30" i="1" l="1"/>
  <c r="J30" i="1" s="1"/>
  <c r="I23" i="1"/>
  <c r="J23" i="1" s="1"/>
  <c r="I12" i="1"/>
  <c r="J12" i="1" s="1"/>
  <c r="I11" i="1"/>
  <c r="I13" i="1"/>
  <c r="J13" i="1" s="1"/>
  <c r="I21" i="1"/>
  <c r="J21" i="1" s="1"/>
  <c r="J11" i="1" l="1"/>
  <c r="I32" i="1" s="1"/>
  <c r="I31" i="1"/>
  <c r="I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<sst xmlns="http://schemas.openxmlformats.org/spreadsheetml/2006/main" count="56" uniqueCount="35">
  <si>
    <t>Parameters</t>
  </si>
  <si>
    <t>Value</t>
  </si>
  <si>
    <t>Face Value (Rs)</t>
  </si>
  <si>
    <t>Coupon Rate (%)</t>
  </si>
  <si>
    <t>Maturity (Years)</t>
  </si>
  <si>
    <t>Frequency (Semi-annual)</t>
  </si>
  <si>
    <t>No.of Periods</t>
  </si>
  <si>
    <t>Periodic Coupon (Rs)</t>
  </si>
  <si>
    <t>Period</t>
  </si>
  <si>
    <t>Time(Years)</t>
  </si>
  <si>
    <t>Cash Flow (Rs)</t>
  </si>
  <si>
    <t>Description</t>
  </si>
  <si>
    <t>Coupon</t>
  </si>
  <si>
    <t>Coupon + Principal</t>
  </si>
  <si>
    <t>Cash Flow</t>
  </si>
  <si>
    <t>Spot Rate (%)</t>
  </si>
  <si>
    <t>Spot Rate</t>
  </si>
  <si>
    <t>Interpolation</t>
  </si>
  <si>
    <t>a</t>
  </si>
  <si>
    <t>b</t>
  </si>
  <si>
    <t>Discount Factor</t>
  </si>
  <si>
    <t>Discount Factor (DF)</t>
  </si>
  <si>
    <t>Present Value (PV)</t>
  </si>
  <si>
    <t>Total Present Value</t>
  </si>
  <si>
    <t>Time * PV</t>
  </si>
  <si>
    <t>Sum of Time * PV</t>
  </si>
  <si>
    <t>Macaulay Duration</t>
  </si>
  <si>
    <t>Modified Duration</t>
  </si>
  <si>
    <t>Key Rate Tenor</t>
  </si>
  <si>
    <t>Base Rate</t>
  </si>
  <si>
    <t>Shocked Rate (+1bp)</t>
  </si>
  <si>
    <t>Price After shock</t>
  </si>
  <si>
    <t>Change in Price</t>
  </si>
  <si>
    <t>DV01</t>
  </si>
  <si>
    <t>Total DV01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</si>
</sst>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00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0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16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0" fontId="0" fillId="0" borderId="0" xfId="0" applyNumberFormat="1"/>
    <xf numFmtId="2" fontId="0" fillId="0" borderId="0" xfId="0" applyNumberFormat="1"/>
    <xf numFmtId="169" fontId="0" fillId="0" borderId="0" xfId="0" applyNumberFormat="1"/>
    <xf numFmtId="1" fontId="0" fillId="0" borderId="0" xfId="0" applyNumberFormat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DF5387-6B40-4C5E-9417-A0CFFBF1FC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AEE2-8E0E-43CA-A033-4C2411387D9E}">
  <dimension ref="A1:Q34"/>
  <sheetViews>
    <sheetView topLeftCell="B10" workbookViewId="0">
      <selection activeCell="G31" sqref="G31:H31"/>
    </sheetView>
  </sheetViews>
  <sheetFormatPr defaultRowHeight="14.5" x14ac:dyDescent="0.35"/>
  <cols>
    <col min="1" max="1" width="21.81640625" style="2" bestFit="1" customWidth="1"/>
    <col min="2" max="2" width="8.81640625" style="2" bestFit="1" customWidth="1"/>
    <col min="3" max="3" width="6.1796875" style="2" bestFit="1" customWidth="1"/>
    <col min="4" max="4" width="10.7265625" style="2" bestFit="1" customWidth="1"/>
    <col min="5" max="5" width="12.90625" style="2" bestFit="1" customWidth="1"/>
    <col min="6" max="6" width="16.453125" style="2" bestFit="1" customWidth="1"/>
    <col min="7" max="7" width="12.08984375" style="2" bestFit="1" customWidth="1"/>
    <col min="8" max="8" width="13.81640625" style="2" bestFit="1" customWidth="1"/>
    <col min="9" max="9" width="16.54296875" style="2" bestFit="1" customWidth="1"/>
    <col min="10" max="10" width="13.81640625" style="2" customWidth="1"/>
    <col min="11" max="12" width="8.7265625" style="2"/>
    <col min="13" max="13" width="14.54296875" style="2" bestFit="1" customWidth="1"/>
    <col min="14" max="14" width="12.08984375" style="2" bestFit="1" customWidth="1"/>
    <col min="15" max="16384" width="8.7265625" style="2"/>
  </cols>
  <sheetData>
    <row r="1" spans="1:17" x14ac:dyDescent="0.35">
      <c r="A1" s="1" t="s">
        <v>0</v>
      </c>
      <c r="B1" s="1" t="s">
        <v>1</v>
      </c>
    </row>
    <row r="2" spans="1:17" x14ac:dyDescent="0.35">
      <c r="A2" s="3" t="s">
        <v>2</v>
      </c>
      <c r="B2" s="3">
        <f>10000000</f>
        <v>10000000</v>
      </c>
    </row>
    <row r="3" spans="1:17" x14ac:dyDescent="0.35">
      <c r="A3" s="3" t="s">
        <v>3</v>
      </c>
      <c r="B3" s="4">
        <v>0.08</v>
      </c>
    </row>
    <row r="4" spans="1:17" x14ac:dyDescent="0.35">
      <c r="A4" s="3" t="s">
        <v>4</v>
      </c>
      <c r="B4" s="3">
        <v>10</v>
      </c>
    </row>
    <row r="5" spans="1:17" x14ac:dyDescent="0.35">
      <c r="A5" s="3" t="s">
        <v>5</v>
      </c>
      <c r="B5" s="3">
        <v>2</v>
      </c>
    </row>
    <row r="6" spans="1:17" x14ac:dyDescent="0.35">
      <c r="A6" s="3" t="s">
        <v>6</v>
      </c>
      <c r="B6" s="3">
        <f>B4*B5</f>
        <v>20</v>
      </c>
    </row>
    <row r="7" spans="1:17" x14ac:dyDescent="0.35">
      <c r="A7" s="3" t="s">
        <v>7</v>
      </c>
      <c r="B7" s="3">
        <f>(B2*B3)/B5</f>
        <v>400000</v>
      </c>
    </row>
    <row r="9" spans="1:17" x14ac:dyDescent="0.35">
      <c r="C9" s="6" t="s">
        <v>14</v>
      </c>
      <c r="D9" s="6"/>
      <c r="E9" s="6"/>
      <c r="F9" s="6"/>
      <c r="G9" s="6"/>
      <c r="H9" s="6"/>
      <c r="I9" s="6"/>
      <c r="J9" s="6"/>
      <c r="M9" s="6" t="s">
        <v>16</v>
      </c>
      <c r="N9" s="6"/>
      <c r="P9" s="8" t="s">
        <v>17</v>
      </c>
      <c r="Q9" s="8"/>
    </row>
    <row r="10" spans="1:17" x14ac:dyDescent="0.35">
      <c r="C10" s="5" t="s">
        <v>8</v>
      </c>
      <c r="D10" s="5" t="s">
        <v>9</v>
      </c>
      <c r="E10" s="5" t="s">
        <v>10</v>
      </c>
      <c r="F10" s="5" t="s">
        <v>11</v>
      </c>
      <c r="G10" s="5" t="s">
        <v>15</v>
      </c>
      <c r="H10" s="5" t="s">
        <v>21</v>
      </c>
      <c r="I10" s="5" t="s">
        <v>22</v>
      </c>
      <c r="J10" s="5" t="s">
        <v>24</v>
      </c>
      <c r="M10" s="5" t="s">
        <v>4</v>
      </c>
      <c r="N10" s="5" t="s">
        <v>15</v>
      </c>
      <c r="P10" s="2" cm="1">
        <f t="array" ref="P10:Q10">LINEST(N11:N13,M11:M13)</f>
        <v>1.2500000000000011E-3</v>
      </c>
      <c r="Q10" s="2">
        <v>6.6708333333333314E-2</v>
      </c>
    </row>
    <row r="11" spans="1:17" x14ac:dyDescent="0.35">
      <c r="C11" s="2">
        <v>1</v>
      </c>
      <c r="D11" s="2">
        <v>0.5</v>
      </c>
      <c r="E11" s="2">
        <f>$B$7</f>
        <v>400000</v>
      </c>
      <c r="F11" s="2" t="s">
        <v>12</v>
      </c>
      <c r="G11" s="7">
        <f>$P$10*D11+$Q$10</f>
        <v>6.7333333333333314E-2</v>
      </c>
      <c r="H11" s="9">
        <f>1/(1+G11/2)^(2*D11)</f>
        <v>0.96742986133505315</v>
      </c>
      <c r="I11" s="2">
        <f>E11*H11</f>
        <v>386971.94453402126</v>
      </c>
      <c r="J11" s="10">
        <f>D11*I11</f>
        <v>193485.97226701063</v>
      </c>
      <c r="M11" s="2">
        <v>3.5</v>
      </c>
      <c r="N11" s="7">
        <v>7.0999999999999994E-2</v>
      </c>
      <c r="P11" s="2" t="s">
        <v>18</v>
      </c>
      <c r="Q11" s="2" t="s">
        <v>19</v>
      </c>
    </row>
    <row r="12" spans="1:17" x14ac:dyDescent="0.35">
      <c r="C12" s="2">
        <v>2</v>
      </c>
      <c r="D12" s="2">
        <f>D11+0.5</f>
        <v>1</v>
      </c>
      <c r="E12" s="2">
        <f t="shared" ref="E12:E29" si="0">$B$7</f>
        <v>400000</v>
      </c>
      <c r="F12" s="2" t="s">
        <v>12</v>
      </c>
      <c r="G12" s="7">
        <f t="shared" ref="G12:G30" si="1">$P$10*D12+$Q$10</f>
        <v>6.7958333333333315E-2</v>
      </c>
      <c r="H12" s="9">
        <f t="shared" ref="H12:H30" si="2">1/(1+G12/2)^(2*D12)</f>
        <v>0.93535489470268451</v>
      </c>
      <c r="I12" s="2">
        <f t="shared" ref="I12:I30" si="3">E12*H12</f>
        <v>374141.95788107382</v>
      </c>
      <c r="J12" s="10">
        <f t="shared" ref="J12:J30" si="4">D12*I12</f>
        <v>374141.95788107382</v>
      </c>
      <c r="M12" s="2">
        <v>4.5</v>
      </c>
      <c r="N12" s="7">
        <v>7.2499999999999995E-2</v>
      </c>
    </row>
    <row r="13" spans="1:17" x14ac:dyDescent="0.35">
      <c r="C13" s="2">
        <v>3</v>
      </c>
      <c r="D13" s="2">
        <f t="shared" ref="D13:D30" si="5">D12+0.5</f>
        <v>1.5</v>
      </c>
      <c r="E13" s="2">
        <f t="shared" si="0"/>
        <v>400000</v>
      </c>
      <c r="F13" s="2" t="s">
        <v>12</v>
      </c>
      <c r="G13" s="7">
        <f t="shared" si="1"/>
        <v>6.8583333333333316E-2</v>
      </c>
      <c r="H13" s="9">
        <f t="shared" si="2"/>
        <v>0.90379705798605903</v>
      </c>
      <c r="I13" s="2">
        <f t="shared" si="3"/>
        <v>361518.82319442363</v>
      </c>
      <c r="J13" s="10">
        <f t="shared" si="4"/>
        <v>542278.23479163542</v>
      </c>
      <c r="M13" s="2">
        <v>5.5</v>
      </c>
      <c r="N13" s="7">
        <v>7.3499999999999996E-2</v>
      </c>
    </row>
    <row r="14" spans="1:17" x14ac:dyDescent="0.35">
      <c r="C14" s="2">
        <v>4</v>
      </c>
      <c r="D14" s="2">
        <f t="shared" si="5"/>
        <v>2</v>
      </c>
      <c r="E14" s="2">
        <f t="shared" si="0"/>
        <v>400000</v>
      </c>
      <c r="F14" s="2" t="s">
        <v>12</v>
      </c>
      <c r="G14" s="7">
        <f t="shared" si="1"/>
        <v>6.9208333333333316E-2</v>
      </c>
      <c r="H14" s="9">
        <f t="shared" si="2"/>
        <v>0.87277662748061535</v>
      </c>
      <c r="I14" s="2">
        <f t="shared" si="3"/>
        <v>349110.65099224611</v>
      </c>
      <c r="J14" s="10">
        <f t="shared" si="4"/>
        <v>698221.30198449222</v>
      </c>
    </row>
    <row r="15" spans="1:17" x14ac:dyDescent="0.35">
      <c r="C15" s="2">
        <v>5</v>
      </c>
      <c r="D15" s="2">
        <f t="shared" si="5"/>
        <v>2.5</v>
      </c>
      <c r="E15" s="2">
        <f t="shared" si="0"/>
        <v>400000</v>
      </c>
      <c r="F15" s="2" t="s">
        <v>12</v>
      </c>
      <c r="G15" s="7">
        <f t="shared" si="1"/>
        <v>6.9833333333333317E-2</v>
      </c>
      <c r="H15" s="9">
        <f t="shared" si="2"/>
        <v>0.84231220734976098</v>
      </c>
      <c r="I15" s="2">
        <f t="shared" si="3"/>
        <v>336924.8829399044</v>
      </c>
      <c r="J15" s="10">
        <f t="shared" si="4"/>
        <v>842312.20734976104</v>
      </c>
    </row>
    <row r="16" spans="1:17" x14ac:dyDescent="0.35">
      <c r="C16" s="2">
        <v>6</v>
      </c>
      <c r="D16" s="2">
        <f t="shared" si="5"/>
        <v>3</v>
      </c>
      <c r="E16" s="2">
        <f t="shared" si="0"/>
        <v>400000</v>
      </c>
      <c r="F16" s="2" t="s">
        <v>12</v>
      </c>
      <c r="G16" s="7">
        <f t="shared" si="1"/>
        <v>7.0458333333333317E-2</v>
      </c>
      <c r="H16" s="9">
        <f t="shared" si="2"/>
        <v>0.81242074377065343</v>
      </c>
      <c r="I16" s="2">
        <f t="shared" si="3"/>
        <v>324968.2975082614</v>
      </c>
      <c r="J16" s="10">
        <f t="shared" si="4"/>
        <v>974904.8925247842</v>
      </c>
    </row>
    <row r="17" spans="3:10" x14ac:dyDescent="0.35">
      <c r="C17" s="2">
        <v>7</v>
      </c>
      <c r="D17" s="2">
        <f t="shared" si="5"/>
        <v>3.5</v>
      </c>
      <c r="E17" s="2">
        <f t="shared" si="0"/>
        <v>400000</v>
      </c>
      <c r="F17" s="2" t="s">
        <v>12</v>
      </c>
      <c r="G17" s="7">
        <f t="shared" si="1"/>
        <v>7.1083333333333318E-2</v>
      </c>
      <c r="H17" s="9">
        <f t="shared" si="2"/>
        <v>0.78311754355200824</v>
      </c>
      <c r="I17" s="2">
        <f t="shared" si="3"/>
        <v>313247.01742080331</v>
      </c>
      <c r="J17" s="10">
        <f t="shared" si="4"/>
        <v>1096364.5609728117</v>
      </c>
    </row>
    <row r="18" spans="3:10" x14ac:dyDescent="0.35">
      <c r="C18" s="2">
        <v>8</v>
      </c>
      <c r="D18" s="2">
        <f t="shared" si="5"/>
        <v>4</v>
      </c>
      <c r="E18" s="2">
        <f t="shared" si="0"/>
        <v>400000</v>
      </c>
      <c r="F18" s="2" t="s">
        <v>12</v>
      </c>
      <c r="G18" s="7">
        <f t="shared" si="1"/>
        <v>7.1708333333333318E-2</v>
      </c>
      <c r="H18" s="9">
        <f t="shared" si="2"/>
        <v>0.7544162969949969</v>
      </c>
      <c r="I18" s="2">
        <f t="shared" si="3"/>
        <v>301766.51879799878</v>
      </c>
      <c r="J18" s="10">
        <f t="shared" si="4"/>
        <v>1207066.0751919951</v>
      </c>
    </row>
    <row r="19" spans="3:10" x14ac:dyDescent="0.35">
      <c r="C19" s="2">
        <v>9</v>
      </c>
      <c r="D19" s="2">
        <f t="shared" si="5"/>
        <v>4.5</v>
      </c>
      <c r="E19" s="2">
        <f t="shared" si="0"/>
        <v>400000</v>
      </c>
      <c r="F19" s="2" t="s">
        <v>12</v>
      </c>
      <c r="G19" s="7">
        <f t="shared" si="1"/>
        <v>7.2333333333333319E-2</v>
      </c>
      <c r="H19" s="9">
        <f t="shared" si="2"/>
        <v>0.72632910475886203</v>
      </c>
      <c r="I19" s="2">
        <f t="shared" si="3"/>
        <v>290531.64190354483</v>
      </c>
      <c r="J19" s="10">
        <f t="shared" si="4"/>
        <v>1307392.3885659517</v>
      </c>
    </row>
    <row r="20" spans="3:10" x14ac:dyDescent="0.35">
      <c r="C20" s="2">
        <v>10</v>
      </c>
      <c r="D20" s="2">
        <f t="shared" si="5"/>
        <v>5</v>
      </c>
      <c r="E20" s="2">
        <f t="shared" si="0"/>
        <v>400000</v>
      </c>
      <c r="F20" s="2" t="s">
        <v>12</v>
      </c>
      <c r="G20" s="7">
        <f t="shared" si="1"/>
        <v>7.2958333333333319E-2</v>
      </c>
      <c r="H20" s="9">
        <f t="shared" si="2"/>
        <v>0.69886650848496912</v>
      </c>
      <c r="I20" s="2">
        <f t="shared" si="3"/>
        <v>279546.60339398764</v>
      </c>
      <c r="J20" s="10">
        <f t="shared" si="4"/>
        <v>1397733.0169699383</v>
      </c>
    </row>
    <row r="21" spans="3:10" x14ac:dyDescent="0.35">
      <c r="C21" s="2">
        <v>11</v>
      </c>
      <c r="D21" s="2">
        <f t="shared" si="5"/>
        <v>5.5</v>
      </c>
      <c r="E21" s="2">
        <f t="shared" si="0"/>
        <v>400000</v>
      </c>
      <c r="F21" s="2" t="s">
        <v>12</v>
      </c>
      <c r="G21" s="7">
        <f t="shared" si="1"/>
        <v>7.358333333333332E-2</v>
      </c>
      <c r="H21" s="9">
        <f t="shared" si="2"/>
        <v>0.67203752492659297</v>
      </c>
      <c r="I21" s="2">
        <f t="shared" si="3"/>
        <v>268815.00997063721</v>
      </c>
      <c r="J21" s="10">
        <f t="shared" si="4"/>
        <v>1478482.5548385046</v>
      </c>
    </row>
    <row r="22" spans="3:10" x14ac:dyDescent="0.35">
      <c r="C22" s="2">
        <v>12</v>
      </c>
      <c r="D22" s="2">
        <f t="shared" si="5"/>
        <v>6</v>
      </c>
      <c r="E22" s="2">
        <f t="shared" si="0"/>
        <v>400000</v>
      </c>
      <c r="F22" s="2" t="s">
        <v>12</v>
      </c>
      <c r="G22" s="7">
        <f t="shared" si="1"/>
        <v>7.4208333333333321E-2</v>
      </c>
      <c r="H22" s="9">
        <f t="shared" si="2"/>
        <v>0.6458496833267412</v>
      </c>
      <c r="I22" s="2">
        <f t="shared" si="3"/>
        <v>258339.87333069649</v>
      </c>
      <c r="J22" s="10">
        <f t="shared" si="4"/>
        <v>1550039.2399841789</v>
      </c>
    </row>
    <row r="23" spans="3:10" x14ac:dyDescent="0.35">
      <c r="C23" s="2">
        <v>13</v>
      </c>
      <c r="D23" s="2">
        <f t="shared" si="5"/>
        <v>6.5</v>
      </c>
      <c r="E23" s="2">
        <f t="shared" si="0"/>
        <v>400000</v>
      </c>
      <c r="F23" s="2" t="s">
        <v>12</v>
      </c>
      <c r="G23" s="7">
        <f t="shared" si="1"/>
        <v>7.4833333333333321E-2</v>
      </c>
      <c r="H23" s="9">
        <f t="shared" si="2"/>
        <v>0.62030906578277656</v>
      </c>
      <c r="I23" s="2">
        <f t="shared" si="3"/>
        <v>248123.62631311061</v>
      </c>
      <c r="J23" s="10">
        <f t="shared" si="4"/>
        <v>1612803.5710352189</v>
      </c>
    </row>
    <row r="24" spans="3:10" x14ac:dyDescent="0.35">
      <c r="C24" s="2">
        <v>14</v>
      </c>
      <c r="D24" s="2">
        <f t="shared" si="5"/>
        <v>7</v>
      </c>
      <c r="E24" s="2">
        <f t="shared" si="0"/>
        <v>400000</v>
      </c>
      <c r="F24" s="2" t="s">
        <v>12</v>
      </c>
      <c r="G24" s="7">
        <f t="shared" si="1"/>
        <v>7.5458333333333322E-2</v>
      </c>
      <c r="H24" s="9">
        <f t="shared" si="2"/>
        <v>0.59542035033443241</v>
      </c>
      <c r="I24" s="2">
        <f t="shared" si="3"/>
        <v>238168.14013377298</v>
      </c>
      <c r="J24" s="10">
        <f t="shared" si="4"/>
        <v>1667176.9809364108</v>
      </c>
    </row>
    <row r="25" spans="3:10" x14ac:dyDescent="0.35">
      <c r="C25" s="2">
        <v>15</v>
      </c>
      <c r="D25" s="2">
        <f t="shared" si="5"/>
        <v>7.5</v>
      </c>
      <c r="E25" s="2">
        <f t="shared" si="0"/>
        <v>400000</v>
      </c>
      <c r="F25" s="2" t="s">
        <v>12</v>
      </c>
      <c r="G25" s="7">
        <f t="shared" si="1"/>
        <v>7.6083333333333322E-2</v>
      </c>
      <c r="H25" s="9">
        <f t="shared" si="2"/>
        <v>0.57118685651101564</v>
      </c>
      <c r="I25" s="2">
        <f t="shared" si="3"/>
        <v>228474.74260440626</v>
      </c>
      <c r="J25" s="10">
        <f t="shared" si="4"/>
        <v>1713560.569533047</v>
      </c>
    </row>
    <row r="26" spans="3:10" x14ac:dyDescent="0.35">
      <c r="C26" s="2">
        <v>16</v>
      </c>
      <c r="D26" s="2">
        <f t="shared" si="5"/>
        <v>8</v>
      </c>
      <c r="E26" s="2">
        <f t="shared" si="0"/>
        <v>400000</v>
      </c>
      <c r="F26" s="2" t="s">
        <v>12</v>
      </c>
      <c r="G26" s="7">
        <f t="shared" si="1"/>
        <v>7.6708333333333323E-2</v>
      </c>
      <c r="H26" s="9">
        <f t="shared" si="2"/>
        <v>0.54761059307407611</v>
      </c>
      <c r="I26" s="2">
        <f t="shared" si="3"/>
        <v>219044.23722963044</v>
      </c>
      <c r="J26" s="10">
        <f t="shared" si="4"/>
        <v>1752353.8978370435</v>
      </c>
    </row>
    <row r="27" spans="3:10" x14ac:dyDescent="0.35">
      <c r="C27" s="2">
        <v>17</v>
      </c>
      <c r="D27" s="2">
        <f t="shared" si="5"/>
        <v>8.5</v>
      </c>
      <c r="E27" s="2">
        <f t="shared" si="0"/>
        <v>400000</v>
      </c>
      <c r="F27" s="2" t="s">
        <v>12</v>
      </c>
      <c r="G27" s="7">
        <f t="shared" si="1"/>
        <v>7.7333333333333323E-2</v>
      </c>
      <c r="H27" s="9">
        <f>1/(1+G27/2)^(2*D27)</f>
        <v>0.52469230769350905</v>
      </c>
      <c r="I27" s="2">
        <f t="shared" si="3"/>
        <v>209876.92307740363</v>
      </c>
      <c r="J27" s="10">
        <f t="shared" si="4"/>
        <v>1783953.8461579308</v>
      </c>
    </row>
    <row r="28" spans="3:10" x14ac:dyDescent="0.35">
      <c r="C28" s="2">
        <v>18</v>
      </c>
      <c r="D28" s="2">
        <f t="shared" si="5"/>
        <v>9</v>
      </c>
      <c r="E28" s="2">
        <f t="shared" si="0"/>
        <v>400000</v>
      </c>
      <c r="F28" s="2" t="s">
        <v>12</v>
      </c>
      <c r="G28" s="7">
        <f t="shared" si="1"/>
        <v>7.7958333333333324E-2</v>
      </c>
      <c r="H28" s="9">
        <f>1/(1+G28/2)^(2*D28)</f>
        <v>0.50243153829801523</v>
      </c>
      <c r="I28" s="2">
        <f t="shared" si="3"/>
        <v>200972.61531920609</v>
      </c>
      <c r="J28" s="10">
        <f t="shared" si="4"/>
        <v>1808753.5378728549</v>
      </c>
    </row>
    <row r="29" spans="3:10" x14ac:dyDescent="0.35">
      <c r="C29" s="2">
        <v>19</v>
      </c>
      <c r="D29" s="2">
        <f t="shared" si="5"/>
        <v>9.5</v>
      </c>
      <c r="E29" s="2">
        <f t="shared" si="0"/>
        <v>400000</v>
      </c>
      <c r="F29" s="2" t="s">
        <v>12</v>
      </c>
      <c r="G29" s="7">
        <f t="shared" si="1"/>
        <v>7.8583333333333324E-2</v>
      </c>
      <c r="H29" s="9">
        <f t="shared" si="2"/>
        <v>0.4808266658448262</v>
      </c>
      <c r="I29" s="2">
        <f t="shared" si="3"/>
        <v>192330.66633793048</v>
      </c>
      <c r="J29" s="10">
        <f t="shared" si="4"/>
        <v>1827141.3302103395</v>
      </c>
    </row>
    <row r="30" spans="3:10" x14ac:dyDescent="0.35">
      <c r="C30" s="2">
        <v>20</v>
      </c>
      <c r="D30" s="2">
        <f t="shared" si="5"/>
        <v>10</v>
      </c>
      <c r="E30" s="2">
        <f>$B$7+B2</f>
        <v>10400000</v>
      </c>
      <c r="F30" s="2" t="s">
        <v>13</v>
      </c>
      <c r="G30" s="7">
        <f t="shared" si="1"/>
        <v>7.9208333333333325E-2</v>
      </c>
      <c r="H30" s="9">
        <f t="shared" si="2"/>
        <v>0.45987496825866747</v>
      </c>
      <c r="I30" s="2">
        <f t="shared" si="3"/>
        <v>4782699.669890142</v>
      </c>
      <c r="J30" s="10">
        <f t="shared" si="4"/>
        <v>47826996.698901422</v>
      </c>
    </row>
    <row r="31" spans="3:10" x14ac:dyDescent="0.35">
      <c r="G31" s="11" t="s">
        <v>23</v>
      </c>
      <c r="H31" s="11"/>
      <c r="I31" s="12">
        <f>SUM(I11:I30)</f>
        <v>10165573.842773203</v>
      </c>
      <c r="J31" s="13"/>
    </row>
    <row r="32" spans="3:10" x14ac:dyDescent="0.35">
      <c r="G32" s="11" t="s">
        <v>25</v>
      </c>
      <c r="H32" s="11"/>
      <c r="I32" s="14">
        <f>SUM(J11:J30)</f>
        <v>71655162.8358064</v>
      </c>
      <c r="J32" s="13"/>
    </row>
    <row r="33" spans="7:10" x14ac:dyDescent="0.35">
      <c r="G33" s="11" t="s">
        <v>26</v>
      </c>
      <c r="H33" s="11"/>
      <c r="I33" s="12">
        <f>I32/I31</f>
        <v>7.0488064858971731</v>
      </c>
      <c r="J33" s="13"/>
    </row>
    <row r="34" spans="7:10" x14ac:dyDescent="0.35">
      <c r="G34" s="11" t="s">
        <v>27</v>
      </c>
      <c r="H34" s="11"/>
      <c r="I34" s="12">
        <f>I33/(1+N11/2)</f>
        <v>6.8071525696737538</v>
      </c>
      <c r="J34" s="13"/>
    </row>
  </sheetData>
  <mergeCells count="11">
    <mergeCell ref="G33:H33"/>
    <mergeCell ref="G34:H34"/>
    <mergeCell ref="I31:J31"/>
    <mergeCell ref="I32:J32"/>
    <mergeCell ref="I33:J33"/>
    <mergeCell ref="I34:J34"/>
    <mergeCell ref="M9:N9"/>
    <mergeCell ref="P9:Q9"/>
    <mergeCell ref="G31:H31"/>
    <mergeCell ref="G32:H32"/>
    <mergeCell ref="C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8643-ABA0-4973-9F3B-0F957C406B23}">
  <dimension ref="A1:H22"/>
  <sheetViews>
    <sheetView tabSelected="1" topLeftCell="A7" workbookViewId="0">
      <selection activeCell="J11" sqref="J11"/>
    </sheetView>
  </sheetViews>
  <sheetFormatPr defaultRowHeight="14.5" x14ac:dyDescent="0.35"/>
  <cols>
    <col min="1" max="1" width="13.36328125" bestFit="1" customWidth="1"/>
    <col min="2" max="2" width="8.90625" bestFit="1" customWidth="1"/>
    <col min="3" max="3" width="12.90625" bestFit="1" customWidth="1"/>
    <col min="4" max="4" width="18" bestFit="1" customWidth="1"/>
    <col min="5" max="5" width="18" customWidth="1"/>
    <col min="6" max="6" width="14.7265625" bestFit="1" customWidth="1"/>
    <col min="7" max="7" width="17.54296875" bestFit="1" customWidth="1"/>
    <col min="8" max="8" width="8.36328125" bestFit="1" customWidth="1"/>
  </cols>
  <sheetData>
    <row r="1" spans="1:8" x14ac:dyDescent="0.35">
      <c r="A1" s="5" t="s">
        <v>28</v>
      </c>
      <c r="B1" s="5" t="s">
        <v>29</v>
      </c>
      <c r="C1" s="5" t="s">
        <v>14</v>
      </c>
      <c r="D1" s="5" t="s">
        <v>30</v>
      </c>
      <c r="E1" s="5" t="s">
        <v>20</v>
      </c>
      <c r="F1" s="5" t="s">
        <v>31</v>
      </c>
      <c r="G1" s="5" t="s">
        <v>32</v>
      </c>
      <c r="H1" s="5" t="s">
        <v>33</v>
      </c>
    </row>
    <row r="2" spans="1:8" x14ac:dyDescent="0.35">
      <c r="A2">
        <f>Cash_Flow!D11</f>
        <v>0.5</v>
      </c>
      <c r="B2" s="15">
        <f>Cash_Flow!G11</f>
        <v>6.7333333333333314E-2</v>
      </c>
      <c r="C2" s="18">
        <f>Cash_Flow!E11</f>
        <v>400000</v>
      </c>
      <c r="D2" s="15">
        <f>B2+0.0001</f>
        <v>6.7433333333333317E-2</v>
      </c>
      <c r="E2" s="16">
        <f>1/(1+D2/2)^(2*A2)</f>
        <v>0.96738306757170733</v>
      </c>
      <c r="F2">
        <f>C2*E2</f>
        <v>386953.22702868294</v>
      </c>
      <c r="G2" s="17">
        <f>F2-Cash_Flow!I11</f>
        <v>-18.71750533831073</v>
      </c>
      <c r="H2" s="17">
        <f>-G2</f>
        <v>18.71750533831073</v>
      </c>
    </row>
    <row r="3" spans="1:8" x14ac:dyDescent="0.35">
      <c r="A3">
        <f>Cash_Flow!D12</f>
        <v>1</v>
      </c>
      <c r="B3" s="15">
        <f>Cash_Flow!G12</f>
        <v>6.7958333333333315E-2</v>
      </c>
      <c r="C3" s="18">
        <f>Cash_Flow!E12</f>
        <v>400000</v>
      </c>
      <c r="D3" s="15">
        <f t="shared" ref="D3:D21" si="0">B3+0.0001</f>
        <v>6.8058333333333318E-2</v>
      </c>
      <c r="E3" s="16">
        <f t="shared" ref="E3:E21" si="1">1/(1+D3/2)^(2*A3)</f>
        <v>0.93526443958685945</v>
      </c>
      <c r="F3">
        <f t="shared" ref="F3:F21" si="2">C3*E3</f>
        <v>374105.77583474381</v>
      </c>
      <c r="G3">
        <f>F3-Cash_Flow!I12</f>
        <v>-36.182046330010053</v>
      </c>
      <c r="H3" s="17">
        <f t="shared" ref="H3:H21" si="3">-G3</f>
        <v>36.182046330010053</v>
      </c>
    </row>
    <row r="4" spans="1:8" x14ac:dyDescent="0.35">
      <c r="A4">
        <f>Cash_Flow!D13</f>
        <v>1.5</v>
      </c>
      <c r="B4" s="15">
        <f>Cash_Flow!G13</f>
        <v>6.8583333333333316E-2</v>
      </c>
      <c r="C4" s="18">
        <f>Cash_Flow!E13</f>
        <v>400000</v>
      </c>
      <c r="D4" s="15">
        <f t="shared" si="0"/>
        <v>6.8683333333333318E-2</v>
      </c>
      <c r="E4" s="16">
        <f t="shared" si="1"/>
        <v>0.90366599587210783</v>
      </c>
      <c r="F4">
        <f t="shared" si="2"/>
        <v>361466.39834884315</v>
      </c>
      <c r="G4">
        <f>F4-Cash_Flow!I13</f>
        <v>-52.424845580477268</v>
      </c>
      <c r="H4" s="17">
        <f t="shared" si="3"/>
        <v>52.424845580477268</v>
      </c>
    </row>
    <row r="5" spans="1:8" x14ac:dyDescent="0.35">
      <c r="A5">
        <f>Cash_Flow!D14</f>
        <v>2</v>
      </c>
      <c r="B5" s="15">
        <f>Cash_Flow!G14</f>
        <v>6.9208333333333316E-2</v>
      </c>
      <c r="C5" s="18">
        <f>Cash_Flow!E14</f>
        <v>400000</v>
      </c>
      <c r="D5" s="15">
        <f t="shared" si="0"/>
        <v>6.9308333333333319E-2</v>
      </c>
      <c r="E5" s="16">
        <f t="shared" si="1"/>
        <v>0.87260793084906163</v>
      </c>
      <c r="F5">
        <f t="shared" si="2"/>
        <v>349043.17233962467</v>
      </c>
      <c r="G5">
        <f>F5-Cash_Flow!I14</f>
        <v>-67.47865262144478</v>
      </c>
      <c r="H5" s="17">
        <f t="shared" si="3"/>
        <v>67.47865262144478</v>
      </c>
    </row>
    <row r="6" spans="1:8" x14ac:dyDescent="0.35">
      <c r="A6">
        <f>Cash_Flow!D15</f>
        <v>2.5</v>
      </c>
      <c r="B6" s="15">
        <f>Cash_Flow!G15</f>
        <v>6.9833333333333317E-2</v>
      </c>
      <c r="C6" s="18">
        <f>Cash_Flow!E15</f>
        <v>400000</v>
      </c>
      <c r="D6" s="15">
        <f t="shared" si="0"/>
        <v>6.993333333333332E-2</v>
      </c>
      <c r="E6" s="16">
        <f t="shared" si="1"/>
        <v>0.84210876340007579</v>
      </c>
      <c r="F6">
        <f t="shared" si="2"/>
        <v>336843.50536003034</v>
      </c>
      <c r="G6">
        <f>F6-Cash_Flow!I15</f>
        <v>-81.377579874068033</v>
      </c>
      <c r="H6" s="17">
        <f t="shared" si="3"/>
        <v>81.377579874068033</v>
      </c>
    </row>
    <row r="7" spans="1:8" x14ac:dyDescent="0.35">
      <c r="A7">
        <f>Cash_Flow!D16</f>
        <v>3</v>
      </c>
      <c r="B7" s="15">
        <f>Cash_Flow!G16</f>
        <v>7.0458333333333317E-2</v>
      </c>
      <c r="C7" s="18">
        <f>Cash_Flow!E16</f>
        <v>400000</v>
      </c>
      <c r="D7" s="15">
        <f t="shared" si="0"/>
        <v>7.055833333333332E-2</v>
      </c>
      <c r="E7" s="16">
        <f t="shared" si="1"/>
        <v>0.81218535141922155</v>
      </c>
      <c r="F7">
        <f t="shared" si="2"/>
        <v>324874.14056768862</v>
      </c>
      <c r="G7">
        <f>F7-Cash_Flow!I16</f>
        <v>-94.156940572778694</v>
      </c>
      <c r="H7" s="17">
        <f t="shared" si="3"/>
        <v>94.156940572778694</v>
      </c>
    </row>
    <row r="8" spans="1:8" x14ac:dyDescent="0.35">
      <c r="A8">
        <f>Cash_Flow!D17</f>
        <v>3.5</v>
      </c>
      <c r="B8" s="15">
        <f>Cash_Flow!G17</f>
        <v>7.1083333333333318E-2</v>
      </c>
      <c r="C8" s="18">
        <f>Cash_Flow!E17</f>
        <v>400000</v>
      </c>
      <c r="D8" s="15">
        <f t="shared" si="0"/>
        <v>7.1183333333333321E-2</v>
      </c>
      <c r="E8" s="16">
        <f t="shared" si="1"/>
        <v>0.78285291082889874</v>
      </c>
      <c r="F8">
        <f t="shared" si="2"/>
        <v>313141.1643315595</v>
      </c>
      <c r="G8">
        <f>F8-Cash_Flow!I17</f>
        <v>-105.85308924381388</v>
      </c>
      <c r="H8" s="17">
        <f t="shared" si="3"/>
        <v>105.85308924381388</v>
      </c>
    </row>
    <row r="9" spans="1:8" x14ac:dyDescent="0.35">
      <c r="A9">
        <f>Cash_Flow!D18</f>
        <v>4</v>
      </c>
      <c r="B9" s="15">
        <f>Cash_Flow!G18</f>
        <v>7.1708333333333318E-2</v>
      </c>
      <c r="C9" s="18">
        <f>Cash_Flow!E18</f>
        <v>400000</v>
      </c>
      <c r="D9" s="15">
        <f t="shared" si="0"/>
        <v>7.1808333333333321E-2</v>
      </c>
      <c r="E9" s="16">
        <f t="shared" si="1"/>
        <v>0.75412503883170634</v>
      </c>
      <c r="F9">
        <f t="shared" si="2"/>
        <v>301650.01553268253</v>
      </c>
      <c r="G9">
        <f>F9-Cash_Flow!I18</f>
        <v>-116.50326531624887</v>
      </c>
      <c r="H9" s="17">
        <f t="shared" si="3"/>
        <v>116.50326531624887</v>
      </c>
    </row>
    <row r="10" spans="1:8" x14ac:dyDescent="0.35">
      <c r="A10">
        <f>Cash_Flow!D19</f>
        <v>4.5</v>
      </c>
      <c r="B10" s="15">
        <f>Cash_Flow!G19</f>
        <v>7.2333333333333319E-2</v>
      </c>
      <c r="C10" s="18">
        <f>Cash_Flow!E19</f>
        <v>400000</v>
      </c>
      <c r="D10" s="15">
        <f t="shared" si="0"/>
        <v>7.2433333333333322E-2</v>
      </c>
      <c r="E10" s="16">
        <f t="shared" si="1"/>
        <v>0.72601374115792738</v>
      </c>
      <c r="F10">
        <f t="shared" si="2"/>
        <v>290405.49646317097</v>
      </c>
      <c r="G10">
        <f>F10-Cash_Flow!I19</f>
        <v>-126.14544037386077</v>
      </c>
      <c r="H10" s="17">
        <f t="shared" si="3"/>
        <v>126.14544037386077</v>
      </c>
    </row>
    <row r="11" spans="1:8" x14ac:dyDescent="0.35">
      <c r="A11">
        <f>Cash_Flow!D20</f>
        <v>5</v>
      </c>
      <c r="B11" s="15">
        <f>Cash_Flow!G20</f>
        <v>7.2958333333333319E-2</v>
      </c>
      <c r="C11" s="18">
        <f>Cash_Flow!E20</f>
        <v>400000</v>
      </c>
      <c r="D11" s="15">
        <f t="shared" si="0"/>
        <v>7.3058333333333322E-2</v>
      </c>
      <c r="E11" s="16">
        <f t="shared" si="1"/>
        <v>0.69852946306111507</v>
      </c>
      <c r="F11">
        <f t="shared" si="2"/>
        <v>279411.78522444604</v>
      </c>
      <c r="G11">
        <f>F11-Cash_Flow!I20</f>
        <v>-134.81816954159876</v>
      </c>
      <c r="H11" s="17">
        <f t="shared" si="3"/>
        <v>134.81816954159876</v>
      </c>
    </row>
    <row r="12" spans="1:8" x14ac:dyDescent="0.35">
      <c r="A12">
        <f>Cash_Flow!D21</f>
        <v>5.5</v>
      </c>
      <c r="B12" s="15">
        <f>Cash_Flow!G21</f>
        <v>7.358333333333332E-2</v>
      </c>
      <c r="C12" s="18">
        <f>Cash_Flow!E21</f>
        <v>400000</v>
      </c>
      <c r="D12" s="15">
        <f t="shared" si="0"/>
        <v>7.3683333333333323E-2</v>
      </c>
      <c r="E12" s="16">
        <f t="shared" si="1"/>
        <v>0.67168112380796796</v>
      </c>
      <c r="F12">
        <f t="shared" si="2"/>
        <v>268672.44952318718</v>
      </c>
      <c r="G12">
        <f>F12-Cash_Flow!I21</f>
        <v>-142.56044745002873</v>
      </c>
      <c r="H12" s="17">
        <f t="shared" si="3"/>
        <v>142.56044745002873</v>
      </c>
    </row>
    <row r="13" spans="1:8" x14ac:dyDescent="0.35">
      <c r="A13">
        <f>Cash_Flow!D22</f>
        <v>6</v>
      </c>
      <c r="B13" s="15">
        <f>Cash_Flow!G22</f>
        <v>7.4208333333333321E-2</v>
      </c>
      <c r="C13" s="18">
        <f>Cash_Flow!E22</f>
        <v>400000</v>
      </c>
      <c r="D13" s="15">
        <f t="shared" si="0"/>
        <v>7.4308333333333323E-2</v>
      </c>
      <c r="E13" s="16">
        <f t="shared" si="1"/>
        <v>0.64547615440378736</v>
      </c>
      <c r="F13">
        <f t="shared" si="2"/>
        <v>258190.46176151495</v>
      </c>
      <c r="G13">
        <f>F13-Cash_Flow!I22</f>
        <v>-149.41156918153865</v>
      </c>
      <c r="H13" s="17">
        <f t="shared" si="3"/>
        <v>149.41156918153865</v>
      </c>
    </row>
    <row r="14" spans="1:8" x14ac:dyDescent="0.35">
      <c r="A14">
        <f>Cash_Flow!D23</f>
        <v>6.5</v>
      </c>
      <c r="B14" s="15">
        <f>Cash_Flow!G23</f>
        <v>7.4833333333333321E-2</v>
      </c>
      <c r="C14" s="18">
        <f>Cash_Flow!E23</f>
        <v>400000</v>
      </c>
      <c r="D14" s="15">
        <f t="shared" si="0"/>
        <v>7.4933333333333324E-2</v>
      </c>
      <c r="E14" s="16">
        <f t="shared" si="1"/>
        <v>0.61992053829138294</v>
      </c>
      <c r="F14">
        <f t="shared" si="2"/>
        <v>247968.21531655316</v>
      </c>
      <c r="G14">
        <f>F14-Cash_Flow!I23</f>
        <v>-155.4109965574462</v>
      </c>
      <c r="H14" s="17">
        <f t="shared" si="3"/>
        <v>155.4109965574462</v>
      </c>
    </row>
    <row r="15" spans="1:8" x14ac:dyDescent="0.35">
      <c r="A15">
        <f>Cash_Flow!D24</f>
        <v>7</v>
      </c>
      <c r="B15" s="15">
        <f>Cash_Flow!G24</f>
        <v>7.5458333333333322E-2</v>
      </c>
      <c r="C15" s="18">
        <f>Cash_Flow!E24</f>
        <v>400000</v>
      </c>
      <c r="D15" s="15">
        <f t="shared" si="0"/>
        <v>7.5558333333333325E-2</v>
      </c>
      <c r="E15" s="16">
        <f t="shared" si="1"/>
        <v>0.59501885475922833</v>
      </c>
      <c r="F15">
        <f t="shared" si="2"/>
        <v>238007.54190369134</v>
      </c>
      <c r="G15">
        <f>F15-Cash_Flow!I24</f>
        <v>-160.59823008163949</v>
      </c>
      <c r="H15" s="17">
        <f t="shared" si="3"/>
        <v>160.59823008163949</v>
      </c>
    </row>
    <row r="16" spans="1:8" x14ac:dyDescent="0.35">
      <c r="A16">
        <f>Cash_Flow!D25</f>
        <v>7.5</v>
      </c>
      <c r="B16" s="15">
        <f>Cash_Flow!G25</f>
        <v>7.6083333333333322E-2</v>
      </c>
      <c r="C16" s="18">
        <f>Cash_Flow!E25</f>
        <v>400000</v>
      </c>
      <c r="D16" s="15">
        <f t="shared" si="0"/>
        <v>7.6183333333333325E-2</v>
      </c>
      <c r="E16" s="16">
        <f t="shared" si="1"/>
        <v>0.57077432479393597</v>
      </c>
      <c r="F16">
        <f t="shared" si="2"/>
        <v>228309.72991757438</v>
      </c>
      <c r="G16">
        <f>F16-Cash_Flow!I25</f>
        <v>-165.01268683187664</v>
      </c>
      <c r="H16" s="17">
        <f t="shared" si="3"/>
        <v>165.01268683187664</v>
      </c>
    </row>
    <row r="17" spans="1:8" x14ac:dyDescent="0.35">
      <c r="A17">
        <f>Cash_Flow!D26</f>
        <v>8</v>
      </c>
      <c r="B17" s="15">
        <f>Cash_Flow!G26</f>
        <v>7.6708333333333323E-2</v>
      </c>
      <c r="C17" s="18">
        <f>Cash_Flow!E26</f>
        <v>400000</v>
      </c>
      <c r="D17" s="15">
        <f t="shared" si="0"/>
        <v>7.6808333333333326E-2</v>
      </c>
      <c r="E17" s="16">
        <f t="shared" si="1"/>
        <v>0.54718885911276893</v>
      </c>
      <c r="F17">
        <f t="shared" si="2"/>
        <v>218875.54364510757</v>
      </c>
      <c r="G17">
        <f>F17-Cash_Flow!I26</f>
        <v>-168.6935845228727</v>
      </c>
      <c r="H17" s="17">
        <f t="shared" si="3"/>
        <v>168.6935845228727</v>
      </c>
    </row>
    <row r="18" spans="1:8" x14ac:dyDescent="0.35">
      <c r="A18">
        <f>Cash_Flow!D27</f>
        <v>8.5</v>
      </c>
      <c r="B18" s="15">
        <f>Cash_Flow!G27</f>
        <v>7.7333333333333323E-2</v>
      </c>
      <c r="C18" s="18">
        <f>Cash_Flow!E27</f>
        <v>400000</v>
      </c>
      <c r="D18" s="15">
        <f t="shared" si="0"/>
        <v>7.7433333333333326E-2</v>
      </c>
      <c r="E18" s="16">
        <f t="shared" si="1"/>
        <v>0.52426310811365895</v>
      </c>
      <c r="F18">
        <f t="shared" si="2"/>
        <v>209705.24324546359</v>
      </c>
      <c r="G18">
        <f>F18-Cash_Flow!I27</f>
        <v>-171.67983194004046</v>
      </c>
      <c r="H18" s="17">
        <f t="shared" si="3"/>
        <v>171.67983194004046</v>
      </c>
    </row>
    <row r="19" spans="1:8" x14ac:dyDescent="0.35">
      <c r="A19">
        <f>Cash_Flow!D28</f>
        <v>9</v>
      </c>
      <c r="B19" s="15">
        <f>Cash_Flow!G28</f>
        <v>7.7958333333333324E-2</v>
      </c>
      <c r="C19" s="18">
        <f>Cash_Flow!E28</f>
        <v>400000</v>
      </c>
      <c r="D19" s="15">
        <f t="shared" si="0"/>
        <v>7.8058333333333327E-2</v>
      </c>
      <c r="E19" s="16">
        <f t="shared" si="1"/>
        <v>0.50199651348326568</v>
      </c>
      <c r="F19">
        <f t="shared" si="2"/>
        <v>200798.60539330626</v>
      </c>
      <c r="G19">
        <f>F19-Cash_Flow!I28</f>
        <v>-174.00992589982343</v>
      </c>
      <c r="H19" s="17">
        <f t="shared" si="3"/>
        <v>174.00992589982343</v>
      </c>
    </row>
    <row r="20" spans="1:8" x14ac:dyDescent="0.35">
      <c r="A20">
        <f>Cash_Flow!D29</f>
        <v>9.5</v>
      </c>
      <c r="B20" s="15">
        <f>Cash_Flow!G29</f>
        <v>7.8583333333333324E-2</v>
      </c>
      <c r="C20" s="18">
        <f>Cash_Flow!E29</f>
        <v>400000</v>
      </c>
      <c r="D20" s="15">
        <f t="shared" si="0"/>
        <v>7.8683333333333327E-2</v>
      </c>
      <c r="E20" s="16">
        <f t="shared" si="1"/>
        <v>0.48038736120766407</v>
      </c>
      <c r="F20">
        <f t="shared" si="2"/>
        <v>192154.94448306563</v>
      </c>
      <c r="G20">
        <f>F20-Cash_Flow!I29</f>
        <v>-175.7218548648525</v>
      </c>
      <c r="H20" s="17">
        <f t="shared" si="3"/>
        <v>175.7218548648525</v>
      </c>
    </row>
    <row r="21" spans="1:8" x14ac:dyDescent="0.35">
      <c r="A21">
        <f>Cash_Flow!D30</f>
        <v>10</v>
      </c>
      <c r="B21" s="15">
        <f>Cash_Flow!G30</f>
        <v>7.9208333333333325E-2</v>
      </c>
      <c r="C21" s="18">
        <f>Cash_Flow!E30</f>
        <v>10400000</v>
      </c>
      <c r="D21" s="15">
        <f t="shared" si="0"/>
        <v>7.9308333333333328E-2</v>
      </c>
      <c r="E21" s="16">
        <f t="shared" si="1"/>
        <v>0.45943283573547161</v>
      </c>
      <c r="F21">
        <f t="shared" si="2"/>
        <v>4778101.491648905</v>
      </c>
      <c r="G21">
        <f>F21-Cash_Flow!I30</f>
        <v>-4598.1782412370667</v>
      </c>
      <c r="H21" s="17">
        <f t="shared" si="3"/>
        <v>4598.1782412370667</v>
      </c>
    </row>
    <row r="22" spans="1:8" x14ac:dyDescent="0.35">
      <c r="F22" s="19" t="s">
        <v>34</v>
      </c>
      <c r="G22" s="20"/>
      <c r="H22" s="17">
        <f>SUM(H2:H21)</f>
        <v>6894.9349033597973</v>
      </c>
    </row>
  </sheetData>
  <mergeCells count="1"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Cash_Flow</vt:lpstr>
      <vt:lpstr>DV01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2025-05-14T00:26:51Z</dcterms:created>
  <dcterms:modified xsi:type="dcterms:W3CDTF">2025-05-14T01:45:45Z</dcterms:modified>
</cp:coreProperties>
</file>