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Quant Analyst\IIQF study\3rd IIQF CapSton Project\3. Model Nifty option Valatility\"/>
    </mc:Choice>
  </mc:AlternateContent>
  <xr:revisionPtr revIDLastSave="0" documentId="13_ncr:1_{1E32181B-063A-499A-B4BD-1E5683E47466}" xr6:coauthVersionLast="47" xr6:coauthVersionMax="47" xr10:uidLastSave="{00000000-0000-0000-0000-000000000000}"/>
  <bookViews>
    <workbookView xWindow="-110" yWindow="-110" windowWidth="19420" windowHeight="11500" tabRatio="828" firstSheet="11" activeTab="15" xr2:uid="{00000000-000D-0000-FFFF-FFFF00000000}"/>
  </bookViews>
  <sheets>
    <sheet name="Raw_Data_NSE" sheetId="1" r:id="rId1"/>
    <sheet name="CleanDate" sheetId="2" r:id="rId2"/>
    <sheet name="SABR_Model_Notes" sheetId="10" r:id="rId3"/>
    <sheet name="1M_IV_SABR_Model" sheetId="7" r:id="rId4"/>
    <sheet name="3M_IV_SABR_Model" sheetId="8" r:id="rId5"/>
    <sheet name="6M_IV_SABR_Model" sheetId="9" r:id="rId6"/>
    <sheet name="Black-Scholes Model_Notes" sheetId="11" r:id="rId7"/>
    <sheet name="1M_IV_BS_Model" sheetId="12" r:id="rId8"/>
    <sheet name="3M_IV_BS_Model" sheetId="13" r:id="rId9"/>
    <sheet name="6M_IV_BS_Model" sheetId="14" r:id="rId10"/>
    <sheet name=" EWMA_Notes" sheetId="15" r:id="rId11"/>
    <sheet name="EWMA_Model" sheetId="16" r:id="rId12"/>
    <sheet name="ARCH_Notes" sheetId="17" r:id="rId13"/>
    <sheet name="ARCH_Model" sheetId="18" r:id="rId14"/>
    <sheet name="GARCH_Notes" sheetId="19" r:id="rId15"/>
    <sheet name="GARCH_Model" sheetId="20" r:id="rId16"/>
  </sheets>
  <definedNames>
    <definedName name="solver_adj" localSheetId="7" hidden="1">'1M_IV_BS_Model'!$O$2</definedName>
    <definedName name="solver_adj" localSheetId="13" hidden="1">ARCH_Model!$F$7:$F$9</definedName>
    <definedName name="solver_cvg" localSheetId="7" hidden="1">0.0001</definedName>
    <definedName name="solver_cvg" localSheetId="13" hidden="1">0.0001</definedName>
    <definedName name="solver_drv" localSheetId="7" hidden="1">1</definedName>
    <definedName name="solver_drv" localSheetId="13" hidden="1">1</definedName>
    <definedName name="solver_eng" localSheetId="7" hidden="1">1</definedName>
    <definedName name="solver_eng" localSheetId="13" hidden="1">1</definedName>
    <definedName name="solver_est" localSheetId="7" hidden="1">1</definedName>
    <definedName name="solver_est" localSheetId="13" hidden="1">1</definedName>
    <definedName name="solver_itr" localSheetId="7" hidden="1">2147483647</definedName>
    <definedName name="solver_itr" localSheetId="13" hidden="1">2147483647</definedName>
    <definedName name="solver_lhs1" localSheetId="7" hidden="1">'1M_IV_BS_Model'!$O$2</definedName>
    <definedName name="solver_lhs1" localSheetId="13" hidden="1">ARCH_Model!$F$8</definedName>
    <definedName name="solver_lhs2" localSheetId="7" hidden="1">'1M_IV_BS_Model'!$O$2</definedName>
    <definedName name="solver_lhs2" localSheetId="13" hidden="1">ARCH_Model!$F$9</definedName>
    <definedName name="solver_lhs3" localSheetId="13" hidden="1">ARCH_Model!$F$9</definedName>
    <definedName name="solver_lhs4" localSheetId="13" hidden="1">ARCH_Model!$F$9</definedName>
    <definedName name="solver_mip" localSheetId="7" hidden="1">2147483647</definedName>
    <definedName name="solver_mip" localSheetId="13" hidden="1">2147483647</definedName>
    <definedName name="solver_mni" localSheetId="7" hidden="1">30</definedName>
    <definedName name="solver_mni" localSheetId="13" hidden="1">30</definedName>
    <definedName name="solver_mrt" localSheetId="7" hidden="1">0.075</definedName>
    <definedName name="solver_mrt" localSheetId="13" hidden="1">0.075</definedName>
    <definedName name="solver_msl" localSheetId="7" hidden="1">2</definedName>
    <definedName name="solver_msl" localSheetId="13" hidden="1">2</definedName>
    <definedName name="solver_neg" localSheetId="7" hidden="1">1</definedName>
    <definedName name="solver_neg" localSheetId="13" hidden="1">1</definedName>
    <definedName name="solver_nod" localSheetId="7" hidden="1">2147483647</definedName>
    <definedName name="solver_nod" localSheetId="13" hidden="1">2147483647</definedName>
    <definedName name="solver_num" localSheetId="7" hidden="1">2</definedName>
    <definedName name="solver_num" localSheetId="13" hidden="1">3</definedName>
    <definedName name="solver_nwt" localSheetId="7" hidden="1">1</definedName>
    <definedName name="solver_nwt" localSheetId="13" hidden="1">1</definedName>
    <definedName name="solver_opt" localSheetId="7" hidden="1">'1M_IV_BS_Model'!$I$2</definedName>
    <definedName name="solver_opt" localSheetId="13" hidden="1">ARCH_Model!$F$10</definedName>
    <definedName name="solver_pre" localSheetId="7" hidden="1">0.000001</definedName>
    <definedName name="solver_pre" localSheetId="13" hidden="1">0.000001</definedName>
    <definedName name="solver_rbv" localSheetId="7" hidden="1">1</definedName>
    <definedName name="solver_rbv" localSheetId="13" hidden="1">1</definedName>
    <definedName name="solver_rel1" localSheetId="7" hidden="1">1</definedName>
    <definedName name="solver_rel1" localSheetId="13" hidden="1">3</definedName>
    <definedName name="solver_rel2" localSheetId="7" hidden="1">3</definedName>
    <definedName name="solver_rel2" localSheetId="13" hidden="1">1</definedName>
    <definedName name="solver_rel3" localSheetId="13" hidden="1">3</definedName>
    <definedName name="solver_rel4" localSheetId="13" hidden="1">3</definedName>
    <definedName name="solver_rhs1" localSheetId="7" hidden="1">2</definedName>
    <definedName name="solver_rhs1" localSheetId="13" hidden="1">0</definedName>
    <definedName name="solver_rhs2" localSheetId="7" hidden="1">0.01</definedName>
    <definedName name="solver_rhs2" localSheetId="13" hidden="1">0.9999999</definedName>
    <definedName name="solver_rhs3" localSheetId="13" hidden="1">0.000001</definedName>
    <definedName name="solver_rhs4" localSheetId="13" hidden="1">0.000001</definedName>
    <definedName name="solver_rlx" localSheetId="7" hidden="1">2</definedName>
    <definedName name="solver_rlx" localSheetId="13" hidden="1">2</definedName>
    <definedName name="solver_rsd" localSheetId="7" hidden="1">0</definedName>
    <definedName name="solver_rsd" localSheetId="13" hidden="1">0</definedName>
    <definedName name="solver_scl" localSheetId="7" hidden="1">1</definedName>
    <definedName name="solver_scl" localSheetId="13" hidden="1">1</definedName>
    <definedName name="solver_sho" localSheetId="7" hidden="1">2</definedName>
    <definedName name="solver_sho" localSheetId="13" hidden="1">2</definedName>
    <definedName name="solver_ssz" localSheetId="7" hidden="1">100</definedName>
    <definedName name="solver_ssz" localSheetId="13" hidden="1">100</definedName>
    <definedName name="solver_tim" localSheetId="7" hidden="1">2147483647</definedName>
    <definedName name="solver_tim" localSheetId="13" hidden="1">2147483647</definedName>
    <definedName name="solver_tol" localSheetId="7" hidden="1">0.01</definedName>
    <definedName name="solver_tol" localSheetId="13" hidden="1">0.01</definedName>
    <definedName name="solver_typ" localSheetId="7" hidden="1">1</definedName>
    <definedName name="solver_typ" localSheetId="13" hidden="1">1</definedName>
    <definedName name="solver_val" localSheetId="7" hidden="1">0</definedName>
    <definedName name="solver_val" localSheetId="13" hidden="1">0</definedName>
    <definedName name="solver_ver" localSheetId="7" hidden="1">3</definedName>
    <definedName name="solver_ver" localSheetId="1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0" l="1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3" i="20"/>
  <c r="G4" i="20"/>
  <c r="C83" i="20"/>
  <c r="E83" i="20" s="1"/>
  <c r="C82" i="20"/>
  <c r="C81" i="20"/>
  <c r="C80" i="20"/>
  <c r="C79" i="20"/>
  <c r="E79" i="20" s="1"/>
  <c r="C78" i="20"/>
  <c r="E78" i="20" s="1"/>
  <c r="C77" i="20"/>
  <c r="E77" i="20" s="1"/>
  <c r="C76" i="20"/>
  <c r="E76" i="20" s="1"/>
  <c r="C75" i="20"/>
  <c r="C74" i="20"/>
  <c r="C73" i="20"/>
  <c r="E73" i="20" s="1"/>
  <c r="C72" i="20"/>
  <c r="E72" i="20" s="1"/>
  <c r="C71" i="20"/>
  <c r="E71" i="20" s="1"/>
  <c r="C70" i="20"/>
  <c r="C69" i="20"/>
  <c r="C68" i="20"/>
  <c r="C67" i="20"/>
  <c r="E67" i="20" s="1"/>
  <c r="C66" i="20"/>
  <c r="E66" i="20" s="1"/>
  <c r="C65" i="20"/>
  <c r="E65" i="20" s="1"/>
  <c r="E64" i="20"/>
  <c r="C64" i="20"/>
  <c r="C63" i="20"/>
  <c r="C62" i="20"/>
  <c r="C61" i="20"/>
  <c r="E61" i="20" s="1"/>
  <c r="C60" i="20"/>
  <c r="E60" i="20" s="1"/>
  <c r="C59" i="20"/>
  <c r="C58" i="20"/>
  <c r="C57" i="20"/>
  <c r="C56" i="20"/>
  <c r="C55" i="20"/>
  <c r="E55" i="20" s="1"/>
  <c r="C54" i="20"/>
  <c r="E54" i="20" s="1"/>
  <c r="C53" i="20"/>
  <c r="E53" i="20" s="1"/>
  <c r="E52" i="20"/>
  <c r="C52" i="20"/>
  <c r="C51" i="20"/>
  <c r="C50" i="20"/>
  <c r="E50" i="20" s="1"/>
  <c r="C49" i="20"/>
  <c r="E49" i="20" s="1"/>
  <c r="C48" i="20"/>
  <c r="C47" i="20"/>
  <c r="C46" i="20"/>
  <c r="C45" i="20"/>
  <c r="C44" i="20"/>
  <c r="E44" i="20" s="1"/>
  <c r="C43" i="20"/>
  <c r="E43" i="20" s="1"/>
  <c r="C42" i="20"/>
  <c r="E42" i="20" s="1"/>
  <c r="C41" i="20"/>
  <c r="E41" i="20" s="1"/>
  <c r="E40" i="20"/>
  <c r="C40" i="20"/>
  <c r="C39" i="20"/>
  <c r="C38" i="20"/>
  <c r="E38" i="20" s="1"/>
  <c r="C37" i="20"/>
  <c r="C36" i="20"/>
  <c r="C35" i="20"/>
  <c r="C34" i="20"/>
  <c r="C33" i="20"/>
  <c r="C32" i="20"/>
  <c r="E32" i="20" s="1"/>
  <c r="C31" i="20"/>
  <c r="E31" i="20" s="1"/>
  <c r="C30" i="20"/>
  <c r="E30" i="20" s="1"/>
  <c r="C29" i="20"/>
  <c r="E29" i="20" s="1"/>
  <c r="E28" i="20"/>
  <c r="C28" i="20"/>
  <c r="C27" i="20"/>
  <c r="E27" i="20" s="1"/>
  <c r="C26" i="20"/>
  <c r="C25" i="20"/>
  <c r="C24" i="20"/>
  <c r="C23" i="20"/>
  <c r="C22" i="20"/>
  <c r="C21" i="20"/>
  <c r="E21" i="20" s="1"/>
  <c r="C20" i="20"/>
  <c r="E20" i="20" s="1"/>
  <c r="C19" i="20"/>
  <c r="E19" i="20" s="1"/>
  <c r="C18" i="20"/>
  <c r="E18" i="20" s="1"/>
  <c r="C17" i="20"/>
  <c r="E17" i="20" s="1"/>
  <c r="E16" i="20"/>
  <c r="C16" i="20"/>
  <c r="C15" i="20"/>
  <c r="C14" i="20"/>
  <c r="C13" i="20"/>
  <c r="C12" i="20"/>
  <c r="C11" i="20"/>
  <c r="C10" i="20"/>
  <c r="C9" i="20"/>
  <c r="E9" i="20" s="1"/>
  <c r="C8" i="20"/>
  <c r="E8" i="20" s="1"/>
  <c r="C7" i="20"/>
  <c r="E7" i="20" s="1"/>
  <c r="C6" i="20"/>
  <c r="E6" i="20" s="1"/>
  <c r="C5" i="20"/>
  <c r="E5" i="20" s="1"/>
  <c r="E4" i="20"/>
  <c r="C4" i="20"/>
  <c r="C3" i="20"/>
  <c r="E3" i="20" s="1"/>
  <c r="G83" i="18"/>
  <c r="D4" i="18"/>
  <c r="E4" i="18" s="1"/>
  <c r="G3" i="18" s="1"/>
  <c r="D5" i="18"/>
  <c r="E5" i="18" s="1"/>
  <c r="G4" i="18" s="1"/>
  <c r="D6" i="18"/>
  <c r="E6" i="18" s="1"/>
  <c r="G5" i="18" s="1"/>
  <c r="D7" i="18"/>
  <c r="E7" i="18" s="1"/>
  <c r="G6" i="18" s="1"/>
  <c r="D8" i="18"/>
  <c r="E8" i="18" s="1"/>
  <c r="G7" i="18" s="1"/>
  <c r="D9" i="18"/>
  <c r="E9" i="18" s="1"/>
  <c r="G8" i="18" s="1"/>
  <c r="D10" i="18"/>
  <c r="E10" i="18" s="1"/>
  <c r="G9" i="18" s="1"/>
  <c r="D11" i="18"/>
  <c r="E11" i="18" s="1"/>
  <c r="G10" i="18" s="1"/>
  <c r="D12" i="18"/>
  <c r="E12" i="18" s="1"/>
  <c r="G11" i="18" s="1"/>
  <c r="D13" i="18"/>
  <c r="E13" i="18" s="1"/>
  <c r="G12" i="18" s="1"/>
  <c r="D14" i="18"/>
  <c r="E14" i="18" s="1"/>
  <c r="G13" i="18" s="1"/>
  <c r="D15" i="18"/>
  <c r="E15" i="18" s="1"/>
  <c r="G14" i="18" s="1"/>
  <c r="D16" i="18"/>
  <c r="E16" i="18" s="1"/>
  <c r="G15" i="18" s="1"/>
  <c r="D17" i="18"/>
  <c r="E17" i="18" s="1"/>
  <c r="G16" i="18" s="1"/>
  <c r="D18" i="18"/>
  <c r="E18" i="18" s="1"/>
  <c r="G17" i="18" s="1"/>
  <c r="D19" i="18"/>
  <c r="E19" i="18" s="1"/>
  <c r="G18" i="18" s="1"/>
  <c r="D20" i="18"/>
  <c r="E20" i="18" s="1"/>
  <c r="G19" i="18" s="1"/>
  <c r="D21" i="18"/>
  <c r="E21" i="18" s="1"/>
  <c r="G20" i="18" s="1"/>
  <c r="D22" i="18"/>
  <c r="E22" i="18" s="1"/>
  <c r="G21" i="18" s="1"/>
  <c r="D23" i="18"/>
  <c r="E23" i="18" s="1"/>
  <c r="G22" i="18" s="1"/>
  <c r="D24" i="18"/>
  <c r="E24" i="18" s="1"/>
  <c r="G23" i="18" s="1"/>
  <c r="D25" i="18"/>
  <c r="E25" i="18" s="1"/>
  <c r="G24" i="18" s="1"/>
  <c r="D26" i="18"/>
  <c r="E26" i="18" s="1"/>
  <c r="G25" i="18" s="1"/>
  <c r="D27" i="18"/>
  <c r="E27" i="18" s="1"/>
  <c r="G26" i="18" s="1"/>
  <c r="D28" i="18"/>
  <c r="E28" i="18" s="1"/>
  <c r="G27" i="18" s="1"/>
  <c r="D29" i="18"/>
  <c r="E29" i="18" s="1"/>
  <c r="G28" i="18" s="1"/>
  <c r="D30" i="18"/>
  <c r="E30" i="18" s="1"/>
  <c r="G29" i="18" s="1"/>
  <c r="D31" i="18"/>
  <c r="E31" i="18" s="1"/>
  <c r="G30" i="18" s="1"/>
  <c r="D32" i="18"/>
  <c r="E32" i="18" s="1"/>
  <c r="G31" i="18" s="1"/>
  <c r="D33" i="18"/>
  <c r="E33" i="18" s="1"/>
  <c r="G32" i="18" s="1"/>
  <c r="D34" i="18"/>
  <c r="E34" i="18" s="1"/>
  <c r="G33" i="18" s="1"/>
  <c r="D35" i="18"/>
  <c r="E35" i="18" s="1"/>
  <c r="G34" i="18" s="1"/>
  <c r="D36" i="18"/>
  <c r="E36" i="18" s="1"/>
  <c r="G35" i="18" s="1"/>
  <c r="D37" i="18"/>
  <c r="E37" i="18" s="1"/>
  <c r="G36" i="18" s="1"/>
  <c r="D38" i="18"/>
  <c r="E38" i="18" s="1"/>
  <c r="G37" i="18" s="1"/>
  <c r="D39" i="18"/>
  <c r="E39" i="18" s="1"/>
  <c r="G38" i="18" s="1"/>
  <c r="D40" i="18"/>
  <c r="E40" i="18" s="1"/>
  <c r="G39" i="18" s="1"/>
  <c r="D41" i="18"/>
  <c r="E41" i="18" s="1"/>
  <c r="G40" i="18" s="1"/>
  <c r="D42" i="18"/>
  <c r="E42" i="18" s="1"/>
  <c r="G41" i="18" s="1"/>
  <c r="D43" i="18"/>
  <c r="E43" i="18" s="1"/>
  <c r="G42" i="18" s="1"/>
  <c r="D44" i="18"/>
  <c r="E44" i="18" s="1"/>
  <c r="G43" i="18" s="1"/>
  <c r="D45" i="18"/>
  <c r="E45" i="18" s="1"/>
  <c r="G44" i="18" s="1"/>
  <c r="D46" i="18"/>
  <c r="E46" i="18" s="1"/>
  <c r="G45" i="18" s="1"/>
  <c r="D47" i="18"/>
  <c r="E47" i="18" s="1"/>
  <c r="G46" i="18" s="1"/>
  <c r="D48" i="18"/>
  <c r="E48" i="18" s="1"/>
  <c r="G47" i="18" s="1"/>
  <c r="D49" i="18"/>
  <c r="E49" i="18" s="1"/>
  <c r="G48" i="18" s="1"/>
  <c r="D50" i="18"/>
  <c r="E50" i="18" s="1"/>
  <c r="G49" i="18" s="1"/>
  <c r="D51" i="18"/>
  <c r="E51" i="18" s="1"/>
  <c r="G50" i="18" s="1"/>
  <c r="D52" i="18"/>
  <c r="E52" i="18" s="1"/>
  <c r="G51" i="18" s="1"/>
  <c r="D53" i="18"/>
  <c r="E53" i="18" s="1"/>
  <c r="G52" i="18" s="1"/>
  <c r="D54" i="18"/>
  <c r="E54" i="18" s="1"/>
  <c r="G53" i="18" s="1"/>
  <c r="D55" i="18"/>
  <c r="E55" i="18" s="1"/>
  <c r="G54" i="18" s="1"/>
  <c r="D56" i="18"/>
  <c r="E56" i="18" s="1"/>
  <c r="G55" i="18" s="1"/>
  <c r="D57" i="18"/>
  <c r="E57" i="18" s="1"/>
  <c r="G56" i="18" s="1"/>
  <c r="D58" i="18"/>
  <c r="E58" i="18" s="1"/>
  <c r="G57" i="18" s="1"/>
  <c r="D59" i="18"/>
  <c r="E59" i="18" s="1"/>
  <c r="G58" i="18" s="1"/>
  <c r="D60" i="18"/>
  <c r="E60" i="18" s="1"/>
  <c r="G59" i="18" s="1"/>
  <c r="D61" i="18"/>
  <c r="E61" i="18" s="1"/>
  <c r="G60" i="18" s="1"/>
  <c r="D62" i="18"/>
  <c r="E62" i="18" s="1"/>
  <c r="G61" i="18" s="1"/>
  <c r="D63" i="18"/>
  <c r="E63" i="18" s="1"/>
  <c r="G62" i="18" s="1"/>
  <c r="D64" i="18"/>
  <c r="E64" i="18" s="1"/>
  <c r="G63" i="18" s="1"/>
  <c r="D65" i="18"/>
  <c r="E65" i="18" s="1"/>
  <c r="G64" i="18" s="1"/>
  <c r="D66" i="18"/>
  <c r="E66" i="18" s="1"/>
  <c r="G65" i="18" s="1"/>
  <c r="D67" i="18"/>
  <c r="E67" i="18" s="1"/>
  <c r="G66" i="18" s="1"/>
  <c r="D68" i="18"/>
  <c r="E68" i="18" s="1"/>
  <c r="G67" i="18" s="1"/>
  <c r="D69" i="18"/>
  <c r="E69" i="18" s="1"/>
  <c r="G68" i="18" s="1"/>
  <c r="D70" i="18"/>
  <c r="E70" i="18" s="1"/>
  <c r="G69" i="18" s="1"/>
  <c r="D71" i="18"/>
  <c r="E71" i="18" s="1"/>
  <c r="G70" i="18" s="1"/>
  <c r="D72" i="18"/>
  <c r="E72" i="18" s="1"/>
  <c r="G71" i="18" s="1"/>
  <c r="D73" i="18"/>
  <c r="E73" i="18" s="1"/>
  <c r="G72" i="18" s="1"/>
  <c r="D74" i="18"/>
  <c r="E74" i="18" s="1"/>
  <c r="G73" i="18" s="1"/>
  <c r="D75" i="18"/>
  <c r="E75" i="18" s="1"/>
  <c r="G74" i="18" s="1"/>
  <c r="D76" i="18"/>
  <c r="E76" i="18" s="1"/>
  <c r="G75" i="18" s="1"/>
  <c r="D77" i="18"/>
  <c r="E77" i="18" s="1"/>
  <c r="G76" i="18" s="1"/>
  <c r="D78" i="18"/>
  <c r="E78" i="18" s="1"/>
  <c r="G77" i="18" s="1"/>
  <c r="D79" i="18"/>
  <c r="E79" i="18" s="1"/>
  <c r="G78" i="18" s="1"/>
  <c r="D80" i="18"/>
  <c r="E80" i="18" s="1"/>
  <c r="G79" i="18" s="1"/>
  <c r="D81" i="18"/>
  <c r="E81" i="18" s="1"/>
  <c r="G80" i="18" s="1"/>
  <c r="D82" i="18"/>
  <c r="E82" i="18" s="1"/>
  <c r="G81" i="18" s="1"/>
  <c r="D83" i="18"/>
  <c r="E83" i="18" s="1"/>
  <c r="G82" i="18" s="1"/>
  <c r="D3" i="18"/>
  <c r="E3" i="18" s="1"/>
  <c r="G2" i="18" s="1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13" i="16"/>
  <c r="L12" i="16"/>
  <c r="M12" i="16" s="1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13" i="16"/>
  <c r="J12" i="16"/>
  <c r="H15" i="16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14" i="16"/>
  <c r="H12" i="16"/>
  <c r="H13" i="16" s="1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12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13" i="16"/>
  <c r="E12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3" i="16"/>
  <c r="N7" i="12"/>
  <c r="N8" i="12"/>
  <c r="N9" i="12"/>
  <c r="N10" i="12"/>
  <c r="N11" i="12"/>
  <c r="N3" i="12"/>
  <c r="N4" i="12"/>
  <c r="N5" i="12"/>
  <c r="N6" i="12"/>
  <c r="N2" i="12"/>
  <c r="L3" i="12"/>
  <c r="L4" i="12"/>
  <c r="L5" i="12"/>
  <c r="L6" i="12"/>
  <c r="L7" i="12"/>
  <c r="L8" i="12"/>
  <c r="L9" i="12"/>
  <c r="L10" i="12"/>
  <c r="L11" i="12"/>
  <c r="L2" i="12"/>
  <c r="L11" i="14"/>
  <c r="M11" i="14" s="1"/>
  <c r="N11" i="14" s="1"/>
  <c r="L3" i="14"/>
  <c r="L2" i="14"/>
  <c r="K3" i="12"/>
  <c r="K4" i="12"/>
  <c r="K5" i="12"/>
  <c r="K6" i="12"/>
  <c r="K7" i="12"/>
  <c r="K8" i="12"/>
  <c r="K9" i="12"/>
  <c r="K10" i="12"/>
  <c r="K11" i="12"/>
  <c r="K2" i="12"/>
  <c r="H2" i="12"/>
  <c r="H4" i="13"/>
  <c r="D11" i="12"/>
  <c r="D10" i="12"/>
  <c r="M10" i="12" s="1"/>
  <c r="D9" i="12"/>
  <c r="D8" i="12"/>
  <c r="D7" i="12"/>
  <c r="D6" i="12"/>
  <c r="D5" i="12"/>
  <c r="D4" i="12"/>
  <c r="D3" i="12"/>
  <c r="D2" i="12"/>
  <c r="D2" i="13"/>
  <c r="L2" i="13" s="1"/>
  <c r="D3" i="13"/>
  <c r="L3" i="13" s="1"/>
  <c r="M3" i="13" s="1"/>
  <c r="D4" i="13"/>
  <c r="L4" i="13" s="1"/>
  <c r="D5" i="13"/>
  <c r="L5" i="13" s="1"/>
  <c r="M5" i="13" s="1"/>
  <c r="N5" i="13" s="1"/>
  <c r="D6" i="13"/>
  <c r="L6" i="13" s="1"/>
  <c r="D7" i="13"/>
  <c r="L7" i="13" s="1"/>
  <c r="D8" i="13"/>
  <c r="L8" i="13" s="1"/>
  <c r="D9" i="13"/>
  <c r="L9" i="13" s="1"/>
  <c r="D10" i="13"/>
  <c r="L10" i="13" s="1"/>
  <c r="D11" i="13"/>
  <c r="L11" i="13" s="1"/>
  <c r="D3" i="14"/>
  <c r="D4" i="14"/>
  <c r="L4" i="14" s="1"/>
  <c r="D5" i="14"/>
  <c r="L5" i="14" s="1"/>
  <c r="D6" i="14"/>
  <c r="L6" i="14" s="1"/>
  <c r="D7" i="14"/>
  <c r="L7" i="14" s="1"/>
  <c r="M7" i="14" s="1"/>
  <c r="N7" i="14" s="1"/>
  <c r="D8" i="14"/>
  <c r="L8" i="14" s="1"/>
  <c r="M8" i="14" s="1"/>
  <c r="N8" i="14" s="1"/>
  <c r="D9" i="14"/>
  <c r="L9" i="14" s="1"/>
  <c r="M9" i="14" s="1"/>
  <c r="N9" i="14" s="1"/>
  <c r="D10" i="14"/>
  <c r="L10" i="14" s="1"/>
  <c r="M10" i="14" s="1"/>
  <c r="N10" i="14" s="1"/>
  <c r="D11" i="14"/>
  <c r="D2" i="14"/>
  <c r="P20" i="7"/>
  <c r="Q20" i="7"/>
  <c r="R20" i="7"/>
  <c r="P21" i="7"/>
  <c r="Q21" i="7"/>
  <c r="R21" i="7"/>
  <c r="Q19" i="7"/>
  <c r="R19" i="7" s="1"/>
  <c r="P19" i="7"/>
  <c r="Q18" i="7"/>
  <c r="R18" i="7" s="1"/>
  <c r="P18" i="7"/>
  <c r="Q17" i="7"/>
  <c r="R17" i="7" s="1"/>
  <c r="P17" i="7"/>
  <c r="Q16" i="7"/>
  <c r="R16" i="7" s="1"/>
  <c r="P16" i="7"/>
  <c r="Q15" i="7"/>
  <c r="R15" i="7" s="1"/>
  <c r="P15" i="7"/>
  <c r="Q14" i="7"/>
  <c r="R14" i="7" s="1"/>
  <c r="P14" i="7"/>
  <c r="Q13" i="7"/>
  <c r="R13" i="7" s="1"/>
  <c r="P13" i="7"/>
  <c r="Q12" i="7"/>
  <c r="R12" i="7" s="1"/>
  <c r="P12" i="7"/>
  <c r="Q11" i="7"/>
  <c r="R11" i="7" s="1"/>
  <c r="P11" i="7"/>
  <c r="Q10" i="7"/>
  <c r="R10" i="7" s="1"/>
  <c r="P10" i="7"/>
  <c r="Q9" i="7"/>
  <c r="R9" i="7" s="1"/>
  <c r="P9" i="7"/>
  <c r="Q8" i="7"/>
  <c r="R8" i="7" s="1"/>
  <c r="P8" i="7"/>
  <c r="Q7" i="7"/>
  <c r="R7" i="7" s="1"/>
  <c r="P7" i="7"/>
  <c r="Q6" i="7"/>
  <c r="R6" i="7" s="1"/>
  <c r="P6" i="7"/>
  <c r="Q5" i="7"/>
  <c r="R5" i="7" s="1"/>
  <c r="P5" i="7"/>
  <c r="Q4" i="7"/>
  <c r="R4" i="7" s="1"/>
  <c r="P4" i="7"/>
  <c r="Q3" i="7"/>
  <c r="R3" i="7" s="1"/>
  <c r="P3" i="7"/>
  <c r="Q2" i="7"/>
  <c r="R2" i="7" s="1"/>
  <c r="P2" i="7"/>
  <c r="L20" i="7"/>
  <c r="L21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S19" i="7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" i="9"/>
  <c r="S6" i="9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" i="8"/>
  <c r="S9" i="8" s="1"/>
  <c r="P3" i="8"/>
  <c r="Q3" i="8"/>
  <c r="R3" i="8"/>
  <c r="P4" i="8"/>
  <c r="Q4" i="8"/>
  <c r="R4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R2" i="8"/>
  <c r="R2" i="9"/>
  <c r="Q2" i="8"/>
  <c r="Q2" i="9"/>
  <c r="P2" i="8"/>
  <c r="P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K82" i="1"/>
  <c r="K83" i="1"/>
  <c r="K84" i="1"/>
  <c r="K85" i="1"/>
  <c r="K86" i="1"/>
  <c r="K87" i="1"/>
  <c r="K88" i="1"/>
  <c r="K89" i="1"/>
  <c r="K90" i="1"/>
  <c r="K91" i="1"/>
  <c r="K92" i="1"/>
  <c r="K93" i="1"/>
  <c r="K81" i="1"/>
  <c r="Q82" i="1"/>
  <c r="Q83" i="1"/>
  <c r="Q84" i="1"/>
  <c r="Q85" i="1"/>
  <c r="Q86" i="1"/>
  <c r="Q87" i="1"/>
  <c r="Q88" i="1"/>
  <c r="Q89" i="1"/>
  <c r="Q90" i="1"/>
  <c r="Q91" i="1"/>
  <c r="Q92" i="1"/>
  <c r="Q93" i="1"/>
  <c r="Q81" i="1"/>
  <c r="Q63" i="1"/>
  <c r="Q64" i="1"/>
  <c r="Q65" i="1"/>
  <c r="Q66" i="1"/>
  <c r="Q67" i="1"/>
  <c r="Q68" i="1"/>
  <c r="Q69" i="1"/>
  <c r="Q70" i="1"/>
  <c r="Q71" i="1"/>
  <c r="Q72" i="1"/>
  <c r="Q73" i="1"/>
  <c r="Q62" i="1"/>
  <c r="K63" i="1"/>
  <c r="K64" i="1"/>
  <c r="K65" i="1"/>
  <c r="K66" i="1"/>
  <c r="K67" i="1"/>
  <c r="K68" i="1"/>
  <c r="K69" i="1"/>
  <c r="K70" i="1"/>
  <c r="K71" i="1"/>
  <c r="K72" i="1"/>
  <c r="K73" i="1"/>
  <c r="K6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13" i="1"/>
  <c r="K14" i="1"/>
  <c r="K6" i="1"/>
  <c r="K7" i="1"/>
  <c r="K8" i="1"/>
  <c r="K9" i="1"/>
  <c r="K10" i="1"/>
  <c r="K11" i="1"/>
  <c r="K12" i="1"/>
  <c r="K5" i="1"/>
  <c r="E39" i="20" l="1"/>
  <c r="E51" i="20"/>
  <c r="E62" i="20"/>
  <c r="E63" i="20"/>
  <c r="E74" i="20"/>
  <c r="E75" i="20"/>
  <c r="E10" i="20"/>
  <c r="E11" i="20"/>
  <c r="E22" i="20"/>
  <c r="E33" i="20"/>
  <c r="E12" i="20"/>
  <c r="E23" i="20"/>
  <c r="E34" i="20"/>
  <c r="E45" i="20"/>
  <c r="E56" i="20"/>
  <c r="E13" i="20"/>
  <c r="E24" i="20"/>
  <c r="E35" i="20"/>
  <c r="E46" i="20"/>
  <c r="E57" i="20"/>
  <c r="E68" i="20"/>
  <c r="E80" i="20"/>
  <c r="E14" i="20"/>
  <c r="E25" i="20"/>
  <c r="E36" i="20"/>
  <c r="E47" i="20"/>
  <c r="E58" i="20"/>
  <c r="E69" i="20"/>
  <c r="E81" i="20"/>
  <c r="E15" i="20"/>
  <c r="E26" i="20"/>
  <c r="E37" i="20"/>
  <c r="E48" i="20"/>
  <c r="E59" i="20"/>
  <c r="E70" i="20"/>
  <c r="E82" i="20"/>
  <c r="F10" i="18"/>
  <c r="K12" i="16"/>
  <c r="I13" i="16"/>
  <c r="I12" i="16"/>
  <c r="M11" i="13"/>
  <c r="N11" i="13" s="1"/>
  <c r="M10" i="13"/>
  <c r="N10" i="13" s="1"/>
  <c r="M9" i="13"/>
  <c r="N9" i="13" s="1"/>
  <c r="M7" i="13"/>
  <c r="N7" i="13" s="1"/>
  <c r="M8" i="13"/>
  <c r="N8" i="13" s="1"/>
  <c r="M6" i="13"/>
  <c r="N6" i="13"/>
  <c r="M4" i="13"/>
  <c r="N4" i="13" s="1"/>
  <c r="N3" i="13"/>
  <c r="M2" i="13"/>
  <c r="N2" i="13" s="1"/>
  <c r="M4" i="14"/>
  <c r="N4" i="14" s="1"/>
  <c r="M5" i="14"/>
  <c r="N5" i="14" s="1"/>
  <c r="M2" i="14"/>
  <c r="N2" i="14" s="1"/>
  <c r="M6" i="14"/>
  <c r="N6" i="14" s="1"/>
  <c r="M3" i="14"/>
  <c r="N3" i="14" s="1"/>
  <c r="M6" i="12"/>
  <c r="M5" i="12"/>
  <c r="M3" i="12"/>
  <c r="M4" i="12"/>
  <c r="M9" i="12"/>
  <c r="M7" i="12"/>
  <c r="M11" i="12"/>
  <c r="M2" i="12"/>
  <c r="M8" i="12"/>
  <c r="S21" i="7"/>
  <c r="N21" i="7" s="1"/>
  <c r="O21" i="7" s="1"/>
  <c r="S20" i="7"/>
  <c r="N20" i="7" s="1"/>
  <c r="O20" i="7" s="1"/>
  <c r="N19" i="7"/>
  <c r="O19" i="7" s="1"/>
  <c r="S2" i="7"/>
  <c r="N2" i="7" s="1"/>
  <c r="O2" i="7" s="1"/>
  <c r="S4" i="7"/>
  <c r="N4" i="7" s="1"/>
  <c r="O4" i="7" s="1"/>
  <c r="S6" i="7"/>
  <c r="N6" i="7" s="1"/>
  <c r="O6" i="7" s="1"/>
  <c r="S8" i="7"/>
  <c r="N8" i="7" s="1"/>
  <c r="O8" i="7" s="1"/>
  <c r="S10" i="7"/>
  <c r="N10" i="7" s="1"/>
  <c r="O10" i="7" s="1"/>
  <c r="S12" i="7"/>
  <c r="N12" i="7" s="1"/>
  <c r="O12" i="7" s="1"/>
  <c r="S14" i="7"/>
  <c r="N14" i="7" s="1"/>
  <c r="O14" i="7" s="1"/>
  <c r="S16" i="7"/>
  <c r="N16" i="7" s="1"/>
  <c r="O16" i="7" s="1"/>
  <c r="S18" i="7"/>
  <c r="N18" i="7" s="1"/>
  <c r="O18" i="7" s="1"/>
  <c r="S3" i="7"/>
  <c r="N3" i="7" s="1"/>
  <c r="O3" i="7" s="1"/>
  <c r="S5" i="7"/>
  <c r="N5" i="7" s="1"/>
  <c r="O5" i="7" s="1"/>
  <c r="S7" i="7"/>
  <c r="N7" i="7" s="1"/>
  <c r="O7" i="7" s="1"/>
  <c r="S9" i="7"/>
  <c r="N9" i="7" s="1"/>
  <c r="O9" i="7" s="1"/>
  <c r="S11" i="7"/>
  <c r="N11" i="7" s="1"/>
  <c r="O11" i="7" s="1"/>
  <c r="S13" i="7"/>
  <c r="N13" i="7" s="1"/>
  <c r="O13" i="7" s="1"/>
  <c r="S15" i="7"/>
  <c r="N15" i="7" s="1"/>
  <c r="O15" i="7" s="1"/>
  <c r="S17" i="7"/>
  <c r="N17" i="7" s="1"/>
  <c r="O17" i="7" s="1"/>
  <c r="S17" i="9"/>
  <c r="N17" i="9" s="1"/>
  <c r="O17" i="9" s="1"/>
  <c r="S16" i="9"/>
  <c r="N16" i="9" s="1"/>
  <c r="O16" i="9" s="1"/>
  <c r="S15" i="9"/>
  <c r="N15" i="9" s="1"/>
  <c r="O15" i="9" s="1"/>
  <c r="S13" i="9"/>
  <c r="N13" i="9" s="1"/>
  <c r="O13" i="9" s="1"/>
  <c r="S14" i="9"/>
  <c r="N14" i="9" s="1"/>
  <c r="O14" i="9" s="1"/>
  <c r="S12" i="9"/>
  <c r="N12" i="9" s="1"/>
  <c r="O12" i="9" s="1"/>
  <c r="S10" i="9"/>
  <c r="N10" i="9" s="1"/>
  <c r="O10" i="9" s="1"/>
  <c r="S2" i="9"/>
  <c r="N2" i="9" s="1"/>
  <c r="O2" i="9" s="1"/>
  <c r="S5" i="9"/>
  <c r="N5" i="9" s="1"/>
  <c r="O5" i="9" s="1"/>
  <c r="S4" i="9"/>
  <c r="N4" i="9" s="1"/>
  <c r="O4" i="9" s="1"/>
  <c r="S3" i="9"/>
  <c r="N3" i="9" s="1"/>
  <c r="O3" i="9" s="1"/>
  <c r="N6" i="9"/>
  <c r="O6" i="9" s="1"/>
  <c r="S11" i="9"/>
  <c r="N11" i="9" s="1"/>
  <c r="O11" i="9" s="1"/>
  <c r="S9" i="9"/>
  <c r="N9" i="9" s="1"/>
  <c r="O9" i="9" s="1"/>
  <c r="S8" i="9"/>
  <c r="N8" i="9" s="1"/>
  <c r="O8" i="9" s="1"/>
  <c r="S19" i="9"/>
  <c r="N19" i="9" s="1"/>
  <c r="O19" i="9" s="1"/>
  <c r="S7" i="9"/>
  <c r="S18" i="9"/>
  <c r="N18" i="9" s="1"/>
  <c r="O18" i="9" s="1"/>
  <c r="S13" i="8"/>
  <c r="N13" i="8" s="1"/>
  <c r="O13" i="8" s="1"/>
  <c r="S17" i="8"/>
  <c r="N17" i="8" s="1"/>
  <c r="O17" i="8" s="1"/>
  <c r="S14" i="8"/>
  <c r="N14" i="8" s="1"/>
  <c r="O14" i="8" s="1"/>
  <c r="S11" i="8"/>
  <c r="N11" i="8" s="1"/>
  <c r="O11" i="8" s="1"/>
  <c r="S8" i="8"/>
  <c r="N8" i="8" s="1"/>
  <c r="O8" i="8" s="1"/>
  <c r="S5" i="8"/>
  <c r="N5" i="8" s="1"/>
  <c r="O5" i="8" s="1"/>
  <c r="S2" i="8"/>
  <c r="N2" i="8" s="1"/>
  <c r="O2" i="8" s="1"/>
  <c r="S19" i="8"/>
  <c r="N19" i="8" s="1"/>
  <c r="O19" i="8" s="1"/>
  <c r="S10" i="8"/>
  <c r="N10" i="8" s="1"/>
  <c r="O10" i="8" s="1"/>
  <c r="S3" i="8"/>
  <c r="N3" i="8" s="1"/>
  <c r="O3" i="8" s="1"/>
  <c r="S16" i="8"/>
  <c r="N16" i="8" s="1"/>
  <c r="O16" i="8" s="1"/>
  <c r="S7" i="8"/>
  <c r="N7" i="8" s="1"/>
  <c r="O7" i="8" s="1"/>
  <c r="S18" i="8"/>
  <c r="N18" i="8" s="1"/>
  <c r="O18" i="8" s="1"/>
  <c r="S15" i="8"/>
  <c r="N15" i="8" s="1"/>
  <c r="O15" i="8" s="1"/>
  <c r="S12" i="8"/>
  <c r="N12" i="8" s="1"/>
  <c r="O12" i="8" s="1"/>
  <c r="S6" i="8"/>
  <c r="N6" i="8" s="1"/>
  <c r="O6" i="8" s="1"/>
  <c r="N9" i="8"/>
  <c r="O9" i="8" s="1"/>
  <c r="S4" i="8"/>
  <c r="N4" i="8" s="1"/>
  <c r="O4" i="8" s="1"/>
  <c r="M13" i="16" l="1"/>
  <c r="K13" i="16"/>
  <c r="I14" i="16"/>
  <c r="N7" i="9"/>
  <c r="O7" i="9" s="1"/>
  <c r="M14" i="16" l="1"/>
  <c r="K14" i="16"/>
  <c r="I15" i="16"/>
  <c r="M15" i="16" l="1"/>
  <c r="K15" i="16"/>
  <c r="I16" i="16"/>
  <c r="M16" i="16" l="1"/>
  <c r="K16" i="16"/>
  <c r="I17" i="16"/>
  <c r="M17" i="16" l="1"/>
  <c r="K17" i="16"/>
  <c r="I18" i="16"/>
  <c r="M18" i="16" l="1"/>
  <c r="K18" i="16"/>
  <c r="I19" i="16"/>
  <c r="M19" i="16" l="1"/>
  <c r="K19" i="16"/>
  <c r="I20" i="16"/>
  <c r="M20" i="16" l="1"/>
  <c r="K20" i="16"/>
  <c r="I21" i="16"/>
  <c r="M21" i="16" l="1"/>
  <c r="K21" i="16"/>
  <c r="I22" i="16"/>
  <c r="M22" i="16" l="1"/>
  <c r="K22" i="16"/>
  <c r="I23" i="16"/>
  <c r="M23" i="16" l="1"/>
  <c r="K23" i="16"/>
  <c r="I24" i="16"/>
  <c r="M24" i="16" l="1"/>
  <c r="K24" i="16"/>
  <c r="I25" i="16"/>
  <c r="M25" i="16" l="1"/>
  <c r="K25" i="16"/>
  <c r="I26" i="16"/>
  <c r="M26" i="16" l="1"/>
  <c r="K26" i="16"/>
  <c r="I27" i="16"/>
  <c r="M27" i="16" l="1"/>
  <c r="K27" i="16"/>
  <c r="I28" i="16"/>
  <c r="M28" i="16" l="1"/>
  <c r="K28" i="16"/>
  <c r="I29" i="16"/>
  <c r="M29" i="16" l="1"/>
  <c r="K29" i="16"/>
  <c r="I30" i="16"/>
  <c r="M30" i="16" l="1"/>
  <c r="K30" i="16"/>
  <c r="I31" i="16"/>
  <c r="M31" i="16" l="1"/>
  <c r="K31" i="16"/>
  <c r="I32" i="16"/>
  <c r="M32" i="16" l="1"/>
  <c r="K32" i="16"/>
  <c r="I33" i="16"/>
  <c r="M33" i="16" l="1"/>
  <c r="K33" i="16"/>
  <c r="I34" i="16"/>
  <c r="M34" i="16" l="1"/>
  <c r="K34" i="16"/>
  <c r="I35" i="16"/>
  <c r="M35" i="16" l="1"/>
  <c r="K35" i="16"/>
  <c r="I36" i="16"/>
  <c r="M36" i="16" l="1"/>
  <c r="K36" i="16"/>
  <c r="I37" i="16"/>
  <c r="M37" i="16" l="1"/>
  <c r="K37" i="16"/>
  <c r="I38" i="16"/>
  <c r="M38" i="16" l="1"/>
  <c r="K38" i="16"/>
  <c r="I39" i="16"/>
  <c r="M39" i="16" l="1"/>
  <c r="K39" i="16"/>
  <c r="I40" i="16"/>
  <c r="M40" i="16" l="1"/>
  <c r="K40" i="16"/>
  <c r="I41" i="16"/>
  <c r="M41" i="16" l="1"/>
  <c r="K41" i="16"/>
  <c r="I42" i="16"/>
  <c r="M42" i="16" l="1"/>
  <c r="K42" i="16"/>
  <c r="I43" i="16"/>
  <c r="M43" i="16" l="1"/>
  <c r="K43" i="16"/>
  <c r="I44" i="16"/>
  <c r="M44" i="16" l="1"/>
  <c r="K44" i="16"/>
  <c r="I45" i="16"/>
  <c r="M45" i="16" l="1"/>
  <c r="K45" i="16"/>
  <c r="I46" i="16"/>
  <c r="M46" i="16" l="1"/>
  <c r="K46" i="16"/>
  <c r="I47" i="16"/>
  <c r="M47" i="16" l="1"/>
  <c r="K47" i="16"/>
  <c r="I48" i="16"/>
  <c r="M48" i="16" l="1"/>
  <c r="K48" i="16"/>
  <c r="I49" i="16"/>
  <c r="M49" i="16" l="1"/>
  <c r="K49" i="16"/>
  <c r="I50" i="16"/>
  <c r="M50" i="16" l="1"/>
  <c r="K50" i="16"/>
  <c r="I51" i="16"/>
  <c r="M51" i="16" l="1"/>
  <c r="K51" i="16"/>
  <c r="I52" i="16"/>
  <c r="M52" i="16" l="1"/>
  <c r="K52" i="16"/>
  <c r="I53" i="16"/>
  <c r="M53" i="16" l="1"/>
  <c r="K53" i="16"/>
  <c r="I54" i="16"/>
  <c r="M54" i="16" l="1"/>
  <c r="K54" i="16"/>
  <c r="I55" i="16"/>
  <c r="M55" i="16" l="1"/>
  <c r="K55" i="16"/>
  <c r="I56" i="16"/>
  <c r="M56" i="16" l="1"/>
  <c r="K56" i="16"/>
  <c r="I57" i="16"/>
  <c r="M57" i="16" l="1"/>
  <c r="K57" i="16"/>
  <c r="I58" i="16"/>
  <c r="M58" i="16" l="1"/>
  <c r="K58" i="16"/>
  <c r="I59" i="16"/>
  <c r="M59" i="16" l="1"/>
  <c r="K59" i="16"/>
  <c r="I60" i="16"/>
  <c r="M60" i="16" l="1"/>
  <c r="K60" i="16"/>
  <c r="I61" i="16"/>
  <c r="M61" i="16" l="1"/>
  <c r="K61" i="16"/>
  <c r="I62" i="16"/>
  <c r="M62" i="16" l="1"/>
  <c r="K62" i="16"/>
  <c r="I63" i="16"/>
  <c r="M63" i="16" l="1"/>
  <c r="K63" i="16"/>
  <c r="I64" i="16"/>
  <c r="M64" i="16" l="1"/>
  <c r="K64" i="16"/>
  <c r="I65" i="16"/>
  <c r="M65" i="16" l="1"/>
  <c r="K65" i="16"/>
  <c r="I66" i="16"/>
  <c r="M66" i="16" l="1"/>
  <c r="K66" i="16"/>
  <c r="I67" i="16"/>
  <c r="M67" i="16" l="1"/>
  <c r="K67" i="16"/>
  <c r="I68" i="16"/>
  <c r="M68" i="16" l="1"/>
  <c r="K68" i="16"/>
  <c r="I69" i="16"/>
  <c r="M69" i="16" l="1"/>
  <c r="K69" i="16"/>
  <c r="I70" i="16"/>
  <c r="M70" i="16" l="1"/>
  <c r="K70" i="16"/>
  <c r="I71" i="16"/>
  <c r="M71" i="16" l="1"/>
  <c r="K71" i="16"/>
  <c r="I72" i="16"/>
  <c r="M72" i="16" l="1"/>
  <c r="K72" i="16"/>
  <c r="I73" i="16"/>
  <c r="M73" i="16" l="1"/>
  <c r="K73" i="16"/>
  <c r="I74" i="16"/>
  <c r="M74" i="16" l="1"/>
  <c r="K74" i="16"/>
  <c r="I75" i="16"/>
  <c r="M75" i="16" l="1"/>
  <c r="K75" i="16"/>
  <c r="I76" i="16"/>
  <c r="M76" i="16" l="1"/>
  <c r="K76" i="16"/>
  <c r="I77" i="16"/>
  <c r="M77" i="16" l="1"/>
  <c r="K77" i="16"/>
  <c r="I78" i="16"/>
  <c r="M78" i="16" l="1"/>
  <c r="K78" i="16"/>
  <c r="I79" i="16"/>
  <c r="M79" i="16" l="1"/>
  <c r="K79" i="16"/>
  <c r="I80" i="16"/>
  <c r="M80" i="16" l="1"/>
  <c r="K80" i="16"/>
  <c r="I81" i="16"/>
  <c r="M81" i="16" l="1"/>
  <c r="K81" i="16"/>
  <c r="I82" i="16"/>
  <c r="I83" i="16"/>
  <c r="M83" i="16" l="1"/>
  <c r="M82" i="16"/>
  <c r="K82" i="16"/>
  <c r="K83" i="16"/>
  <c r="H36" i="20"/>
  <c r="H4" i="20"/>
  <c r="G7" i="20"/>
  <c r="H38" i="20"/>
  <c r="H66" i="20"/>
  <c r="H32" i="20"/>
  <c r="H6" i="20"/>
  <c r="H57" i="20"/>
  <c r="H81" i="20"/>
  <c r="H18" i="20"/>
  <c r="H71" i="20"/>
  <c r="H5" i="20"/>
  <c r="H13" i="20"/>
  <c r="H78" i="20"/>
  <c r="H41" i="20"/>
  <c r="H79" i="20"/>
  <c r="H65" i="20"/>
  <c r="H52" i="20"/>
  <c r="H44" i="20"/>
  <c r="H69" i="20"/>
  <c r="H82" i="20"/>
  <c r="H64" i="20"/>
  <c r="H9" i="20"/>
  <c r="H7" i="20"/>
  <c r="H75" i="20"/>
  <c r="H12" i="20"/>
  <c r="H67" i="20"/>
  <c r="H72" i="20"/>
  <c r="H51" i="20"/>
  <c r="H39" i="20"/>
  <c r="H53" i="20"/>
  <c r="H29" i="20"/>
  <c r="H8" i="20"/>
  <c r="H34" i="20"/>
  <c r="H15" i="20"/>
  <c r="H20" i="20"/>
  <c r="H10" i="20"/>
  <c r="H16" i="20"/>
  <c r="H59" i="20"/>
  <c r="H11" i="20"/>
  <c r="H46" i="20"/>
  <c r="H54" i="20"/>
  <c r="H68" i="20"/>
  <c r="H47" i="20"/>
  <c r="H22" i="20"/>
  <c r="H73" i="20"/>
  <c r="H21" i="20"/>
  <c r="H43" i="20"/>
  <c r="H76" i="20"/>
  <c r="H28" i="20"/>
  <c r="H74" i="20"/>
  <c r="H56" i="20"/>
  <c r="H58" i="20"/>
  <c r="H61" i="20"/>
  <c r="H80" i="20"/>
  <c r="H50" i="20"/>
  <c r="H83" i="20"/>
  <c r="H25" i="20"/>
  <c r="H30" i="20"/>
  <c r="H42" i="20"/>
  <c r="H49" i="20"/>
  <c r="H23" i="20"/>
  <c r="H24" i="20"/>
  <c r="H45" i="20"/>
  <c r="H77" i="20"/>
  <c r="H3" i="20"/>
  <c r="H48" i="20"/>
  <c r="H27" i="20"/>
  <c r="H55" i="20"/>
  <c r="H62" i="20"/>
  <c r="H31" i="20"/>
  <c r="H33" i="20"/>
  <c r="H37" i="20"/>
  <c r="H14" i="20"/>
  <c r="H40" i="20"/>
  <c r="H17" i="20"/>
  <c r="H63" i="20"/>
  <c r="H26" i="20"/>
  <c r="H70" i="20"/>
  <c r="H35" i="20"/>
  <c r="H60" i="20"/>
  <c r="G6" i="20"/>
  <c r="H19" i="20"/>
</calcChain>
</file>

<file path=xl/sharedStrings.xml><?xml version="1.0" encoding="utf-8"?>
<sst xmlns="http://schemas.openxmlformats.org/spreadsheetml/2006/main" count="692" uniqueCount="159">
  <si>
    <t>Volume</t>
  </si>
  <si>
    <t>C</t>
  </si>
  <si>
    <t>P</t>
  </si>
  <si>
    <t>CALLS</t>
  </si>
  <si>
    <t>PUTS</t>
  </si>
  <si>
    <t>OI</t>
  </si>
  <si>
    <t>Chng in OI</t>
  </si>
  <si>
    <t>IV</t>
  </si>
  <si>
    <t>LTP</t>
  </si>
  <si>
    <t>Chng</t>
  </si>
  <si>
    <t>Bid Qty</t>
  </si>
  <si>
    <t>Bid</t>
  </si>
  <si>
    <t>Ask</t>
  </si>
  <si>
    <t>Ask Qty</t>
  </si>
  <si>
    <t>Strike</t>
  </si>
  <si>
    <t>-</t>
  </si>
  <si>
    <t>Total</t>
  </si>
  <si>
    <t>1_Month_Nifty_option data_from NSE</t>
  </si>
  <si>
    <t>3_Month_Nifty_option data_from NSE</t>
  </si>
  <si>
    <t>6_Month_Nifty_option data_from NSE</t>
  </si>
  <si>
    <t>Date</t>
  </si>
  <si>
    <t>Expiry</t>
  </si>
  <si>
    <t>DTE</t>
  </si>
  <si>
    <t>Spot</t>
  </si>
  <si>
    <t>OptionType</t>
  </si>
  <si>
    <t>IV(%)</t>
  </si>
  <si>
    <t>MidPrice</t>
  </si>
  <si>
    <t>Min_Price</t>
  </si>
  <si>
    <t>Alpha</t>
  </si>
  <si>
    <t>Beta</t>
  </si>
  <si>
    <t>p</t>
  </si>
  <si>
    <t>v</t>
  </si>
  <si>
    <t>SABR Model IV</t>
  </si>
  <si>
    <t>Error</t>
  </si>
  <si>
    <t>LnFK</t>
  </si>
  <si>
    <t>Fkavg</t>
  </si>
  <si>
    <t>z</t>
  </si>
  <si>
    <t>x(z)</t>
  </si>
  <si>
    <t>What is the SABR Model?</t>
  </si>
  <si>
    <r>
      <t xml:space="preserve">The </t>
    </r>
    <r>
      <rPr>
        <b/>
        <sz val="10"/>
        <color rgb="FF000000"/>
        <rFont val="Arial"/>
        <family val="2"/>
        <scheme val="minor"/>
      </rPr>
      <t>Stochastic Alpha Beta Rho (SABR)</t>
    </r>
    <r>
      <rPr>
        <sz val="10"/>
        <color rgb="FF000000"/>
        <rFont val="Arial"/>
        <family val="2"/>
        <scheme val="minor"/>
      </rPr>
      <t xml:space="preserve"> model is used to describe the </t>
    </r>
    <r>
      <rPr>
        <b/>
        <sz val="10"/>
        <color rgb="FF000000"/>
        <rFont val="Arial"/>
        <family val="2"/>
        <scheme val="minor"/>
      </rPr>
      <t>volatility smile</t>
    </r>
    <r>
      <rPr>
        <sz val="10"/>
        <color rgb="FF000000"/>
        <rFont val="Arial"/>
        <family val="2"/>
        <scheme val="minor"/>
      </rPr>
      <t xml:space="preserve"> observed in options markets. It models </t>
    </r>
    <r>
      <rPr>
        <b/>
        <sz val="10"/>
        <color rgb="FF000000"/>
        <rFont val="Arial"/>
        <family val="2"/>
        <scheme val="minor"/>
      </rPr>
      <t>how the implied volatility changes with the strike price</t>
    </r>
    <r>
      <rPr>
        <sz val="10"/>
        <color rgb="FF000000"/>
        <rFont val="Arial"/>
        <family val="2"/>
        <scheme val="minor"/>
      </rPr>
      <t xml:space="preserve"> and time to expiry.</t>
    </r>
  </si>
  <si>
    <t>SABR Model Formula (Hagan's Approximation)</t>
  </si>
  <si>
    <t>The formula for implied volatility under the SABR model:</t>
  </si>
  <si>
    <t>Key Parameters in SABR</t>
  </si>
  <si>
    <t>Parameter</t>
  </si>
  <si>
    <t>Meaning</t>
  </si>
  <si>
    <t>Typical Range</t>
  </si>
  <si>
    <t>α (Alpha)</t>
  </si>
  <si>
    <t>Instantaneous volatility (vol of vol)</t>
  </si>
  <si>
    <t>0.1 to 0.5</t>
  </si>
  <si>
    <t>β (Beta)</t>
  </si>
  <si>
    <t>Elasticity of volatility to the underlying. β = 1: lognormal, β = 0: normal</t>
  </si>
  <si>
    <t>0 to 1</t>
  </si>
  <si>
    <t>ρ (Rho)</t>
  </si>
  <si>
    <t>Correlation between asset price and volatility</t>
  </si>
  <si>
    <t>–1 to 1</t>
  </si>
  <si>
    <t>ν (Nu)</t>
  </si>
  <si>
    <t>Volatility of volatility</t>
  </si>
  <si>
    <t>F</t>
  </si>
  <si>
    <t>Forward price (spot for simplicity)</t>
  </si>
  <si>
    <t>K</t>
  </si>
  <si>
    <t>Strike price of the option</t>
  </si>
  <si>
    <t>From data</t>
  </si>
  <si>
    <t>T</t>
  </si>
  <si>
    <t>Time to expiry in years</t>
  </si>
  <si>
    <t>Intermediate Calculations in Excel</t>
  </si>
  <si>
    <t>To implement this in Excel, break the formula into manageable parts:</t>
  </si>
  <si>
    <t>Column</t>
  </si>
  <si>
    <t>Main SABR Formula in Excel</t>
  </si>
  <si>
    <t>Convert to Excel by replacing variables with cell references like:</t>
  </si>
  <si>
    <r>
      <t xml:space="preserve">Use this formula in </t>
    </r>
    <r>
      <rPr>
        <sz val="10"/>
        <color rgb="FF000000"/>
        <rFont val="Arial Unicode MS"/>
      </rPr>
      <t>N2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 Unicode MS"/>
      </rPr>
      <t>SABR Model IV</t>
    </r>
    <r>
      <rPr>
        <sz val="10"/>
        <color rgb="FF000000"/>
        <rFont val="Arial"/>
        <family val="2"/>
        <scheme val="minor"/>
      </rPr>
      <t>):</t>
    </r>
  </si>
  <si>
    <t>Using Solver to Fit Parameters</t>
  </si>
  <si>
    <t>Once the model formula is set:</t>
  </si>
  <si>
    <r>
      <t>1. Observed IV</t>
    </r>
    <r>
      <rPr>
        <sz val="10"/>
        <color rgb="FF000000"/>
        <rFont val="Arial"/>
        <family val="2"/>
        <scheme val="minor"/>
      </rPr>
      <t xml:space="preserve"> is in column </t>
    </r>
    <r>
      <rPr>
        <sz val="10"/>
        <color rgb="FF000000"/>
        <rFont val="Arial Unicode MS"/>
      </rPr>
      <t>G</t>
    </r>
    <r>
      <rPr>
        <sz val="10"/>
        <color rgb="FF000000"/>
        <rFont val="Arial"/>
        <family val="2"/>
        <scheme val="minor"/>
      </rPr>
      <t>.</t>
    </r>
  </si>
  <si>
    <r>
      <t>2. Model IV (SABR)</t>
    </r>
    <r>
      <rPr>
        <sz val="10"/>
        <color rgb="FF000000"/>
        <rFont val="Arial"/>
        <family val="2"/>
        <scheme val="minor"/>
      </rPr>
      <t xml:space="preserve"> is in column </t>
    </r>
    <r>
      <rPr>
        <sz val="10"/>
        <color rgb="FF000000"/>
        <rFont val="Arial Unicode MS"/>
      </rPr>
      <t>N</t>
    </r>
    <r>
      <rPr>
        <sz val="10"/>
        <color rgb="FF000000"/>
        <rFont val="Arial"/>
        <family val="2"/>
        <scheme val="minor"/>
      </rPr>
      <t>.</t>
    </r>
  </si>
  <si>
    <r>
      <t xml:space="preserve">3. In column </t>
    </r>
    <r>
      <rPr>
        <sz val="10"/>
        <color rgb="FF000000"/>
        <rFont val="Arial Unicode MS"/>
      </rPr>
      <t>O</t>
    </r>
    <r>
      <rPr>
        <sz val="10"/>
        <color rgb="FF000000"/>
        <rFont val="Arial"/>
        <family val="2"/>
        <scheme val="minor"/>
      </rPr>
      <t xml:space="preserve">, compute </t>
    </r>
    <r>
      <rPr>
        <sz val="10"/>
        <color rgb="FF000000"/>
        <rFont val="Arial Unicode MS"/>
      </rPr>
      <t>Error = G - N</t>
    </r>
    <r>
      <rPr>
        <sz val="10"/>
        <color rgb="FF000000"/>
        <rFont val="Arial"/>
        <family val="2"/>
        <scheme val="minor"/>
      </rPr>
      <t>.</t>
    </r>
  </si>
  <si>
    <t>1_Month</t>
  </si>
  <si>
    <t>3_Month</t>
  </si>
  <si>
    <t>6_Month</t>
  </si>
  <si>
    <t>What is Implied Volatility (IV)?</t>
  </si>
  <si>
    <r>
      <t xml:space="preserve">IV is the volatility value that, when plugged into the Black-Scholes formula, gives a theoretical option price </t>
    </r>
    <r>
      <rPr>
        <b/>
        <sz val="10"/>
        <color rgb="FF000000"/>
        <rFont val="Arial"/>
        <family val="2"/>
        <scheme val="minor"/>
      </rPr>
      <t>equal to the market price</t>
    </r>
    <r>
      <rPr>
        <sz val="10"/>
        <color rgb="FF000000"/>
        <rFont val="Arial"/>
        <family val="2"/>
        <scheme val="minor"/>
      </rPr>
      <t>.</t>
    </r>
  </si>
  <si>
    <t>Spot price (S)</t>
  </si>
  <si>
    <t>Strike price (K)</t>
  </si>
  <si>
    <t>Time to expiry (T)</t>
  </si>
  <si>
    <t>Risk-free rate (r)</t>
  </si>
  <si>
    <t>Option market price (MidPrice)</t>
  </si>
  <si>
    <t>Option type (Call or Put)</t>
  </si>
  <si>
    <t>Description</t>
  </si>
  <si>
    <r>
      <t>Spot</t>
    </r>
    <r>
      <rPr>
        <sz val="10"/>
        <color rgb="FF000000"/>
        <rFont val="Arial"/>
        <family val="2"/>
        <scheme val="minor"/>
      </rPr>
      <t xml:space="preserve"> (E2)</t>
    </r>
  </si>
  <si>
    <t>Current index level (NIFTY spot)</t>
  </si>
  <si>
    <r>
      <t>Strike</t>
    </r>
    <r>
      <rPr>
        <sz val="10"/>
        <color rgb="FF000000"/>
        <rFont val="Arial"/>
        <family val="2"/>
        <scheme val="minor"/>
      </rPr>
      <t xml:space="preserve"> (D2)</t>
    </r>
  </si>
  <si>
    <r>
      <t>MidPrice</t>
    </r>
    <r>
      <rPr>
        <sz val="10"/>
        <color rgb="FF000000"/>
        <rFont val="Arial"/>
        <family val="2"/>
        <scheme val="minor"/>
      </rPr>
      <t xml:space="preserve"> (H2)</t>
    </r>
  </si>
  <si>
    <t>Market mid-price of option</t>
  </si>
  <si>
    <r>
      <t>DTE</t>
    </r>
    <r>
      <rPr>
        <sz val="10"/>
        <color rgb="FF000000"/>
        <rFont val="Arial"/>
        <family val="2"/>
        <scheme val="minor"/>
      </rPr>
      <t xml:space="preserve"> (C2)</t>
    </r>
  </si>
  <si>
    <t>Days to expiry (convert to years)</t>
  </si>
  <si>
    <t>r</t>
  </si>
  <si>
    <t>Risk-free interest rate (e.g., 0.06)</t>
  </si>
  <si>
    <r>
      <t>OptionType</t>
    </r>
    <r>
      <rPr>
        <sz val="10"/>
        <color rgb="FF000000"/>
        <rFont val="Arial"/>
        <family val="2"/>
        <scheme val="minor"/>
      </rPr>
      <t xml:space="preserve"> (F2)</t>
    </r>
  </si>
  <si>
    <t>'C' for Call or 'P' for Put</t>
  </si>
  <si>
    <t>σ (Vol)</t>
  </si>
  <si>
    <r>
      <t xml:space="preserve">Variable to solve using </t>
    </r>
    <r>
      <rPr>
        <b/>
        <sz val="10"/>
        <color rgb="FF000000"/>
        <rFont val="Arial"/>
        <family val="2"/>
        <scheme val="minor"/>
      </rPr>
      <t>Goal Seek or Solver</t>
    </r>
  </si>
  <si>
    <t>Inputs Needed in Excel</t>
  </si>
  <si>
    <t>Black-Scholes Formula (for European Call and Put)</t>
  </si>
  <si>
    <t>Assumptions of the Black-Scholes Model</t>
  </si>
  <si>
    <t>1. Efficient Markets</t>
  </si>
  <si>
    <t>Markets are frictionless: no transaction costs, taxes, or bid-ask spreads.</t>
  </si>
  <si>
    <t>All participants have equal access to information.</t>
  </si>
  <si>
    <t>Securities are perfectly divisible (can be traded in any amount).</t>
  </si>
  <si>
    <r>
      <t xml:space="preserve">The model assumes the option is </t>
    </r>
    <r>
      <rPr>
        <b/>
        <sz val="10"/>
        <color rgb="FF000000"/>
        <rFont val="Arial"/>
        <family val="2"/>
        <scheme val="minor"/>
      </rPr>
      <t>European</t>
    </r>
    <r>
      <rPr>
        <sz val="10"/>
        <color rgb="FF000000"/>
        <rFont val="Arial"/>
        <family val="2"/>
        <scheme val="minor"/>
      </rPr>
      <t xml:space="preserve">, meaning it can </t>
    </r>
    <r>
      <rPr>
        <b/>
        <sz val="10"/>
        <color rgb="FF000000"/>
        <rFont val="Arial"/>
        <family val="2"/>
        <scheme val="minor"/>
      </rPr>
      <t>only be exercised at expiration</t>
    </r>
    <r>
      <rPr>
        <sz val="10"/>
        <color rgb="FF000000"/>
        <rFont val="Arial"/>
        <family val="2"/>
        <scheme val="minor"/>
      </rPr>
      <t>, not before.</t>
    </r>
  </si>
  <si>
    <r>
      <t xml:space="preserve">The underlying asset </t>
    </r>
    <r>
      <rPr>
        <b/>
        <sz val="10"/>
        <color rgb="FF000000"/>
        <rFont val="Arial"/>
        <family val="2"/>
        <scheme val="minor"/>
      </rPr>
      <t>does not pay any dividends</t>
    </r>
    <r>
      <rPr>
        <sz val="10"/>
        <color rgb="FF000000"/>
        <rFont val="Arial"/>
        <family val="2"/>
        <scheme val="minor"/>
      </rPr>
      <t xml:space="preserve"> or yields during the life of the option.</t>
    </r>
  </si>
  <si>
    <t>(An adjusted version of Black-Scholes accounts for dividends.)</t>
  </si>
  <si>
    <r>
      <t xml:space="preserve">The </t>
    </r>
    <r>
      <rPr>
        <b/>
        <sz val="10"/>
        <color rgb="FF000000"/>
        <rFont val="Arial"/>
        <family val="2"/>
        <scheme val="minor"/>
      </rPr>
      <t>risk-free interest rate</t>
    </r>
    <r>
      <rPr>
        <sz val="10"/>
        <color rgb="FF000000"/>
        <rFont val="Arial"/>
        <family val="2"/>
        <scheme val="minor"/>
      </rPr>
      <t xml:space="preserve"> is known and </t>
    </r>
    <r>
      <rPr>
        <b/>
        <sz val="10"/>
        <color rgb="FF000000"/>
        <rFont val="Arial"/>
        <family val="2"/>
        <scheme val="minor"/>
      </rPr>
      <t>remains constant</t>
    </r>
    <r>
      <rPr>
        <sz val="10"/>
        <color rgb="FF000000"/>
        <rFont val="Arial"/>
        <family val="2"/>
        <scheme val="minor"/>
      </rPr>
      <t xml:space="preserve"> throughout the life of the option.</t>
    </r>
  </si>
  <si>
    <t>The volatility of the underlying asset’s returns is:</t>
  </si>
  <si>
    <t>Known in advance</t>
  </si>
  <si>
    <r>
      <t>Constant</t>
    </r>
    <r>
      <rPr>
        <sz val="10"/>
        <color rgb="FF000000"/>
        <rFont val="Arial"/>
        <family val="2"/>
        <scheme val="minor"/>
      </rPr>
      <t xml:space="preserve"> over time</t>
    </r>
  </si>
  <si>
    <r>
      <t xml:space="preserve">In reality, volatility is </t>
    </r>
    <r>
      <rPr>
        <b/>
        <sz val="10"/>
        <color rgb="FF000000"/>
        <rFont val="Arial"/>
        <family val="2"/>
        <scheme val="minor"/>
      </rPr>
      <t>not constant</t>
    </r>
    <r>
      <rPr>
        <sz val="10"/>
        <color rgb="FF000000"/>
        <rFont val="Arial"/>
        <family val="2"/>
        <scheme val="minor"/>
      </rPr>
      <t xml:space="preserve">, leading to models like </t>
    </r>
    <r>
      <rPr>
        <b/>
        <sz val="10"/>
        <color rgb="FF000000"/>
        <rFont val="Arial"/>
        <family val="2"/>
        <scheme val="minor"/>
      </rPr>
      <t>SABR, Heston, or local volatility models</t>
    </r>
    <r>
      <rPr>
        <sz val="10"/>
        <color rgb="FF000000"/>
        <rFont val="Arial"/>
        <family val="2"/>
        <scheme val="minor"/>
      </rPr>
      <t>.</t>
    </r>
  </si>
  <si>
    <r>
      <t xml:space="preserve">The price of the underlying asset follows a </t>
    </r>
    <r>
      <rPr>
        <b/>
        <sz val="10"/>
        <color rgb="FF000000"/>
        <rFont val="Arial"/>
        <family val="2"/>
        <scheme val="minor"/>
      </rPr>
      <t>geometric Brownian motion</t>
    </r>
    <r>
      <rPr>
        <sz val="10"/>
        <color rgb="FF000000"/>
        <rFont val="Arial"/>
        <family val="2"/>
        <scheme val="minor"/>
      </rPr>
      <t>, implying:</t>
    </r>
  </si>
  <si>
    <r>
      <t xml:space="preserve">The </t>
    </r>
    <r>
      <rPr>
        <b/>
        <sz val="10"/>
        <color rgb="FF000000"/>
        <rFont val="Arial"/>
        <family val="2"/>
        <scheme val="minor"/>
      </rPr>
      <t>log returns</t>
    </r>
    <r>
      <rPr>
        <sz val="10"/>
        <color rgb="FF000000"/>
        <rFont val="Arial"/>
        <family val="2"/>
        <scheme val="minor"/>
      </rPr>
      <t xml:space="preserve"> of the asset are </t>
    </r>
    <r>
      <rPr>
        <b/>
        <sz val="10"/>
        <color rgb="FF000000"/>
        <rFont val="Arial"/>
        <family val="2"/>
        <scheme val="minor"/>
      </rPr>
      <t>normally distributed</t>
    </r>
    <r>
      <rPr>
        <sz val="10"/>
        <color rgb="FF000000"/>
        <rFont val="Arial"/>
        <family val="2"/>
        <scheme val="minor"/>
      </rPr>
      <t>.</t>
    </r>
  </si>
  <si>
    <r>
      <t xml:space="preserve">Hence, the </t>
    </r>
    <r>
      <rPr>
        <b/>
        <sz val="10"/>
        <color rgb="FF000000"/>
        <rFont val="Arial"/>
        <family val="2"/>
        <scheme val="minor"/>
      </rPr>
      <t>asset price is lognormally distributed</t>
    </r>
    <r>
      <rPr>
        <sz val="10"/>
        <color rgb="FF000000"/>
        <rFont val="Arial"/>
        <family val="2"/>
        <scheme val="minor"/>
      </rPr>
      <t>.</t>
    </r>
  </si>
  <si>
    <r>
      <t xml:space="preserve">The market </t>
    </r>
    <r>
      <rPr>
        <b/>
        <sz val="10"/>
        <color rgb="FF000000"/>
        <rFont val="Arial"/>
        <family val="2"/>
        <scheme val="minor"/>
      </rPr>
      <t>does not allow for arbitrage opportunities</t>
    </r>
    <r>
      <rPr>
        <sz val="10"/>
        <color rgb="FF000000"/>
        <rFont val="Arial"/>
        <family val="2"/>
        <scheme val="minor"/>
      </rPr>
      <t xml:space="preserve"> (riskless profit with no investment).</t>
    </r>
  </si>
  <si>
    <r>
      <t xml:space="preserve">The model assumes </t>
    </r>
    <r>
      <rPr>
        <b/>
        <sz val="10"/>
        <color rgb="FF000000"/>
        <rFont val="Arial"/>
        <family val="2"/>
        <scheme val="minor"/>
      </rPr>
      <t>continuous trading</t>
    </r>
    <r>
      <rPr>
        <sz val="10"/>
        <color rgb="FF000000"/>
        <rFont val="Arial"/>
        <family val="2"/>
        <scheme val="minor"/>
      </rPr>
      <t xml:space="preserve"> of the underlying and continuous </t>
    </r>
    <r>
      <rPr>
        <b/>
        <sz val="10"/>
        <color rgb="FF000000"/>
        <rFont val="Arial"/>
        <family val="2"/>
        <scheme val="minor"/>
      </rPr>
      <t>delta hedging</t>
    </r>
    <r>
      <rPr>
        <sz val="10"/>
        <color rgb="FF000000"/>
        <rFont val="Arial"/>
        <family val="2"/>
        <scheme val="minor"/>
      </rPr>
      <t>.</t>
    </r>
  </si>
  <si>
    <r>
      <t xml:space="preserve">You can </t>
    </r>
    <r>
      <rPr>
        <b/>
        <sz val="10"/>
        <color rgb="FF000000"/>
        <rFont val="Arial"/>
        <family val="2"/>
        <scheme val="minor"/>
      </rPr>
      <t>rebalance</t>
    </r>
    <r>
      <rPr>
        <sz val="10"/>
        <color rgb="FF000000"/>
        <rFont val="Arial"/>
        <family val="2"/>
        <scheme val="minor"/>
      </rPr>
      <t xml:space="preserve"> your hedge as often as needed without cost.</t>
    </r>
  </si>
  <si>
    <t>The option is written on a single underlying asset (e.g., Nifty index, stock).</t>
  </si>
  <si>
    <t>2. European Option Style</t>
  </si>
  <si>
    <t>3. No Dividends Paid</t>
  </si>
  <si>
    <t>4. Constant Risk-Free Rate (r)</t>
  </si>
  <si>
    <t>5. Constant Volatility (σ)</t>
  </si>
  <si>
    <t>6. Lognormal Distribution of Returns</t>
  </si>
  <si>
    <t>7. No Arbitrage</t>
  </si>
  <si>
    <t>8. Continuous Trading and Hedging</t>
  </si>
  <si>
    <t>9. Single Underlying Asset</t>
  </si>
  <si>
    <t>Risk-Free Rate (r)</t>
  </si>
  <si>
    <t>DTE to years</t>
  </si>
  <si>
    <t>d1</t>
  </si>
  <si>
    <t>d2</t>
  </si>
  <si>
    <t>Option Price</t>
  </si>
  <si>
    <t>Calculate Volatility</t>
  </si>
  <si>
    <t>Consolidated Graph</t>
  </si>
  <si>
    <t>Exponentially Weighted Moving Average (EWMA) is a popular technique for forecasting volatility because it gives more weight to recent observations, making it more responsive to changes in market conditions. Here's a detailed, step-by-step guide to implementing EWMA in Excel, including how the input and output will look.</t>
  </si>
  <si>
    <t>Understanding the EWMA Formula</t>
  </si>
  <si>
    <t>The core formula for EWMA of volatility (specifically, EWMA of squared returns, which is the EWMA variance) is:</t>
  </si>
  <si>
    <t>date</t>
  </si>
  <si>
    <t>MSFT</t>
  </si>
  <si>
    <t>Daily Return</t>
  </si>
  <si>
    <t>Squared Daily Return</t>
  </si>
  <si>
    <t>EWMV_Variance</t>
  </si>
  <si>
    <t>EWMA Volatility</t>
  </si>
  <si>
    <t>EWMA Volatility Annual</t>
  </si>
  <si>
    <t>Mu</t>
  </si>
  <si>
    <t>Omega</t>
  </si>
  <si>
    <t>Alpha1</t>
  </si>
  <si>
    <t>Log-Likelihood</t>
  </si>
  <si>
    <t>Error Term</t>
  </si>
  <si>
    <t>Squared Error</t>
  </si>
  <si>
    <t>Log Likelihood Term</t>
  </si>
  <si>
    <r>
      <t>Mu (</t>
    </r>
    <r>
      <rPr>
        <sz val="10"/>
        <color rgb="FF000000"/>
        <rFont val="Arial"/>
        <scheme val="minor"/>
      </rPr>
      <t>μ</t>
    </r>
    <r>
      <rPr>
        <sz val="10"/>
        <color rgb="FF000000"/>
        <rFont val="Arial"/>
        <family val="2"/>
        <scheme val="minor"/>
      </rPr>
      <t>)</t>
    </r>
  </si>
  <si>
    <t>Omega (ω)</t>
  </si>
  <si>
    <t>Beta1</t>
  </si>
  <si>
    <t>Alpha1+Beta1</t>
  </si>
  <si>
    <t>Log-Likelihood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</si>
</sst>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3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7"/>
      <color rgb="FFFFFFFF"/>
      <name val="Arial"/>
      <family val="2"/>
      <scheme val="minor"/>
    </font>
    <font>
      <sz val="7"/>
      <color rgb="FF333333"/>
      <name val="Arial"/>
      <family val="2"/>
      <scheme val="minor"/>
    </font>
    <font>
      <u/>
      <sz val="7"/>
      <color rgb="FF295C89"/>
      <name val="Arial"/>
      <family val="2"/>
      <scheme val="minor"/>
    </font>
    <font>
      <sz val="7"/>
      <color rgb="FFCB0505"/>
      <name val="Arial"/>
      <family val="2"/>
      <scheme val="minor"/>
    </font>
    <font>
      <sz val="7"/>
      <color rgb="FF007A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</font>
    <font>
      <b/>
      <sz val="13.5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A2D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7" fillId="2" borderId="2" xfId="1" applyFill="1" applyBorder="1" applyAlignment="1">
      <alignment horizontal="center" vertical="top" wrapText="1"/>
    </xf>
    <xf numFmtId="4" fontId="7" fillId="2" borderId="2" xfId="1" applyNumberForma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4" fontId="3" fillId="2" borderId="2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0" fillId="0" borderId="7" xfId="0" applyBorder="1"/>
    <xf numFmtId="0" fontId="3" fillId="2" borderId="7" xfId="0" applyFont="1" applyFill="1" applyBorder="1" applyAlignment="1">
      <alignment horizontal="center" vertical="top" wrapText="1"/>
    </xf>
    <xf numFmtId="3" fontId="3" fillId="2" borderId="5" xfId="0" applyNumberFormat="1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8" xfId="0" applyFont="1" applyBorder="1"/>
    <xf numFmtId="0" fontId="0" fillId="0" borderId="8" xfId="0" applyBorder="1"/>
    <xf numFmtId="14" fontId="0" fillId="0" borderId="8" xfId="0" applyNumberFormat="1" applyBorder="1"/>
    <xf numFmtId="14" fontId="1" fillId="0" borderId="8" xfId="0" applyNumberFormat="1" applyFont="1" applyBorder="1"/>
    <xf numFmtId="4" fontId="7" fillId="2" borderId="8" xfId="1" applyNumberFormat="1" applyFill="1" applyBorder="1" applyAlignment="1">
      <alignment horizontal="center" vertical="top" wrapText="1"/>
    </xf>
    <xf numFmtId="14" fontId="0" fillId="5" borderId="8" xfId="0" applyNumberFormat="1" applyFill="1" applyBorder="1"/>
    <xf numFmtId="0" fontId="0" fillId="5" borderId="8" xfId="0" applyFill="1" applyBorder="1"/>
    <xf numFmtId="0" fontId="9" fillId="4" borderId="8" xfId="0" applyFont="1" applyFill="1" applyBorder="1"/>
    <xf numFmtId="10" fontId="0" fillId="0" borderId="8" xfId="0" applyNumberFormat="1" applyBorder="1"/>
    <xf numFmtId="0" fontId="1" fillId="0" borderId="0" xfId="0" applyFont="1"/>
    <xf numFmtId="0" fontId="9" fillId="4" borderId="9" xfId="0" applyFont="1" applyFill="1" applyBorder="1"/>
    <xf numFmtId="10" fontId="0" fillId="0" borderId="0" xfId="0" applyNumberForma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10" fontId="0" fillId="0" borderId="9" xfId="0" applyNumberFormat="1" applyBorder="1"/>
    <xf numFmtId="9" fontId="0" fillId="0" borderId="0" xfId="0" applyNumberFormat="1"/>
    <xf numFmtId="2" fontId="0" fillId="0" borderId="8" xfId="0" applyNumberFormat="1" applyBorder="1"/>
    <xf numFmtId="164" fontId="1" fillId="0" borderId="8" xfId="0" applyNumberFormat="1" applyFont="1" applyBorder="1"/>
    <xf numFmtId="0" fontId="9" fillId="4" borderId="10" xfId="0" applyFont="1" applyFill="1" applyBorder="1"/>
    <xf numFmtId="164" fontId="0" fillId="0" borderId="8" xfId="0" applyNumberFormat="1" applyBorder="1"/>
    <xf numFmtId="1" fontId="0" fillId="0" borderId="8" xfId="0" applyNumberFormat="1" applyBorder="1"/>
    <xf numFmtId="1" fontId="0" fillId="0" borderId="0" xfId="0" applyNumberFormat="1"/>
    <xf numFmtId="0" fontId="9" fillId="0" borderId="0" xfId="0" applyFont="1"/>
    <xf numFmtId="0" fontId="12" fillId="4" borderId="8" xfId="0" applyFont="1" applyFill="1" applyBorder="1"/>
    <xf numFmtId="0" fontId="12" fillId="4" borderId="9" xfId="0" applyFont="1" applyFill="1" applyBorder="1"/>
    <xf numFmtId="0" fontId="12" fillId="4" borderId="11" xfId="0" applyFont="1" applyFill="1" applyBorder="1"/>
    <xf numFmtId="0" fontId="12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646FBE1-1D69-44F9-9134-75D1C6B542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'1M_IV_SABR_Model'!$D$2:$D$21</c:f>
              <c:numCache>
                <c:formatCode>#,##0.00</c:formatCode>
                <c:ptCount val="20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20400</c:v>
                </c:pt>
                <c:pt idx="5">
                  <c:v>20450</c:v>
                </c:pt>
                <c:pt idx="6">
                  <c:v>20500</c:v>
                </c:pt>
                <c:pt idx="7">
                  <c:v>20550</c:v>
                </c:pt>
                <c:pt idx="8">
                  <c:v>20600</c:v>
                </c:pt>
                <c:pt idx="9">
                  <c:v>20650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20400</c:v>
                </c:pt>
                <c:pt idx="15">
                  <c:v>20450</c:v>
                </c:pt>
                <c:pt idx="16">
                  <c:v>20500</c:v>
                </c:pt>
                <c:pt idx="17">
                  <c:v>20550</c:v>
                </c:pt>
                <c:pt idx="18">
                  <c:v>20600</c:v>
                </c:pt>
                <c:pt idx="19">
                  <c:v>20650</c:v>
                </c:pt>
              </c:numCache>
            </c:numRef>
          </c:xVal>
          <c:yVal>
            <c:numRef>
              <c:f>'1M_IV_SABR_Model'!$G$2:$G$21</c:f>
              <c:numCache>
                <c:formatCode>General</c:formatCode>
                <c:ptCount val="20"/>
                <c:pt idx="0">
                  <c:v>51.53</c:v>
                </c:pt>
                <c:pt idx="1">
                  <c:v>44.81</c:v>
                </c:pt>
                <c:pt idx="2">
                  <c:v>38.83</c:v>
                </c:pt>
                <c:pt idx="3">
                  <c:v>32.909999999999997</c:v>
                </c:pt>
                <c:pt idx="4">
                  <c:v>29.89</c:v>
                </c:pt>
                <c:pt idx="5">
                  <c:v>30.2</c:v>
                </c:pt>
                <c:pt idx="6">
                  <c:v>29.98</c:v>
                </c:pt>
                <c:pt idx="7">
                  <c:v>30.23</c:v>
                </c:pt>
                <c:pt idx="8">
                  <c:v>34</c:v>
                </c:pt>
                <c:pt idx="9">
                  <c:v>29.73</c:v>
                </c:pt>
                <c:pt idx="10">
                  <c:v>51.53</c:v>
                </c:pt>
                <c:pt idx="11">
                  <c:v>44.81</c:v>
                </c:pt>
                <c:pt idx="12">
                  <c:v>38.83</c:v>
                </c:pt>
                <c:pt idx="13">
                  <c:v>32.909999999999997</c:v>
                </c:pt>
                <c:pt idx="14">
                  <c:v>29.89</c:v>
                </c:pt>
                <c:pt idx="15">
                  <c:v>30.2</c:v>
                </c:pt>
                <c:pt idx="16">
                  <c:v>29.98</c:v>
                </c:pt>
                <c:pt idx="17">
                  <c:v>30.23</c:v>
                </c:pt>
                <c:pt idx="18">
                  <c:v>47</c:v>
                </c:pt>
                <c:pt idx="19">
                  <c:v>29.73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A9A-41FB-BB8B-17C54432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</a:t>
                </a:r>
                <a:r>
                  <a:rPr lang="en-IN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Calculate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'1M_IV_BS_Model'!#REF!</c:f>
            </c:numRef>
          </c:xVal>
          <c:yVal>
            <c:numRef>
              <c:f>'1M_IV_BS_Model'!$O$7:$O$11</c:f>
              <c:numCache>
                <c:formatCode>0.00</c:formatCode>
                <c:ptCount val="5"/>
                <c:pt idx="0">
                  <c:v>0.49796712778371421</c:v>
                </c:pt>
                <c:pt idx="1">
                  <c:v>0.43149211717846209</c:v>
                </c:pt>
                <c:pt idx="2">
                  <c:v>0.37816498259386483</c:v>
                </c:pt>
                <c:pt idx="3">
                  <c:v>0.30786388317895413</c:v>
                </c:pt>
                <c:pt idx="4">
                  <c:v>0.29050813601065018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3-49F0-8587-433AB29A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89712"/>
        <c:axId val="1449897872"/>
      </c:scatterChart>
      <c:valAx>
        <c:axId val="14498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787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9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Put_IV smile/skew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xVal>
            <c:numRef>
              <c:f>'1M_IV_BS_Model'!#REF!</c:f>
            </c:numRef>
          </c:xVal>
          <c:yVal>
            <c:numRef>
              <c:f>'1M_IV_BS_Model'!$O$2:$O$6</c:f>
              <c:numCache>
                <c:formatCode>0.00</c:formatCode>
                <c:ptCount val="5"/>
                <c:pt idx="0">
                  <c:v>0.51408905347115297</c:v>
                </c:pt>
                <c:pt idx="1">
                  <c:v>0.43775644825050264</c:v>
                </c:pt>
                <c:pt idx="2">
                  <c:v>0.42181303239507756</c:v>
                </c:pt>
                <c:pt idx="3">
                  <c:v>0.3562154567713518</c:v>
                </c:pt>
                <c:pt idx="4">
                  <c:v>0.40885722099093025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DE-4887-A713-B50698269D20}"/>
            </c:ext>
          </c:extLst>
        </c:ser>
        <c:ser>
          <c:idx val="2"/>
          <c:order val="1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'1M_IV_BS_Model'!#REF!</c:f>
            </c:numRef>
          </c:xVal>
          <c:yVal>
            <c:numRef>
              <c:f>'1M_IV_BS_Model'!$O$7:$O$11</c:f>
              <c:numCache>
                <c:formatCode>0.00</c:formatCode>
                <c:ptCount val="5"/>
                <c:pt idx="0">
                  <c:v>0.49796712778371421</c:v>
                </c:pt>
                <c:pt idx="1">
                  <c:v>0.43149211717846209</c:v>
                </c:pt>
                <c:pt idx="2">
                  <c:v>0.37816498259386483</c:v>
                </c:pt>
                <c:pt idx="3">
                  <c:v>0.30786388317895413</c:v>
                </c:pt>
                <c:pt idx="4">
                  <c:v>0.29050813601065018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E-4887-A713-B50698269D20}"/>
            </c:ext>
          </c:extLst>
        </c:ser>
        <c:ser>
          <c:idx val="3"/>
          <c:order val="2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'1M_IV_BS_Model'!#REF!</c:f>
            </c:numRef>
          </c:xVal>
          <c:yVal>
            <c:numRef>
              <c:f>'1M_IV_BS_Model'!$H$2:$H$6</c:f>
              <c:numCache>
                <c:formatCode>0.00</c:formatCode>
                <c:ptCount val="5"/>
                <c:pt idx="0" formatCode="0.000">
                  <c:v>0.51529999999999998</c:v>
                </c:pt>
                <c:pt idx="1">
                  <c:v>0.4481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DE-4887-A713-B50698269D20}"/>
            </c:ext>
          </c:extLst>
        </c:ser>
        <c:ser>
          <c:idx val="0"/>
          <c:order val="3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'1M_IV_BS_Model'!#REF!</c:f>
            </c:numRef>
          </c:xVal>
          <c:yVal>
            <c:numRef>
              <c:f>'1M_IV_BS_Model'!$H$7:$H$11</c:f>
              <c:numCache>
                <c:formatCode>0.00</c:formatCode>
                <c:ptCount val="5"/>
                <c:pt idx="0">
                  <c:v>0.55300000000000005</c:v>
                </c:pt>
                <c:pt idx="1">
                  <c:v>0.14480999999999999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DE-4887-A713-B5069826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70272"/>
        <c:axId val="1425071712"/>
      </c:scatterChart>
      <c:valAx>
        <c:axId val="1425070272"/>
        <c:scaling>
          <c:orientation val="minMax"/>
          <c:min val="1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12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50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Put_IV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tx1">
          <a:lumMod val="5000"/>
          <a:lumOff val="9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 SABR Model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'1M_IV_SABR_Model'!$D$2:$D$21</c:f>
              <c:numCache>
                <c:formatCode>#,##0.00</c:formatCode>
                <c:ptCount val="20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20400</c:v>
                </c:pt>
                <c:pt idx="5">
                  <c:v>20450</c:v>
                </c:pt>
                <c:pt idx="6">
                  <c:v>20500</c:v>
                </c:pt>
                <c:pt idx="7">
                  <c:v>20550</c:v>
                </c:pt>
                <c:pt idx="8">
                  <c:v>20600</c:v>
                </c:pt>
                <c:pt idx="9">
                  <c:v>20650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20400</c:v>
                </c:pt>
                <c:pt idx="15">
                  <c:v>20450</c:v>
                </c:pt>
                <c:pt idx="16">
                  <c:v>20500</c:v>
                </c:pt>
                <c:pt idx="17">
                  <c:v>20550</c:v>
                </c:pt>
                <c:pt idx="18">
                  <c:v>20600</c:v>
                </c:pt>
                <c:pt idx="19">
                  <c:v>20650</c:v>
                </c:pt>
              </c:numCache>
            </c:numRef>
          </c:xVal>
          <c:yVal>
            <c:numRef>
              <c:f>'1M_IV_SABR_Model'!$N$2:$N$21</c:f>
              <c:numCache>
                <c:formatCode>General</c:formatCode>
                <c:ptCount val="20"/>
                <c:pt idx="0">
                  <c:v>4.0952170464248257E-3</c:v>
                </c:pt>
                <c:pt idx="1">
                  <c:v>3.5085693482313682E-3</c:v>
                </c:pt>
                <c:pt idx="2">
                  <c:v>2.9486896772733008E-3</c:v>
                </c:pt>
                <c:pt idx="3">
                  <c:v>2.4120685556105756E-3</c:v>
                </c:pt>
                <c:pt idx="4">
                  <c:v>2.2031858971031768E-3</c:v>
                </c:pt>
                <c:pt idx="5">
                  <c:v>2.177289234579792E-3</c:v>
                </c:pt>
                <c:pt idx="6">
                  <c:v>2.1514386573699106E-3</c:v>
                </c:pt>
                <c:pt idx="7">
                  <c:v>2.1256337422891564E-3</c:v>
                </c:pt>
                <c:pt idx="8">
                  <c:v>2.0998740642939146E-3</c:v>
                </c:pt>
                <c:pt idx="9">
                  <c:v>2.0741591963185091E-3</c:v>
                </c:pt>
                <c:pt idx="10">
                  <c:v>4.0952170464248257E-3</c:v>
                </c:pt>
                <c:pt idx="11">
                  <c:v>3.5085693482313682E-3</c:v>
                </c:pt>
                <c:pt idx="12">
                  <c:v>2.9486896772733008E-3</c:v>
                </c:pt>
                <c:pt idx="13">
                  <c:v>2.4120685556105756E-3</c:v>
                </c:pt>
                <c:pt idx="14">
                  <c:v>2.2031858971031768E-3</c:v>
                </c:pt>
                <c:pt idx="15">
                  <c:v>2.177289234579792E-3</c:v>
                </c:pt>
                <c:pt idx="16">
                  <c:v>2.1514386573699106E-3</c:v>
                </c:pt>
                <c:pt idx="17">
                  <c:v>2.1256337422891564E-3</c:v>
                </c:pt>
                <c:pt idx="18">
                  <c:v>2.0998740642939146E-3</c:v>
                </c:pt>
                <c:pt idx="19">
                  <c:v>2.0741591963185091E-3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B-45D3-9968-BFF9DECB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SABR Model IV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</a:t>
            </a:r>
          </a:p>
        </c:rich>
      </c:tx>
      <c:layout>
        <c:manualLayout>
          <c:xMode val="edge"/>
          <c:yMode val="edge"/>
          <c:x val="0.34389464474835385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27000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'1M_IV_SABR_Model'!$G$2:$G$21</c:f>
              <c:numCache>
                <c:formatCode>General</c:formatCode>
                <c:ptCount val="20"/>
                <c:pt idx="0">
                  <c:v>51.53</c:v>
                </c:pt>
                <c:pt idx="1">
                  <c:v>44.81</c:v>
                </c:pt>
                <c:pt idx="2">
                  <c:v>38.83</c:v>
                </c:pt>
                <c:pt idx="3">
                  <c:v>32.909999999999997</c:v>
                </c:pt>
                <c:pt idx="4">
                  <c:v>29.89</c:v>
                </c:pt>
                <c:pt idx="5">
                  <c:v>30.2</c:v>
                </c:pt>
                <c:pt idx="6">
                  <c:v>29.98</c:v>
                </c:pt>
                <c:pt idx="7">
                  <c:v>30.23</c:v>
                </c:pt>
                <c:pt idx="8">
                  <c:v>34</c:v>
                </c:pt>
                <c:pt idx="9">
                  <c:v>29.73</c:v>
                </c:pt>
                <c:pt idx="10">
                  <c:v>51.53</c:v>
                </c:pt>
                <c:pt idx="11">
                  <c:v>44.81</c:v>
                </c:pt>
                <c:pt idx="12">
                  <c:v>38.83</c:v>
                </c:pt>
                <c:pt idx="13">
                  <c:v>32.909999999999997</c:v>
                </c:pt>
                <c:pt idx="14">
                  <c:v>29.89</c:v>
                </c:pt>
                <c:pt idx="15">
                  <c:v>30.2</c:v>
                </c:pt>
                <c:pt idx="16">
                  <c:v>29.98</c:v>
                </c:pt>
                <c:pt idx="17">
                  <c:v>30.23</c:v>
                </c:pt>
                <c:pt idx="18">
                  <c:v>47</c:v>
                </c:pt>
                <c:pt idx="19">
                  <c:v>29.73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8-473C-B340-4108CF59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 SABR Model IV</a:t>
            </a:r>
          </a:p>
        </c:rich>
      </c:tx>
      <c:layout>
        <c:manualLayout>
          <c:xMode val="edge"/>
          <c:yMode val="edge"/>
          <c:x val="0.34389464474835385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27000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'3M_IV_SABR_Model'!$N$2:$N$19</c:f>
              <c:numCache>
                <c:formatCode>General</c:formatCode>
                <c:ptCount val="18"/>
                <c:pt idx="0">
                  <c:v>2.829794363703197E-3</c:v>
                </c:pt>
                <c:pt idx="1">
                  <c:v>2.2291563630905992E-3</c:v>
                </c:pt>
                <c:pt idx="2">
                  <c:v>1.6462267088205172E-3</c:v>
                </c:pt>
                <c:pt idx="3">
                  <c:v>1.0756040875577523E-3</c:v>
                </c:pt>
                <c:pt idx="4">
                  <c:v>5.0757501232283027E-4</c:v>
                </c:pt>
                <c:pt idx="5">
                  <c:v>1.1388923530210698E-4</c:v>
                </c:pt>
                <c:pt idx="6">
                  <c:v>6.7233488085719254E-4</c:v>
                </c:pt>
                <c:pt idx="7">
                  <c:v>1.1736142640478497E-3</c:v>
                </c:pt>
                <c:pt idx="8">
                  <c:v>1.6423931887247615E-3</c:v>
                </c:pt>
                <c:pt idx="9">
                  <c:v>1.1736142640478497E-3</c:v>
                </c:pt>
                <c:pt idx="10">
                  <c:v>2.829794363703197E-3</c:v>
                </c:pt>
                <c:pt idx="11">
                  <c:v>2.2291563630905992E-3</c:v>
                </c:pt>
                <c:pt idx="12">
                  <c:v>1.6462267088205172E-3</c:v>
                </c:pt>
                <c:pt idx="13">
                  <c:v>1.0756040875577523E-3</c:v>
                </c:pt>
                <c:pt idx="14">
                  <c:v>5.0757501232283027E-4</c:v>
                </c:pt>
                <c:pt idx="15">
                  <c:v>1.1388923530210698E-4</c:v>
                </c:pt>
                <c:pt idx="16">
                  <c:v>6.7233488085719254E-4</c:v>
                </c:pt>
                <c:pt idx="17">
                  <c:v>1.1736142640478497E-3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763-AD15-F8ECC5E1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SABR Model 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'6M_IV_SABR_Model'!$G$2:$G$19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9.4</c:v>
                </c:pt>
                <c:pt idx="3">
                  <c:v>9.4700000000000006</c:v>
                </c:pt>
                <c:pt idx="4">
                  <c:v>10.29</c:v>
                </c:pt>
                <c:pt idx="5">
                  <c:v>10.53</c:v>
                </c:pt>
                <c:pt idx="6">
                  <c:v>10.81</c:v>
                </c:pt>
                <c:pt idx="7">
                  <c:v>11.14</c:v>
                </c:pt>
                <c:pt idx="8">
                  <c:v>11.73</c:v>
                </c:pt>
                <c:pt idx="9">
                  <c:v>12.59</c:v>
                </c:pt>
                <c:pt idx="10">
                  <c:v>21.78</c:v>
                </c:pt>
                <c:pt idx="11">
                  <c:v>20.420000000000002</c:v>
                </c:pt>
                <c:pt idx="12">
                  <c:v>19.420000000000002</c:v>
                </c:pt>
                <c:pt idx="13">
                  <c:v>18.36</c:v>
                </c:pt>
                <c:pt idx="14">
                  <c:v>17.59</c:v>
                </c:pt>
                <c:pt idx="15">
                  <c:v>16.97</c:v>
                </c:pt>
                <c:pt idx="16">
                  <c:v>16.93</c:v>
                </c:pt>
                <c:pt idx="17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C-4DFD-B797-7803FB1D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</a:t>
                </a:r>
                <a:r>
                  <a:rPr lang="en-IN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 SABR Model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'6M_IV_SABR_Model'!$N$2:$N$19</c:f>
              <c:numCache>
                <c:formatCode>0.00%</c:formatCode>
                <c:ptCount val="18"/>
                <c:pt idx="0">
                  <c:v>2.6341987254046347E-3</c:v>
                </c:pt>
                <c:pt idx="1">
                  <c:v>2.0726577329017739E-3</c:v>
                </c:pt>
                <c:pt idx="2">
                  <c:v>1.528296689835175E-3</c:v>
                </c:pt>
                <c:pt idx="3">
                  <c:v>9.962760527919281E-4</c:v>
                </c:pt>
                <c:pt idx="4">
                  <c:v>4.6807421637429762E-4</c:v>
                </c:pt>
                <c:pt idx="5">
                  <c:v>1.1868183467030216E-4</c:v>
                </c:pt>
                <c:pt idx="6">
                  <c:v>6.9645727688344157E-4</c:v>
                </c:pt>
                <c:pt idx="7">
                  <c:v>1.2138768947977082E-3</c:v>
                </c:pt>
                <c:pt idx="8">
                  <c:v>1.6971823973893742E-3</c:v>
                </c:pt>
                <c:pt idx="9">
                  <c:v>2.1544548224136143E-3</c:v>
                </c:pt>
                <c:pt idx="10">
                  <c:v>2.6341987254046347E-3</c:v>
                </c:pt>
                <c:pt idx="11">
                  <c:v>2.0726577329017739E-3</c:v>
                </c:pt>
                <c:pt idx="12">
                  <c:v>1.528296689835175E-3</c:v>
                </c:pt>
                <c:pt idx="13">
                  <c:v>9.962760527919281E-4</c:v>
                </c:pt>
                <c:pt idx="14">
                  <c:v>4.6807421637429762E-4</c:v>
                </c:pt>
                <c:pt idx="15">
                  <c:v>1.1868183467030216E-4</c:v>
                </c:pt>
                <c:pt idx="16">
                  <c:v>6.9645727688344157E-4</c:v>
                </c:pt>
                <c:pt idx="17">
                  <c:v>1.2138768947977082E-3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4-4F59-A0D8-A271DBD8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SABR Model IV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Call_IV smile/skew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'1M_IV_BS_Model'!#REF!</c:f>
            </c:numRef>
          </c:xVal>
          <c:yVal>
            <c:numRef>
              <c:f>'1M_IV_BS_Model'!$H$2:$H$6</c:f>
              <c:numCache>
                <c:formatCode>0.00</c:formatCode>
                <c:ptCount val="5"/>
                <c:pt idx="0" formatCode="0.000">
                  <c:v>0.51529999999999998</c:v>
                </c:pt>
                <c:pt idx="1">
                  <c:v>0.4481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5-495F-B9CE-6ECA1E6AD4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5070272"/>
        <c:axId val="1425071712"/>
      </c:scatterChart>
      <c:valAx>
        <c:axId val="1425070272"/>
        <c:scaling>
          <c:orientation val="minMax"/>
          <c:max val="21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1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5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Call_IV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Put_IV smile/skew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'1M_IV_BS_Model'!#REF!</c:f>
            </c:numRef>
          </c:xVal>
          <c:yVal>
            <c:numRef>
              <c:f>'1M_IV_BS_Model'!$H$7:$H$11</c:f>
              <c:numCache>
                <c:formatCode>0.00</c:formatCode>
                <c:ptCount val="5"/>
                <c:pt idx="0">
                  <c:v>0.55300000000000005</c:v>
                </c:pt>
                <c:pt idx="1">
                  <c:v>0.14480999999999999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9-46B8-A28D-FBF38204C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5070272"/>
        <c:axId val="1425071712"/>
      </c:scatterChart>
      <c:valAx>
        <c:axId val="14250702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1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507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Put_IV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Calculate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'1M_IV_BS_Model'!#REF!</c:f>
            </c:numRef>
          </c:xVal>
          <c:yVal>
            <c:numRef>
              <c:f>'1M_IV_BS_Model'!$O$2:$O$6</c:f>
              <c:numCache>
                <c:formatCode>0.00</c:formatCode>
                <c:ptCount val="5"/>
                <c:pt idx="0">
                  <c:v>0.51408905347115297</c:v>
                </c:pt>
                <c:pt idx="1">
                  <c:v>0.43775644825050264</c:v>
                </c:pt>
                <c:pt idx="2">
                  <c:v>0.42181303239507756</c:v>
                </c:pt>
                <c:pt idx="3">
                  <c:v>0.3562154567713518</c:v>
                </c:pt>
                <c:pt idx="4">
                  <c:v>0.40885722099093025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4-4AAB-8C63-0F0A94CE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89712"/>
        <c:axId val="1449897872"/>
      </c:scatterChart>
      <c:valAx>
        <c:axId val="14498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787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9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;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2" name="Picture 1" descr="Call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6892EE-6CC6-4320-B562-6D12E65A0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3" name="Picture 2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55009D-6373-4D59-80D9-D3959F0F6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4" name="Picture 3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C5F1D-C35B-4215-B204-D37C7F991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5" name="Picture 4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4FB0D-38E3-41D4-B86A-BDB342CB5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6" name="Picture 5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4A7D0-D06B-4EBB-B3E5-330241FD7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7" name="Picture 6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774DB0-6E0A-40BE-8654-561DF0C0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8" name="Picture 7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F11DC-289C-43B1-9617-414697E9E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9" name="Picture 8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3037D-D830-45D9-BAED-E2FC4366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123825</xdr:rowOff>
    </xdr:to>
    <xdr:pic>
      <xdr:nvPicPr>
        <xdr:cNvPr id="10" name="Picture 9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C21E4-1CD7-4083-B3B3-42E5046DD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24</xdr:col>
      <xdr:colOff>133350</xdr:colOff>
      <xdr:row>5</xdr:row>
      <xdr:rowOff>123825</xdr:rowOff>
    </xdr:to>
    <xdr:pic>
      <xdr:nvPicPr>
        <xdr:cNvPr id="11" name="Picture 10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96C3E-F145-4BBA-BE25-D5508B72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123825</xdr:rowOff>
    </xdr:to>
    <xdr:pic>
      <xdr:nvPicPr>
        <xdr:cNvPr id="12" name="Picture 11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1DC998-FD53-4EB6-B835-6ED631F49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133350</xdr:colOff>
      <xdr:row>6</xdr:row>
      <xdr:rowOff>123825</xdr:rowOff>
    </xdr:to>
    <xdr:pic>
      <xdr:nvPicPr>
        <xdr:cNvPr id="13" name="Picture 12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29C3C-B550-4DAB-A369-90CCBCAE3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123825</xdr:rowOff>
    </xdr:to>
    <xdr:pic>
      <xdr:nvPicPr>
        <xdr:cNvPr id="14" name="Picture 13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B568C-2DF8-4BBF-AC18-BECD6174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24</xdr:col>
      <xdr:colOff>133350</xdr:colOff>
      <xdr:row>7</xdr:row>
      <xdr:rowOff>123825</xdr:rowOff>
    </xdr:to>
    <xdr:pic>
      <xdr:nvPicPr>
        <xdr:cNvPr id="15" name="Picture 14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1CA94-5FB4-4277-AA7D-DACD45B9C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123825</xdr:rowOff>
    </xdr:to>
    <xdr:pic>
      <xdr:nvPicPr>
        <xdr:cNvPr id="16" name="Picture 15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DA1A17-DA75-4EA0-ABDD-75F3DFAB7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24</xdr:col>
      <xdr:colOff>133350</xdr:colOff>
      <xdr:row>8</xdr:row>
      <xdr:rowOff>123825</xdr:rowOff>
    </xdr:to>
    <xdr:pic>
      <xdr:nvPicPr>
        <xdr:cNvPr id="17" name="Picture 16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5BCDA-20BC-4C85-86F0-DFFD1AE0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18" name="Picture 17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E49122-C8C8-43B7-B832-107545C52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24</xdr:col>
      <xdr:colOff>133350</xdr:colOff>
      <xdr:row>9</xdr:row>
      <xdr:rowOff>123825</xdr:rowOff>
    </xdr:to>
    <xdr:pic>
      <xdr:nvPicPr>
        <xdr:cNvPr id="19" name="Picture 18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7E735-986E-4BDB-9CF9-BFB80BDA1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123825</xdr:rowOff>
    </xdr:to>
    <xdr:pic>
      <xdr:nvPicPr>
        <xdr:cNvPr id="20" name="Picture 19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D7510-EF70-4EC5-BE59-30A71888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24</xdr:col>
      <xdr:colOff>133350</xdr:colOff>
      <xdr:row>10</xdr:row>
      <xdr:rowOff>123825</xdr:rowOff>
    </xdr:to>
    <xdr:pic>
      <xdr:nvPicPr>
        <xdr:cNvPr id="21" name="Picture 20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0037F-8208-4871-A537-4645696E5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123825</xdr:rowOff>
    </xdr:to>
    <xdr:pic>
      <xdr:nvPicPr>
        <xdr:cNvPr id="22" name="Picture 21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C3487-BCD4-4B8C-8408-29CCC998E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133350</xdr:colOff>
      <xdr:row>11</xdr:row>
      <xdr:rowOff>123825</xdr:rowOff>
    </xdr:to>
    <xdr:pic>
      <xdr:nvPicPr>
        <xdr:cNvPr id="23" name="Picture 22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801CD9-43CD-4A3B-A194-BACE71F40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123825</xdr:rowOff>
    </xdr:to>
    <xdr:pic>
      <xdr:nvPicPr>
        <xdr:cNvPr id="24" name="Picture 23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93D5E2-E82A-4C3E-AADC-A5C2ECFE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24</xdr:col>
      <xdr:colOff>133350</xdr:colOff>
      <xdr:row>12</xdr:row>
      <xdr:rowOff>123825</xdr:rowOff>
    </xdr:to>
    <xdr:pic>
      <xdr:nvPicPr>
        <xdr:cNvPr id="25" name="Picture 24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D8FF88-677B-4B57-ADA4-7C9E12EFB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123825</xdr:rowOff>
    </xdr:to>
    <xdr:pic>
      <xdr:nvPicPr>
        <xdr:cNvPr id="26" name="Picture 25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0F158-EFB9-42D3-BAD3-B4D32562B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24</xdr:col>
      <xdr:colOff>133350</xdr:colOff>
      <xdr:row>13</xdr:row>
      <xdr:rowOff>123825</xdr:rowOff>
    </xdr:to>
    <xdr:pic>
      <xdr:nvPicPr>
        <xdr:cNvPr id="27" name="Picture 26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539E7A-E26E-4339-8CFD-DA7BD8809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123825</xdr:rowOff>
    </xdr:to>
    <xdr:pic>
      <xdr:nvPicPr>
        <xdr:cNvPr id="28" name="Picture 27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1B47CA-C068-4053-BA90-A4DABEF86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24</xdr:col>
      <xdr:colOff>133350</xdr:colOff>
      <xdr:row>14</xdr:row>
      <xdr:rowOff>123825</xdr:rowOff>
    </xdr:to>
    <xdr:pic>
      <xdr:nvPicPr>
        <xdr:cNvPr id="29" name="Picture 28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F7C2AE-8F0D-41FE-99E5-17932A6F2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123825</xdr:rowOff>
    </xdr:to>
    <xdr:pic>
      <xdr:nvPicPr>
        <xdr:cNvPr id="30" name="Picture 29" descr="Call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A060F1-4981-4D29-9E8D-E7AA8095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24</xdr:col>
      <xdr:colOff>133350</xdr:colOff>
      <xdr:row>15</xdr:row>
      <xdr:rowOff>123825</xdr:rowOff>
    </xdr:to>
    <xdr:pic>
      <xdr:nvPicPr>
        <xdr:cNvPr id="31" name="Picture 30" descr="Put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C8CC25-8F08-4D86-B91E-EEDBEEA4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123825</xdr:rowOff>
    </xdr:to>
    <xdr:pic>
      <xdr:nvPicPr>
        <xdr:cNvPr id="32" name="Picture 31" descr="Call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C0AE84-13DF-49CE-B0D8-3E56F96D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24</xdr:col>
      <xdr:colOff>133350</xdr:colOff>
      <xdr:row>16</xdr:row>
      <xdr:rowOff>123825</xdr:rowOff>
    </xdr:to>
    <xdr:pic>
      <xdr:nvPicPr>
        <xdr:cNvPr id="33" name="Picture 32" descr="Put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B6466A-FC3B-4B8B-AD41-59BD84C06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123825</xdr:rowOff>
    </xdr:to>
    <xdr:pic>
      <xdr:nvPicPr>
        <xdr:cNvPr id="34" name="Picture 33" descr="Call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6AA97-1F51-410E-B94E-69662345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24</xdr:col>
      <xdr:colOff>133350</xdr:colOff>
      <xdr:row>17</xdr:row>
      <xdr:rowOff>123825</xdr:rowOff>
    </xdr:to>
    <xdr:pic>
      <xdr:nvPicPr>
        <xdr:cNvPr id="35" name="Picture 34" descr="Put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7B09BE-752A-4AC2-8D4E-2E7857DF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123825</xdr:rowOff>
    </xdr:to>
    <xdr:pic>
      <xdr:nvPicPr>
        <xdr:cNvPr id="36" name="Picture 35" descr="Call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E9DC7-6D1F-467A-99F6-D9EDE921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24</xdr:col>
      <xdr:colOff>133350</xdr:colOff>
      <xdr:row>18</xdr:row>
      <xdr:rowOff>123825</xdr:rowOff>
    </xdr:to>
    <xdr:pic>
      <xdr:nvPicPr>
        <xdr:cNvPr id="37" name="Picture 36" descr="Put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F0321-583B-45F2-9338-10DF2E2F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123825</xdr:rowOff>
    </xdr:to>
    <xdr:pic>
      <xdr:nvPicPr>
        <xdr:cNvPr id="38" name="Picture 37" descr="Call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306AB-335F-47C8-9336-3DCF3BAC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19</xdr:row>
      <xdr:rowOff>0</xdr:rowOff>
    </xdr:from>
    <xdr:to>
      <xdr:col>24</xdr:col>
      <xdr:colOff>133350</xdr:colOff>
      <xdr:row>19</xdr:row>
      <xdr:rowOff>123825</xdr:rowOff>
    </xdr:to>
    <xdr:pic>
      <xdr:nvPicPr>
        <xdr:cNvPr id="39" name="Picture 38" descr="Put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B9A2E-22E5-443F-98FF-91CE3DFB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123825</xdr:rowOff>
    </xdr:to>
    <xdr:pic>
      <xdr:nvPicPr>
        <xdr:cNvPr id="40" name="Picture 39" descr="Call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2951-65EC-4F62-8266-6858AB60C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24</xdr:col>
      <xdr:colOff>133350</xdr:colOff>
      <xdr:row>20</xdr:row>
      <xdr:rowOff>123825</xdr:rowOff>
    </xdr:to>
    <xdr:pic>
      <xdr:nvPicPr>
        <xdr:cNvPr id="41" name="Picture 40" descr="Put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9D7A7-ABA6-4FC5-B235-1F5EC1A6B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123825</xdr:rowOff>
    </xdr:to>
    <xdr:pic>
      <xdr:nvPicPr>
        <xdr:cNvPr id="42" name="Picture 41" descr="Calls chart for row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ADC64-B1BC-465E-9CF0-228C2174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21</xdr:row>
      <xdr:rowOff>0</xdr:rowOff>
    </xdr:from>
    <xdr:to>
      <xdr:col>24</xdr:col>
      <xdr:colOff>133350</xdr:colOff>
      <xdr:row>21</xdr:row>
      <xdr:rowOff>123825</xdr:rowOff>
    </xdr:to>
    <xdr:pic>
      <xdr:nvPicPr>
        <xdr:cNvPr id="43" name="Picture 42" descr="Puts chart for row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31723-DD1B-491F-B135-88DB1092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32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123825</xdr:rowOff>
    </xdr:to>
    <xdr:pic>
      <xdr:nvPicPr>
        <xdr:cNvPr id="44" name="Picture 43" descr="Calls chart for row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E57392-0077-4173-80C7-37893167A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22</xdr:row>
      <xdr:rowOff>0</xdr:rowOff>
    </xdr:from>
    <xdr:to>
      <xdr:col>24</xdr:col>
      <xdr:colOff>133350</xdr:colOff>
      <xdr:row>22</xdr:row>
      <xdr:rowOff>123825</xdr:rowOff>
    </xdr:to>
    <xdr:pic>
      <xdr:nvPicPr>
        <xdr:cNvPr id="45" name="Picture 44" descr="Puts chart for row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45EF5-C008-42A4-BAAE-C74E45666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97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123825</xdr:rowOff>
    </xdr:to>
    <xdr:pic>
      <xdr:nvPicPr>
        <xdr:cNvPr id="46" name="Picture 45" descr="Calls chart for row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CCC9E7-5C63-46D0-82AA-1178AC4E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23</xdr:row>
      <xdr:rowOff>0</xdr:rowOff>
    </xdr:from>
    <xdr:to>
      <xdr:col>24</xdr:col>
      <xdr:colOff>133350</xdr:colOff>
      <xdr:row>23</xdr:row>
      <xdr:rowOff>123825</xdr:rowOff>
    </xdr:to>
    <xdr:pic>
      <xdr:nvPicPr>
        <xdr:cNvPr id="47" name="Picture 46" descr="Puts chart for row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46C3B-BA5E-4B43-B6A3-A40F1C9F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62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123825</xdr:rowOff>
    </xdr:to>
    <xdr:pic>
      <xdr:nvPicPr>
        <xdr:cNvPr id="48" name="Picture 47" descr="Calls chart for 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FC1EA-918D-4958-94DD-256C6464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24</xdr:row>
      <xdr:rowOff>0</xdr:rowOff>
    </xdr:from>
    <xdr:to>
      <xdr:col>24</xdr:col>
      <xdr:colOff>133350</xdr:colOff>
      <xdr:row>24</xdr:row>
      <xdr:rowOff>123825</xdr:rowOff>
    </xdr:to>
    <xdr:pic>
      <xdr:nvPicPr>
        <xdr:cNvPr id="49" name="Picture 48" descr="Puts chart for 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34BA3-61B1-4EAA-BF6A-759A7B1E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27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123825</xdr:rowOff>
    </xdr:to>
    <xdr:pic>
      <xdr:nvPicPr>
        <xdr:cNvPr id="50" name="Picture 49" descr="Calls chart for row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97DF-7BC2-43A3-B762-D0FFAE4B7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25</xdr:row>
      <xdr:rowOff>0</xdr:rowOff>
    </xdr:from>
    <xdr:to>
      <xdr:col>24</xdr:col>
      <xdr:colOff>133350</xdr:colOff>
      <xdr:row>25</xdr:row>
      <xdr:rowOff>123825</xdr:rowOff>
    </xdr:to>
    <xdr:pic>
      <xdr:nvPicPr>
        <xdr:cNvPr id="51" name="Picture 50" descr="Puts chart for row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2155B-AA86-4A48-A996-9AF7DB4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92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123825</xdr:rowOff>
    </xdr:to>
    <xdr:pic>
      <xdr:nvPicPr>
        <xdr:cNvPr id="52" name="Picture 51" descr="Calls chart for row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F471AD-5B71-4308-BB5C-15EFC8454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133350</xdr:colOff>
      <xdr:row>26</xdr:row>
      <xdr:rowOff>123825</xdr:rowOff>
    </xdr:to>
    <xdr:pic>
      <xdr:nvPicPr>
        <xdr:cNvPr id="53" name="Picture 52" descr="Puts chart for row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3D70D0-C123-4CB7-B822-1457D876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57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123825</xdr:rowOff>
    </xdr:to>
    <xdr:pic>
      <xdr:nvPicPr>
        <xdr:cNvPr id="54" name="Picture 53" descr="Calls chart for row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8275A-B3AF-422C-9C82-E005B2793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27</xdr:row>
      <xdr:rowOff>0</xdr:rowOff>
    </xdr:from>
    <xdr:to>
      <xdr:col>24</xdr:col>
      <xdr:colOff>133350</xdr:colOff>
      <xdr:row>27</xdr:row>
      <xdr:rowOff>123825</xdr:rowOff>
    </xdr:to>
    <xdr:pic>
      <xdr:nvPicPr>
        <xdr:cNvPr id="55" name="Picture 54" descr="Puts chart for row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51C26-CDBE-4E40-9122-C0F415749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22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123825</xdr:rowOff>
    </xdr:to>
    <xdr:pic>
      <xdr:nvPicPr>
        <xdr:cNvPr id="56" name="Picture 55" descr="Calls chart for row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67942-46C7-4643-8847-0978B303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28</xdr:row>
      <xdr:rowOff>0</xdr:rowOff>
    </xdr:from>
    <xdr:to>
      <xdr:col>24</xdr:col>
      <xdr:colOff>133350</xdr:colOff>
      <xdr:row>28</xdr:row>
      <xdr:rowOff>123825</xdr:rowOff>
    </xdr:to>
    <xdr:pic>
      <xdr:nvPicPr>
        <xdr:cNvPr id="57" name="Picture 56" descr="Puts chart for row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FEBD8A-E905-4A9E-9A4A-A99F3843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87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123825</xdr:rowOff>
    </xdr:to>
    <xdr:pic>
      <xdr:nvPicPr>
        <xdr:cNvPr id="58" name="Picture 57" descr="Calls chart for row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E2D707-404C-4DEC-9744-B3424110A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29</xdr:row>
      <xdr:rowOff>0</xdr:rowOff>
    </xdr:from>
    <xdr:to>
      <xdr:col>24</xdr:col>
      <xdr:colOff>133350</xdr:colOff>
      <xdr:row>29</xdr:row>
      <xdr:rowOff>123825</xdr:rowOff>
    </xdr:to>
    <xdr:pic>
      <xdr:nvPicPr>
        <xdr:cNvPr id="59" name="Picture 58" descr="Puts chart for row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9D8877-DFA3-481F-A402-4BC456D51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123825</xdr:rowOff>
    </xdr:to>
    <xdr:pic>
      <xdr:nvPicPr>
        <xdr:cNvPr id="60" name="Picture 59" descr="Calls chart for row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7CB4D-B618-4F07-9DED-93E8480D2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133350</xdr:colOff>
      <xdr:row>30</xdr:row>
      <xdr:rowOff>123825</xdr:rowOff>
    </xdr:to>
    <xdr:pic>
      <xdr:nvPicPr>
        <xdr:cNvPr id="61" name="Picture 60" descr="Puts chart for row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90231-9EEA-48FE-8E62-7F998B2C9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118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123825</xdr:rowOff>
    </xdr:to>
    <xdr:pic>
      <xdr:nvPicPr>
        <xdr:cNvPr id="62" name="Picture 61" descr="Calls chart for row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1D9B0-50FD-4328-AA70-3B9D92A71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31</xdr:row>
      <xdr:rowOff>0</xdr:rowOff>
    </xdr:from>
    <xdr:to>
      <xdr:col>24</xdr:col>
      <xdr:colOff>133350</xdr:colOff>
      <xdr:row>31</xdr:row>
      <xdr:rowOff>123825</xdr:rowOff>
    </xdr:to>
    <xdr:pic>
      <xdr:nvPicPr>
        <xdr:cNvPr id="63" name="Picture 62" descr="Puts chart for row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22014B-F64C-456B-A60B-F318485F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283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123825</xdr:rowOff>
    </xdr:to>
    <xdr:pic>
      <xdr:nvPicPr>
        <xdr:cNvPr id="64" name="Picture 63" descr="Calls chart for row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F3BF4-1F2A-4ABD-BF4A-EF9DD9B19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32</xdr:row>
      <xdr:rowOff>0</xdr:rowOff>
    </xdr:from>
    <xdr:to>
      <xdr:col>24</xdr:col>
      <xdr:colOff>133350</xdr:colOff>
      <xdr:row>32</xdr:row>
      <xdr:rowOff>123825</xdr:rowOff>
    </xdr:to>
    <xdr:pic>
      <xdr:nvPicPr>
        <xdr:cNvPr id="65" name="Picture 64" descr="Puts chart for row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F9545B-B7AE-499A-AA66-95EB5F5A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448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123825</xdr:rowOff>
    </xdr:to>
    <xdr:pic>
      <xdr:nvPicPr>
        <xdr:cNvPr id="66" name="Picture 65" descr="Calls chart for row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F30F9-3E5E-4858-BDFC-CC0894FA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33</xdr:row>
      <xdr:rowOff>0</xdr:rowOff>
    </xdr:from>
    <xdr:to>
      <xdr:col>24</xdr:col>
      <xdr:colOff>133350</xdr:colOff>
      <xdr:row>33</xdr:row>
      <xdr:rowOff>123825</xdr:rowOff>
    </xdr:to>
    <xdr:pic>
      <xdr:nvPicPr>
        <xdr:cNvPr id="67" name="Picture 66" descr="Puts chart for row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589F4A-AAB6-41EB-B68D-CAB716B95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613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123825</xdr:rowOff>
    </xdr:to>
    <xdr:pic>
      <xdr:nvPicPr>
        <xdr:cNvPr id="68" name="Picture 67" descr="Calls chart for row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ED872-24E3-4C0D-9DFF-57B18E88B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8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34</xdr:row>
      <xdr:rowOff>0</xdr:rowOff>
    </xdr:from>
    <xdr:to>
      <xdr:col>24</xdr:col>
      <xdr:colOff>133350</xdr:colOff>
      <xdr:row>34</xdr:row>
      <xdr:rowOff>123825</xdr:rowOff>
    </xdr:to>
    <xdr:pic>
      <xdr:nvPicPr>
        <xdr:cNvPr id="69" name="Picture 68" descr="Puts chart for row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18573-8C09-45BA-9351-BAA6813B9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78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123825</xdr:rowOff>
    </xdr:to>
    <xdr:pic>
      <xdr:nvPicPr>
        <xdr:cNvPr id="70" name="Picture 69" descr="Calls chart for row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F4E95-BBA4-4049-A619-A3267472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35</xdr:row>
      <xdr:rowOff>0</xdr:rowOff>
    </xdr:from>
    <xdr:to>
      <xdr:col>24</xdr:col>
      <xdr:colOff>133350</xdr:colOff>
      <xdr:row>35</xdr:row>
      <xdr:rowOff>123825</xdr:rowOff>
    </xdr:to>
    <xdr:pic>
      <xdr:nvPicPr>
        <xdr:cNvPr id="71" name="Picture 70" descr="Puts chart for row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B47D2-A836-49E7-B4FE-8C4277B0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43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123825</xdr:rowOff>
    </xdr:to>
    <xdr:pic>
      <xdr:nvPicPr>
        <xdr:cNvPr id="72" name="Picture 71" descr="Calls chart for row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0771B-D60E-44BE-B00F-40FB2F39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36</xdr:row>
      <xdr:rowOff>0</xdr:rowOff>
    </xdr:from>
    <xdr:to>
      <xdr:col>24</xdr:col>
      <xdr:colOff>133350</xdr:colOff>
      <xdr:row>36</xdr:row>
      <xdr:rowOff>123825</xdr:rowOff>
    </xdr:to>
    <xdr:pic>
      <xdr:nvPicPr>
        <xdr:cNvPr id="73" name="Picture 72" descr="Puts chart for row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4F36D-17E1-47AA-BD71-E95783CA3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108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123825</xdr:rowOff>
    </xdr:to>
    <xdr:pic>
      <xdr:nvPicPr>
        <xdr:cNvPr id="74" name="Picture 73" descr="Calls chart for row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2AC366-5502-4C8A-BEF4-E3D1CAAAA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3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37</xdr:row>
      <xdr:rowOff>0</xdr:rowOff>
    </xdr:from>
    <xdr:to>
      <xdr:col>24</xdr:col>
      <xdr:colOff>133350</xdr:colOff>
      <xdr:row>37</xdr:row>
      <xdr:rowOff>123825</xdr:rowOff>
    </xdr:to>
    <xdr:pic>
      <xdr:nvPicPr>
        <xdr:cNvPr id="75" name="Picture 74" descr="Puts chart for row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1A5E6-C976-4310-9FB4-D798EFD25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273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123825</xdr:rowOff>
    </xdr:to>
    <xdr:pic>
      <xdr:nvPicPr>
        <xdr:cNvPr id="76" name="Picture 75" descr="Calls chart for row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C928-BA74-4E01-8A2E-330ABFC8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38</xdr:row>
      <xdr:rowOff>0</xdr:rowOff>
    </xdr:from>
    <xdr:to>
      <xdr:col>24</xdr:col>
      <xdr:colOff>133350</xdr:colOff>
      <xdr:row>38</xdr:row>
      <xdr:rowOff>123825</xdr:rowOff>
    </xdr:to>
    <xdr:pic>
      <xdr:nvPicPr>
        <xdr:cNvPr id="77" name="Picture 76" descr="Puts chart for row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1E9C3F-17A9-429E-A79D-B1E445334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438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123825</xdr:rowOff>
    </xdr:to>
    <xdr:pic>
      <xdr:nvPicPr>
        <xdr:cNvPr id="78" name="Picture 77" descr="Calls chart for row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F4CF1D-250C-4CFF-8850-86F3643A0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39</xdr:row>
      <xdr:rowOff>0</xdr:rowOff>
    </xdr:from>
    <xdr:to>
      <xdr:col>24</xdr:col>
      <xdr:colOff>133350</xdr:colOff>
      <xdr:row>39</xdr:row>
      <xdr:rowOff>123825</xdr:rowOff>
    </xdr:to>
    <xdr:pic>
      <xdr:nvPicPr>
        <xdr:cNvPr id="79" name="Picture 78" descr="Puts chart for row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1701B2-78C4-4300-8A2B-EBA1A822C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123825</xdr:rowOff>
    </xdr:to>
    <xdr:pic>
      <xdr:nvPicPr>
        <xdr:cNvPr id="80" name="Picture 79" descr="Calls chart for row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DBB13-C258-4EEC-BAA8-B3338788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40</xdr:row>
      <xdr:rowOff>0</xdr:rowOff>
    </xdr:from>
    <xdr:to>
      <xdr:col>24</xdr:col>
      <xdr:colOff>133350</xdr:colOff>
      <xdr:row>40</xdr:row>
      <xdr:rowOff>123825</xdr:rowOff>
    </xdr:to>
    <xdr:pic>
      <xdr:nvPicPr>
        <xdr:cNvPr id="81" name="Picture 80" descr="Puts chart for row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1598A-B2E9-47C1-A6E8-761C32D8D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769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123825</xdr:rowOff>
    </xdr:to>
    <xdr:pic>
      <xdr:nvPicPr>
        <xdr:cNvPr id="82" name="Picture 81" descr="Calls chart for row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758652-57CE-4FA5-8F73-3B14BCCC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41</xdr:row>
      <xdr:rowOff>0</xdr:rowOff>
    </xdr:from>
    <xdr:to>
      <xdr:col>24</xdr:col>
      <xdr:colOff>133350</xdr:colOff>
      <xdr:row>41</xdr:row>
      <xdr:rowOff>123825</xdr:rowOff>
    </xdr:to>
    <xdr:pic>
      <xdr:nvPicPr>
        <xdr:cNvPr id="83" name="Picture 82" descr="Puts chart for row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5A28C-AA18-48C5-9CB6-D031BC47D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934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123825</xdr:rowOff>
    </xdr:to>
    <xdr:pic>
      <xdr:nvPicPr>
        <xdr:cNvPr id="84" name="Picture 83" descr="Calls chart for row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08E31-0328-4748-9E79-D4A142D6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9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42</xdr:row>
      <xdr:rowOff>0</xdr:rowOff>
    </xdr:from>
    <xdr:to>
      <xdr:col>24</xdr:col>
      <xdr:colOff>133350</xdr:colOff>
      <xdr:row>42</xdr:row>
      <xdr:rowOff>123825</xdr:rowOff>
    </xdr:to>
    <xdr:pic>
      <xdr:nvPicPr>
        <xdr:cNvPr id="85" name="Picture 84" descr="Puts chart for row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7D014-D165-4824-B3BF-3605DF2F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099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123825</xdr:rowOff>
    </xdr:to>
    <xdr:pic>
      <xdr:nvPicPr>
        <xdr:cNvPr id="86" name="Picture 85" descr="Calls chart for row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2EA054-891B-4054-97F4-3B0878BF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4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43</xdr:row>
      <xdr:rowOff>0</xdr:rowOff>
    </xdr:from>
    <xdr:to>
      <xdr:col>24</xdr:col>
      <xdr:colOff>133350</xdr:colOff>
      <xdr:row>43</xdr:row>
      <xdr:rowOff>123825</xdr:rowOff>
    </xdr:to>
    <xdr:pic>
      <xdr:nvPicPr>
        <xdr:cNvPr id="87" name="Picture 86" descr="Puts chart for row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F852B1-696D-45DD-BE02-1233E7760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264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123825</xdr:rowOff>
    </xdr:to>
    <xdr:pic>
      <xdr:nvPicPr>
        <xdr:cNvPr id="88" name="Picture 87" descr="Calls chart for row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D74AC9-FEB1-4ABE-A514-90DDEBCC5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24</xdr:col>
      <xdr:colOff>133350</xdr:colOff>
      <xdr:row>44</xdr:row>
      <xdr:rowOff>123825</xdr:rowOff>
    </xdr:to>
    <xdr:pic>
      <xdr:nvPicPr>
        <xdr:cNvPr id="89" name="Picture 88" descr="Puts chart for row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F25B0-E26A-4740-961B-A501CD6B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429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123825</xdr:rowOff>
    </xdr:to>
    <xdr:pic>
      <xdr:nvPicPr>
        <xdr:cNvPr id="90" name="Picture 89" descr="Calls chart for row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388C1-D151-4D24-B309-7967453F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45</xdr:row>
      <xdr:rowOff>0</xdr:rowOff>
    </xdr:from>
    <xdr:to>
      <xdr:col>24</xdr:col>
      <xdr:colOff>133350</xdr:colOff>
      <xdr:row>45</xdr:row>
      <xdr:rowOff>123825</xdr:rowOff>
    </xdr:to>
    <xdr:pic>
      <xdr:nvPicPr>
        <xdr:cNvPr id="91" name="Picture 90" descr="Puts chart for row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E16F30-3A5D-4225-9CF0-58513C43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594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123825</xdr:rowOff>
    </xdr:to>
    <xdr:pic>
      <xdr:nvPicPr>
        <xdr:cNvPr id="92" name="Picture 91" descr="Calls chart for row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F127DC-B384-4C34-8DAC-00721C48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24</xdr:col>
      <xdr:colOff>133350</xdr:colOff>
      <xdr:row>46</xdr:row>
      <xdr:rowOff>123825</xdr:rowOff>
    </xdr:to>
    <xdr:pic>
      <xdr:nvPicPr>
        <xdr:cNvPr id="93" name="Picture 92" descr="Puts chart for row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F40554-A2A4-4F62-8E94-4BCF54A13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759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123825</xdr:rowOff>
    </xdr:to>
    <xdr:pic>
      <xdr:nvPicPr>
        <xdr:cNvPr id="94" name="Picture 93" descr="Calls chart for row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B35F8-0326-4F13-AC65-32515A941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133350</xdr:colOff>
      <xdr:row>47</xdr:row>
      <xdr:rowOff>123825</xdr:rowOff>
    </xdr:to>
    <xdr:pic>
      <xdr:nvPicPr>
        <xdr:cNvPr id="95" name="Picture 94" descr="Puts chart for row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95CC8-918C-44D5-9FD4-A718CDBF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924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123825</xdr:rowOff>
    </xdr:to>
    <xdr:pic>
      <xdr:nvPicPr>
        <xdr:cNvPr id="96" name="Picture 95" descr="Calls chart for row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99303-A965-4C64-BC41-1FD53E76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9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24</xdr:col>
      <xdr:colOff>133350</xdr:colOff>
      <xdr:row>48</xdr:row>
      <xdr:rowOff>123825</xdr:rowOff>
    </xdr:to>
    <xdr:pic>
      <xdr:nvPicPr>
        <xdr:cNvPr id="97" name="Picture 96" descr="Puts chart for row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2ACB7-AF49-45FB-A1B0-59269D538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089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123825</xdr:rowOff>
    </xdr:to>
    <xdr:pic>
      <xdr:nvPicPr>
        <xdr:cNvPr id="98" name="Picture 97" descr="Calls chart for row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C0CFC-B789-4693-A22B-456A2F14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49</xdr:row>
      <xdr:rowOff>0</xdr:rowOff>
    </xdr:from>
    <xdr:to>
      <xdr:col>24</xdr:col>
      <xdr:colOff>133350</xdr:colOff>
      <xdr:row>49</xdr:row>
      <xdr:rowOff>123825</xdr:rowOff>
    </xdr:to>
    <xdr:pic>
      <xdr:nvPicPr>
        <xdr:cNvPr id="99" name="Picture 98" descr="Puts chart for row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4D1C8-52B3-49E1-A6A0-3F30DDC5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123825</xdr:rowOff>
    </xdr:to>
    <xdr:pic>
      <xdr:nvPicPr>
        <xdr:cNvPr id="100" name="Picture 99" descr="Calls chart for row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38D62-06D5-435D-8ACF-FD030D3F4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50</xdr:row>
      <xdr:rowOff>0</xdr:rowOff>
    </xdr:from>
    <xdr:to>
      <xdr:col>24</xdr:col>
      <xdr:colOff>133350</xdr:colOff>
      <xdr:row>50</xdr:row>
      <xdr:rowOff>123825</xdr:rowOff>
    </xdr:to>
    <xdr:pic>
      <xdr:nvPicPr>
        <xdr:cNvPr id="101" name="Picture 100" descr="Puts chart for row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F0E666-CE7D-45BE-AD07-3C745359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420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123825</xdr:rowOff>
    </xdr:to>
    <xdr:pic>
      <xdr:nvPicPr>
        <xdr:cNvPr id="102" name="Picture 101" descr="Calls chart for row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18DF94-95BF-484C-A74D-43AEE9802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51</xdr:row>
      <xdr:rowOff>0</xdr:rowOff>
    </xdr:from>
    <xdr:to>
      <xdr:col>24</xdr:col>
      <xdr:colOff>133350</xdr:colOff>
      <xdr:row>51</xdr:row>
      <xdr:rowOff>123825</xdr:rowOff>
    </xdr:to>
    <xdr:pic>
      <xdr:nvPicPr>
        <xdr:cNvPr id="103" name="Picture 102" descr="Puts chart for row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06E75A-0C44-493D-AC41-85D87E78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85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04" name="Picture 103" descr="Call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76155-44BF-4A53-A683-9C314B52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05" name="Picture 104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2CFD4C-DBEE-4F56-93E9-A308E633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06" name="Picture 105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955709-E09E-4DC4-886E-DD451D11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07" name="Picture 106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C8D85E-1625-4B9C-91F7-3727F0CDB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08" name="Picture 107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66D0FB-E29C-4E73-AF47-1D7F07B3B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09" name="Picture 108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960E4-7D43-468D-972E-B141B7A0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10" name="Picture 109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694D6-B70F-4B7B-9C2A-8C8C53C0F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11" name="Picture 110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477CA-4B69-429A-BDD9-DDC9EDD0E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133350</xdr:colOff>
      <xdr:row>62</xdr:row>
      <xdr:rowOff>123825</xdr:rowOff>
    </xdr:to>
    <xdr:pic>
      <xdr:nvPicPr>
        <xdr:cNvPr id="112" name="Picture 111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492E86-6492-495C-B45C-FFCAD3277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133350</xdr:colOff>
      <xdr:row>62</xdr:row>
      <xdr:rowOff>123825</xdr:rowOff>
    </xdr:to>
    <xdr:pic>
      <xdr:nvPicPr>
        <xdr:cNvPr id="113" name="Picture 112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DB152-7F67-4316-B67E-83DB945A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133350</xdr:colOff>
      <xdr:row>63</xdr:row>
      <xdr:rowOff>123825</xdr:rowOff>
    </xdr:to>
    <xdr:pic>
      <xdr:nvPicPr>
        <xdr:cNvPr id="114" name="Picture 113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90C89-7238-4583-8B88-CDCC0ACC5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133350</xdr:colOff>
      <xdr:row>63</xdr:row>
      <xdr:rowOff>123825</xdr:rowOff>
    </xdr:to>
    <xdr:pic>
      <xdr:nvPicPr>
        <xdr:cNvPr id="115" name="Picture 114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0C12E-C5D2-4779-BF62-43A1E9BE1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133350</xdr:colOff>
      <xdr:row>64</xdr:row>
      <xdr:rowOff>123825</xdr:rowOff>
    </xdr:to>
    <xdr:pic>
      <xdr:nvPicPr>
        <xdr:cNvPr id="116" name="Picture 115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11559E-E935-4CE7-9E44-2A5971BA3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64</xdr:row>
      <xdr:rowOff>0</xdr:rowOff>
    </xdr:from>
    <xdr:to>
      <xdr:col>24</xdr:col>
      <xdr:colOff>133350</xdr:colOff>
      <xdr:row>64</xdr:row>
      <xdr:rowOff>123825</xdr:rowOff>
    </xdr:to>
    <xdr:pic>
      <xdr:nvPicPr>
        <xdr:cNvPr id="117" name="Picture 116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E53B0-29F3-49DA-9B38-C7D2E973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133350</xdr:colOff>
      <xdr:row>65</xdr:row>
      <xdr:rowOff>123825</xdr:rowOff>
    </xdr:to>
    <xdr:pic>
      <xdr:nvPicPr>
        <xdr:cNvPr id="118" name="Picture 117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53D07-2599-4181-A506-4277117A3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65</xdr:row>
      <xdr:rowOff>0</xdr:rowOff>
    </xdr:from>
    <xdr:to>
      <xdr:col>24</xdr:col>
      <xdr:colOff>133350</xdr:colOff>
      <xdr:row>65</xdr:row>
      <xdr:rowOff>123825</xdr:rowOff>
    </xdr:to>
    <xdr:pic>
      <xdr:nvPicPr>
        <xdr:cNvPr id="119" name="Picture 118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A6B8E-EA8C-448F-9502-A76CB5E51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133350</xdr:colOff>
      <xdr:row>66</xdr:row>
      <xdr:rowOff>123825</xdr:rowOff>
    </xdr:to>
    <xdr:pic>
      <xdr:nvPicPr>
        <xdr:cNvPr id="120" name="Picture 119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808FC0-5F3B-4683-8CFC-2976FC97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133350</xdr:colOff>
      <xdr:row>66</xdr:row>
      <xdr:rowOff>123825</xdr:rowOff>
    </xdr:to>
    <xdr:pic>
      <xdr:nvPicPr>
        <xdr:cNvPr id="121" name="Picture 120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86906-8098-4CE7-ADF0-281A17BE0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133350</xdr:colOff>
      <xdr:row>67</xdr:row>
      <xdr:rowOff>123825</xdr:rowOff>
    </xdr:to>
    <xdr:pic>
      <xdr:nvPicPr>
        <xdr:cNvPr id="122" name="Picture 121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B4E29-F190-41F2-81DD-057F820C3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67</xdr:row>
      <xdr:rowOff>0</xdr:rowOff>
    </xdr:from>
    <xdr:to>
      <xdr:col>24</xdr:col>
      <xdr:colOff>133350</xdr:colOff>
      <xdr:row>67</xdr:row>
      <xdr:rowOff>123825</xdr:rowOff>
    </xdr:to>
    <xdr:pic>
      <xdr:nvPicPr>
        <xdr:cNvPr id="123" name="Picture 122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EC83E-935E-4FC0-B849-E15B5DF4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123825</xdr:rowOff>
    </xdr:to>
    <xdr:pic>
      <xdr:nvPicPr>
        <xdr:cNvPr id="124" name="Picture 123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CA003-2331-4BA0-8C27-179B995F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68</xdr:row>
      <xdr:rowOff>0</xdr:rowOff>
    </xdr:from>
    <xdr:to>
      <xdr:col>24</xdr:col>
      <xdr:colOff>133350</xdr:colOff>
      <xdr:row>68</xdr:row>
      <xdr:rowOff>123825</xdr:rowOff>
    </xdr:to>
    <xdr:pic>
      <xdr:nvPicPr>
        <xdr:cNvPr id="125" name="Picture 124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B62A6-6917-4C3B-9E7D-B919B27E3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133350</xdr:colOff>
      <xdr:row>69</xdr:row>
      <xdr:rowOff>123825</xdr:rowOff>
    </xdr:to>
    <xdr:pic>
      <xdr:nvPicPr>
        <xdr:cNvPr id="126" name="Picture 125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0C450-7D62-4F4E-B61A-E5E1384C8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69</xdr:row>
      <xdr:rowOff>0</xdr:rowOff>
    </xdr:from>
    <xdr:to>
      <xdr:col>24</xdr:col>
      <xdr:colOff>133350</xdr:colOff>
      <xdr:row>69</xdr:row>
      <xdr:rowOff>123825</xdr:rowOff>
    </xdr:to>
    <xdr:pic>
      <xdr:nvPicPr>
        <xdr:cNvPr id="127" name="Picture 126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17D46F-5CE8-4231-831B-186CC46C4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133350</xdr:colOff>
      <xdr:row>70</xdr:row>
      <xdr:rowOff>123825</xdr:rowOff>
    </xdr:to>
    <xdr:pic>
      <xdr:nvPicPr>
        <xdr:cNvPr id="128" name="Picture 127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0DA3D1-9A17-44CD-8884-F32C590B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70</xdr:row>
      <xdr:rowOff>0</xdr:rowOff>
    </xdr:from>
    <xdr:to>
      <xdr:col>24</xdr:col>
      <xdr:colOff>133350</xdr:colOff>
      <xdr:row>70</xdr:row>
      <xdr:rowOff>123825</xdr:rowOff>
    </xdr:to>
    <xdr:pic>
      <xdr:nvPicPr>
        <xdr:cNvPr id="129" name="Picture 128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D704D-DD99-4F31-8D39-540A09A1D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133350</xdr:colOff>
      <xdr:row>71</xdr:row>
      <xdr:rowOff>123825</xdr:rowOff>
    </xdr:to>
    <xdr:pic>
      <xdr:nvPicPr>
        <xdr:cNvPr id="130" name="Picture 129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2399-E1D3-411B-95FC-92D2E1145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71</xdr:row>
      <xdr:rowOff>0</xdr:rowOff>
    </xdr:from>
    <xdr:to>
      <xdr:col>24</xdr:col>
      <xdr:colOff>133350</xdr:colOff>
      <xdr:row>71</xdr:row>
      <xdr:rowOff>123825</xdr:rowOff>
    </xdr:to>
    <xdr:pic>
      <xdr:nvPicPr>
        <xdr:cNvPr id="131" name="Picture 130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BD9832-5223-4DD7-AE8D-9E578992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2" name="Picture 131" descr="Call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BE13EB-A477-4039-BA90-AA26D2224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3" name="Picture 132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0C65B-8E81-44DD-BB97-951F03AB8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4" name="Picture 133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B0AA8-1B90-4CDD-AF84-4683A5ED2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5" name="Picture 134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52CD7-F4DF-46F2-86A4-1FE3F775C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6" name="Picture 135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9315D-0BD4-4E32-9887-5FF5C7515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7" name="Picture 136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88D33-0333-42D9-B626-46038C83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8" name="Picture 137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83240-5582-4F34-8ABA-29DBBF3C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9" name="Picture 138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AFC17D-81F0-4F31-AC12-B12D9442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0" name="Picture 139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240B0F-CC61-473F-845B-2C136B91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1" name="Picture 140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AD071-CFCB-4A35-9535-99B7110CF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2" name="Picture 141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1E48D-6551-488B-999A-2976E96D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3" name="Picture 142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E2228-F352-4EF8-A0BD-7BC578DB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4" name="Picture 143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BD7B0B-285D-4521-A078-0FD1E265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5" name="Picture 144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7E18F-CAE6-4065-8264-301DBC3F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6" name="Picture 145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B5D18-0663-4A03-8FA8-9CCEA26C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7" name="Picture 146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A94C2F-CDC0-4D24-B215-41D0D658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8" name="Picture 147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74C704-F8A5-4640-B39A-999117A89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9" name="Picture 148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D3051-3E9A-41AC-A203-CCE527CCE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133350</xdr:colOff>
      <xdr:row>81</xdr:row>
      <xdr:rowOff>123825</xdr:rowOff>
    </xdr:to>
    <xdr:pic>
      <xdr:nvPicPr>
        <xdr:cNvPr id="150" name="Picture 149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0DB23-CD02-432B-A9EA-4423C4ED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81</xdr:row>
      <xdr:rowOff>0</xdr:rowOff>
    </xdr:from>
    <xdr:to>
      <xdr:col>24</xdr:col>
      <xdr:colOff>133350</xdr:colOff>
      <xdr:row>81</xdr:row>
      <xdr:rowOff>123825</xdr:rowOff>
    </xdr:to>
    <xdr:pic>
      <xdr:nvPicPr>
        <xdr:cNvPr id="151" name="Picture 150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77281C-2B04-4E2C-A036-DDB3B0D6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133350</xdr:colOff>
      <xdr:row>82</xdr:row>
      <xdr:rowOff>123825</xdr:rowOff>
    </xdr:to>
    <xdr:pic>
      <xdr:nvPicPr>
        <xdr:cNvPr id="152" name="Picture 151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A9989-9BDD-4DCC-8A68-81EB03509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82</xdr:row>
      <xdr:rowOff>0</xdr:rowOff>
    </xdr:from>
    <xdr:to>
      <xdr:col>24</xdr:col>
      <xdr:colOff>133350</xdr:colOff>
      <xdr:row>82</xdr:row>
      <xdr:rowOff>123825</xdr:rowOff>
    </xdr:to>
    <xdr:pic>
      <xdr:nvPicPr>
        <xdr:cNvPr id="153" name="Picture 152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5A4A0D-3E00-41A4-B7CA-38AFC4B54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133350</xdr:colOff>
      <xdr:row>83</xdr:row>
      <xdr:rowOff>123825</xdr:rowOff>
    </xdr:to>
    <xdr:pic>
      <xdr:nvPicPr>
        <xdr:cNvPr id="154" name="Picture 153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A91F0D-BDEC-4464-962A-E487B48C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83</xdr:row>
      <xdr:rowOff>0</xdr:rowOff>
    </xdr:from>
    <xdr:to>
      <xdr:col>24</xdr:col>
      <xdr:colOff>133350</xdr:colOff>
      <xdr:row>83</xdr:row>
      <xdr:rowOff>123825</xdr:rowOff>
    </xdr:to>
    <xdr:pic>
      <xdr:nvPicPr>
        <xdr:cNvPr id="155" name="Picture 154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6FB01B-89C4-40E3-B411-9FA2B192C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133350</xdr:colOff>
      <xdr:row>84</xdr:row>
      <xdr:rowOff>123825</xdr:rowOff>
    </xdr:to>
    <xdr:pic>
      <xdr:nvPicPr>
        <xdr:cNvPr id="156" name="Picture 155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D56DF3-BAD6-4499-80F6-536CABA9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84</xdr:row>
      <xdr:rowOff>0</xdr:rowOff>
    </xdr:from>
    <xdr:to>
      <xdr:col>24</xdr:col>
      <xdr:colOff>133350</xdr:colOff>
      <xdr:row>84</xdr:row>
      <xdr:rowOff>123825</xdr:rowOff>
    </xdr:to>
    <xdr:pic>
      <xdr:nvPicPr>
        <xdr:cNvPr id="157" name="Picture 156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617A5-9C8E-40D0-BA1E-A22B97C1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133350</xdr:colOff>
      <xdr:row>85</xdr:row>
      <xdr:rowOff>123825</xdr:rowOff>
    </xdr:to>
    <xdr:pic>
      <xdr:nvPicPr>
        <xdr:cNvPr id="158" name="Picture 157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A928D1-7489-4BEB-9B48-D605EA63C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85</xdr:row>
      <xdr:rowOff>0</xdr:rowOff>
    </xdr:from>
    <xdr:to>
      <xdr:col>24</xdr:col>
      <xdr:colOff>133350</xdr:colOff>
      <xdr:row>85</xdr:row>
      <xdr:rowOff>123825</xdr:rowOff>
    </xdr:to>
    <xdr:pic>
      <xdr:nvPicPr>
        <xdr:cNvPr id="159" name="Picture 158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93858-E6B8-4CBC-8E3E-06BE1A34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133350</xdr:colOff>
      <xdr:row>86</xdr:row>
      <xdr:rowOff>123825</xdr:rowOff>
    </xdr:to>
    <xdr:pic>
      <xdr:nvPicPr>
        <xdr:cNvPr id="160" name="Picture 159" descr="Call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EB4533-01B5-4349-9E15-9C48FBA72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86</xdr:row>
      <xdr:rowOff>0</xdr:rowOff>
    </xdr:from>
    <xdr:to>
      <xdr:col>24</xdr:col>
      <xdr:colOff>133350</xdr:colOff>
      <xdr:row>86</xdr:row>
      <xdr:rowOff>123825</xdr:rowOff>
    </xdr:to>
    <xdr:pic>
      <xdr:nvPicPr>
        <xdr:cNvPr id="161" name="Picture 160" descr="Put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19AE4-6859-46BA-A94F-F7060FF5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133350</xdr:colOff>
      <xdr:row>87</xdr:row>
      <xdr:rowOff>123825</xdr:rowOff>
    </xdr:to>
    <xdr:pic>
      <xdr:nvPicPr>
        <xdr:cNvPr id="162" name="Picture 161" descr="Call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DA4D8-7758-45ED-B78D-3EFA384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87</xdr:row>
      <xdr:rowOff>0</xdr:rowOff>
    </xdr:from>
    <xdr:to>
      <xdr:col>24</xdr:col>
      <xdr:colOff>133350</xdr:colOff>
      <xdr:row>87</xdr:row>
      <xdr:rowOff>123825</xdr:rowOff>
    </xdr:to>
    <xdr:pic>
      <xdr:nvPicPr>
        <xdr:cNvPr id="163" name="Picture 162" descr="Put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D9B825-2B00-4B27-BD38-56D8C68F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133350</xdr:colOff>
      <xdr:row>88</xdr:row>
      <xdr:rowOff>123825</xdr:rowOff>
    </xdr:to>
    <xdr:pic>
      <xdr:nvPicPr>
        <xdr:cNvPr id="164" name="Picture 163" descr="Call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C28B8-B92C-4F98-B566-19957C8E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88</xdr:row>
      <xdr:rowOff>0</xdr:rowOff>
    </xdr:from>
    <xdr:to>
      <xdr:col>24</xdr:col>
      <xdr:colOff>133350</xdr:colOff>
      <xdr:row>88</xdr:row>
      <xdr:rowOff>123825</xdr:rowOff>
    </xdr:to>
    <xdr:pic>
      <xdr:nvPicPr>
        <xdr:cNvPr id="165" name="Picture 164" descr="Put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D0B0D-A3FC-49D1-ACF1-BD04E24D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133350</xdr:colOff>
      <xdr:row>89</xdr:row>
      <xdr:rowOff>123825</xdr:rowOff>
    </xdr:to>
    <xdr:pic>
      <xdr:nvPicPr>
        <xdr:cNvPr id="166" name="Picture 165" descr="Call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566375-1DF6-495D-8F10-ED9E4D3F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89</xdr:row>
      <xdr:rowOff>0</xdr:rowOff>
    </xdr:from>
    <xdr:to>
      <xdr:col>24</xdr:col>
      <xdr:colOff>133350</xdr:colOff>
      <xdr:row>89</xdr:row>
      <xdr:rowOff>123825</xdr:rowOff>
    </xdr:to>
    <xdr:pic>
      <xdr:nvPicPr>
        <xdr:cNvPr id="167" name="Picture 166" descr="Put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747C1-CF6B-478E-A345-01F1AD566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133350</xdr:colOff>
      <xdr:row>90</xdr:row>
      <xdr:rowOff>123825</xdr:rowOff>
    </xdr:to>
    <xdr:pic>
      <xdr:nvPicPr>
        <xdr:cNvPr id="168" name="Picture 167" descr="Call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11082-17CD-4A9E-98F2-93B613AC9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90</xdr:row>
      <xdr:rowOff>0</xdr:rowOff>
    </xdr:from>
    <xdr:to>
      <xdr:col>24</xdr:col>
      <xdr:colOff>133350</xdr:colOff>
      <xdr:row>90</xdr:row>
      <xdr:rowOff>123825</xdr:rowOff>
    </xdr:to>
    <xdr:pic>
      <xdr:nvPicPr>
        <xdr:cNvPr id="169" name="Picture 168" descr="Put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C7A5A-59F1-46F2-B182-BC0BA29C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133350</xdr:colOff>
      <xdr:row>91</xdr:row>
      <xdr:rowOff>123825</xdr:rowOff>
    </xdr:to>
    <xdr:pic>
      <xdr:nvPicPr>
        <xdr:cNvPr id="170" name="Picture 169" descr="Call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B2DD4-AD63-4C2E-82DB-99BD5391F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91</xdr:row>
      <xdr:rowOff>0</xdr:rowOff>
    </xdr:from>
    <xdr:to>
      <xdr:col>24</xdr:col>
      <xdr:colOff>133350</xdr:colOff>
      <xdr:row>91</xdr:row>
      <xdr:rowOff>123825</xdr:rowOff>
    </xdr:to>
    <xdr:pic>
      <xdr:nvPicPr>
        <xdr:cNvPr id="171" name="Picture 170" descr="Put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8CE3BB-B368-4F70-92C9-3864067C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182106</xdr:colOff>
      <xdr:row>45</xdr:row>
      <xdr:rowOff>118444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388AD3-7937-5579-5F49-2E2B39C9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7500"/>
          <a:ext cx="8106906" cy="6944694"/>
        </a:xfrm>
        <a:prstGeom prst="rect">
          <a:avLst/>
        </a:prstGeom>
      </xdr:spPr>
    </xdr:pic>
    <xdr:clientData/>
  </xdr:twoCellAnchor>
  <xdr:twoCellAnchor editAs="oneCell">
    <xdr:from>
      <xdr:col>1</xdr:col>
      <xdr:colOff>393700</xdr:colOff>
      <xdr:row>47</xdr:row>
      <xdr:rowOff>50800</xdr:rowOff>
    </xdr:from>
    <xdr:to>
      <xdr:col>14</xdr:col>
      <xdr:colOff>566280</xdr:colOff>
      <xdr:row>71</xdr:row>
      <xdr:rowOff>98963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BA2A62-0784-B44E-A0D6-0F26F2A83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300" y="7512050"/>
          <a:ext cx="8097380" cy="3858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492126</xdr:colOff>
      <xdr:row>13</xdr:row>
      <xdr:rowOff>38101</xdr:rowOff>
    </xdr:from>
    <xdr:to>
      <xdr:col>9</xdr:col>
      <xdr:colOff>406401</xdr:colOff>
      <xdr:row>19</xdr:row>
      <xdr:rowOff>69753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E7C54-D6C3-527F-B8D4-503D3446D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126" y="2143126"/>
          <a:ext cx="10648950" cy="100320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41</xdr:row>
      <xdr:rowOff>9525</xdr:rowOff>
    </xdr:from>
    <xdr:to>
      <xdr:col>5</xdr:col>
      <xdr:colOff>292100</xdr:colOff>
      <xdr:row>58</xdr:row>
      <xdr:rowOff>17943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CB1C1A-4685-F80C-5369-C04B2975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5100" y="6800850"/>
          <a:ext cx="7153275" cy="2761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429728</xdr:colOff>
      <xdr:row>77</xdr:row>
      <xdr:rowOff>28828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C4FB2E-6EC9-A507-3B76-7B65BDC3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10839450"/>
          <a:ext cx="7906853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6</xdr:col>
      <xdr:colOff>29623</xdr:colOff>
      <xdr:row>94</xdr:row>
      <xdr:rowOff>143144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4E5892-02F6-4BAE-FF15-590EABEC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13592175"/>
          <a:ext cx="7506748" cy="1924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63500</xdr:rowOff>
    </xdr:from>
    <xdr:to>
      <xdr:col>9</xdr:col>
      <xdr:colOff>161925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87372-3A08-0597-B640-C09E4687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673100</xdr:colOff>
      <xdr:row>41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84F4B-3AC1-4C53-ACB3-CBFD91A00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19050</xdr:rowOff>
    </xdr:from>
    <xdr:to>
      <xdr:col>9</xdr:col>
      <xdr:colOff>495300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14B1-AFF3-4E26-9672-748E319C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21</xdr:col>
      <xdr:colOff>371475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18DD9-2206-449D-B1C8-5C00BE96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15875</xdr:rowOff>
    </xdr:from>
    <xdr:to>
      <xdr:col>9</xdr:col>
      <xdr:colOff>266700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7E626-886C-462F-BF11-E7D25A94E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21</xdr:row>
      <xdr:rowOff>9525</xdr:rowOff>
    </xdr:from>
    <xdr:to>
      <xdr:col>21</xdr:col>
      <xdr:colOff>257175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14D96-B54F-44CB-8F43-1CBA6688F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33</xdr:row>
      <xdr:rowOff>142875</xdr:rowOff>
    </xdr:from>
    <xdr:to>
      <xdr:col>8</xdr:col>
      <xdr:colOff>296276</xdr:colOff>
      <xdr:row>49</xdr:row>
      <xdr:rowOff>38447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7FB71C-B65F-950D-8FAD-7C874AA8A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86400"/>
          <a:ext cx="7170151" cy="24863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76200</xdr:rowOff>
    </xdr:from>
    <xdr:to>
      <xdr:col>9</xdr:col>
      <xdr:colOff>190500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9EFB8-B919-0972-8271-27CA7C6C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13</xdr:row>
      <xdr:rowOff>53975</xdr:rowOff>
    </xdr:from>
    <xdr:to>
      <xdr:col>16</xdr:col>
      <xdr:colOff>485775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CF582-E694-4C0C-964B-24446628D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912812</xdr:colOff>
      <xdr:row>34</xdr:row>
      <xdr:rowOff>142875</xdr:rowOff>
    </xdr:from>
    <xdr:to>
      <xdr:col>8</xdr:col>
      <xdr:colOff>211137</xdr:colOff>
      <xdr:row>51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DAA3D-6618-CB45-5502-D1BF072CB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35</xdr:row>
      <xdr:rowOff>47625</xdr:rowOff>
    </xdr:from>
    <xdr:to>
      <xdr:col>16</xdr:col>
      <xdr:colOff>234950</xdr:colOff>
      <xdr:row>52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86D877-F11E-4E86-933E-91551219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161924</xdr:rowOff>
    </xdr:from>
    <xdr:to>
      <xdr:col>17</xdr:col>
      <xdr:colOff>409575</xdr:colOff>
      <xdr:row>90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043E87-FA4E-4EE4-98FC-34C18E193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6</xdr:row>
      <xdr:rowOff>19050</xdr:rowOff>
    </xdr:from>
    <xdr:to>
      <xdr:col>5</xdr:col>
      <xdr:colOff>22638</xdr:colOff>
      <xdr:row>9</xdr:row>
      <xdr:rowOff>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B430D5-E764-C85C-8831-7BFF135C4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1530350"/>
          <a:ext cx="2962688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10</xdr:row>
      <xdr:rowOff>44450</xdr:rowOff>
    </xdr:from>
    <xdr:to>
      <xdr:col>12</xdr:col>
      <xdr:colOff>467798</xdr:colOff>
      <xdr:row>26</xdr:row>
      <xdr:rowOff>133717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66602-7A1C-CAC7-F7D9-12CEC79BA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2190750"/>
          <a:ext cx="7687748" cy="2629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139700</xdr:rowOff>
    </xdr:from>
    <xdr:to>
      <xdr:col>14</xdr:col>
      <xdr:colOff>220252</xdr:colOff>
      <xdr:row>38</xdr:row>
      <xdr:rowOff>156419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588072-F19E-5D4F-1AA8-47C32FCDF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39700"/>
          <a:ext cx="8430802" cy="60492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77232</xdr:colOff>
      <xdr:row>61</xdr:row>
      <xdr:rowOff>156018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E828C9-3C2A-DB53-1CCA-7EBDA596B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667500"/>
          <a:ext cx="7392432" cy="317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derivatives?symbol=NIFTY&amp;identifier=OPTIDXNIFTY26-06-2025PE22100.00" TargetMode="External"/><Relationship Id="rId21" Type="http://schemas.openxmlformats.org/officeDocument/2006/relationships/hyperlink" Target="https://www.nseindia.com/get-quotes/derivatives?symbol=NIFTY&amp;identifier=OPTIDXNIFTY26-06-2025PE20500.00" TargetMode="External"/><Relationship Id="rId42" Type="http://schemas.openxmlformats.org/officeDocument/2006/relationships/hyperlink" Target="https://www.nseindia.com/get-quotes/derivatives?symbol=NIFTY&amp;identifier=OPTIDXNIFTY26-06-2025PE20850.00" TargetMode="External"/><Relationship Id="rId63" Type="http://schemas.openxmlformats.org/officeDocument/2006/relationships/hyperlink" Target="https://www.nseindia.com/get-quotes/derivatives?symbol=NIFTY&amp;identifier=OPTIDXNIFTY26-06-2025PE21200.00" TargetMode="External"/><Relationship Id="rId84" Type="http://schemas.openxmlformats.org/officeDocument/2006/relationships/hyperlink" Target="https://www.nseindia.com/get-quotes/derivatives?symbol=NIFTY&amp;identifier=OPTIDXNIFTY26-06-2025PE21550.00" TargetMode="External"/><Relationship Id="rId138" Type="http://schemas.openxmlformats.org/officeDocument/2006/relationships/hyperlink" Target="https://www.nseindia.com/get-quotes/derivatives?symbol=NIFTY&amp;identifier=OPTIDXNIFTY26-06-2025PE22450.00" TargetMode="External"/><Relationship Id="rId159" Type="http://schemas.openxmlformats.org/officeDocument/2006/relationships/hyperlink" Target="https://www.nseindia.com/get-quotes/derivatives?symbol=NIFTY&amp;identifier=OPTIDXNIFTY25-09-2025PE24000.00" TargetMode="External"/><Relationship Id="rId170" Type="http://schemas.openxmlformats.org/officeDocument/2006/relationships/hyperlink" Target="javascript:;" TargetMode="External"/><Relationship Id="rId191" Type="http://schemas.openxmlformats.org/officeDocument/2006/relationships/hyperlink" Target="javascript:;" TargetMode="External"/><Relationship Id="rId205" Type="http://schemas.openxmlformats.org/officeDocument/2006/relationships/hyperlink" Target="https://www.nseindia.com/get-quotes/derivatives?symbol=NIFTY&amp;identifier=OPTIDXNIFTY24-12-2025CE29000.00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14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60" Type="http://schemas.openxmlformats.org/officeDocument/2006/relationships/hyperlink" Target="https://www.nseindia.com/get-quotes/derivatives?symbol=NIFTY&amp;identifier=OPTIDXNIFTY25-09-2025CE25000.00" TargetMode="External"/><Relationship Id="rId181" Type="http://schemas.openxmlformats.org/officeDocument/2006/relationships/hyperlink" Target="https://www.nseindia.com/get-quotes/derivatives?symbol=NIFTY&amp;identifier=OPTIDXNIFTY24-12-2025CE21000.00" TargetMode="External"/><Relationship Id="rId22" Type="http://schemas.openxmlformats.org/officeDocument/2006/relationships/hyperlink" Target="https://www.nseindia.com/get-quotes/derivatives?symbol=NIFTY&amp;identifier=OPTIDXNIFTY26-06-2025CE20550.00" TargetMode="External"/><Relationship Id="rId43" Type="http://schemas.openxmlformats.org/officeDocument/2006/relationships/hyperlink" Target="https://www.nseindia.com/get-quotes/derivatives?symbol=NIFTY&amp;identifier=OPTIDXNIFTY26-06-2025CE20900.00" TargetMode="External"/><Relationship Id="rId64" Type="http://schemas.openxmlformats.org/officeDocument/2006/relationships/hyperlink" Target="https://www.nseindia.com/get-quotes/derivatives?symbol=NIFTY&amp;identifier=OPTIDXNIFTY26-06-2025CE21250.00" TargetMode="External"/><Relationship Id="rId118" Type="http://schemas.openxmlformats.org/officeDocument/2006/relationships/hyperlink" Target="https://www.nseindia.com/get-quotes/derivatives?symbol=NIFTY&amp;identifier=OPTIDXNIFTY26-06-2025CE22150.00" TargetMode="External"/><Relationship Id="rId139" Type="http://schemas.openxmlformats.org/officeDocument/2006/relationships/hyperlink" Target="https://www.nseindia.com/get-quotes/derivatives?symbol=NIFTY&amp;identifier=OPTIDXNIFTY26-06-2025CE22500.00" TargetMode="External"/><Relationship Id="rId85" Type="http://schemas.openxmlformats.org/officeDocument/2006/relationships/hyperlink" Target="https://www.nseindia.com/get-quotes/derivatives?symbol=NIFTY&amp;identifier=OPTIDXNIFTY26-06-2025CE21600.00" TargetMode="External"/><Relationship Id="rId150" Type="http://schemas.openxmlformats.org/officeDocument/2006/relationships/hyperlink" Target="https://www.nseindia.com/get-quotes/derivatives?symbol=NIFTY&amp;identifier=OPTIDXNIFTY25-09-2025PE21000.00" TargetMode="External"/><Relationship Id="rId171" Type="http://schemas.openxmlformats.org/officeDocument/2006/relationships/hyperlink" Target="https://www.nseindia.com/get-quotes/derivatives?symbol=NIFTY&amp;identifier=OPTIDXNIFTY25-09-2025PE28000.00" TargetMode="External"/><Relationship Id="rId192" Type="http://schemas.openxmlformats.org/officeDocument/2006/relationships/hyperlink" Target="https://www.nseindia.com/get-quotes/derivatives?symbol=NIFTY&amp;identifier=OPTIDXNIFTY24-12-2025PE24000.00" TargetMode="External"/><Relationship Id="rId206" Type="http://schemas.openxmlformats.org/officeDocument/2006/relationships/hyperlink" Target="javascript:;" TargetMode="External"/><Relationship Id="rId12" Type="http://schemas.openxmlformats.org/officeDocument/2006/relationships/hyperlink" Target="https://www.nseindia.com/get-quotes/derivatives?symbol=NIFTY&amp;identifier=OPTIDXNIFTY26-06-2025PE20000.00" TargetMode="External"/><Relationship Id="rId33" Type="http://schemas.openxmlformats.org/officeDocument/2006/relationships/hyperlink" Target="https://www.nseindia.com/get-quotes/derivatives?symbol=NIFTY&amp;identifier=OPTIDXNIFTY26-06-2025PE20700.00" TargetMode="External"/><Relationship Id="rId108" Type="http://schemas.openxmlformats.org/officeDocument/2006/relationships/hyperlink" Target="https://www.nseindia.com/get-quotes/derivatives?symbol=NIFTY&amp;identifier=OPTIDXNIFTY26-06-2025PE21950.00" TargetMode="External"/><Relationship Id="rId129" Type="http://schemas.openxmlformats.org/officeDocument/2006/relationships/hyperlink" Target="https://www.nseindia.com/get-quotes/derivatives?symbol=NIFTY&amp;identifier=OPTIDXNIFTY26-06-2025PE22300.00" TargetMode="External"/><Relationship Id="rId54" Type="http://schemas.openxmlformats.org/officeDocument/2006/relationships/hyperlink" Target="https://www.nseindia.com/get-quotes/derivatives?symbol=NIFTY&amp;identifier=OPTIDXNIFTY26-06-2025PE21050.00" TargetMode="External"/><Relationship Id="rId75" Type="http://schemas.openxmlformats.org/officeDocument/2006/relationships/hyperlink" Target="https://www.nseindia.com/get-quotes/derivatives?symbol=NIFTY&amp;identifier=OPTIDXNIFTY26-06-2025PE21400.00" TargetMode="External"/><Relationship Id="rId96" Type="http://schemas.openxmlformats.org/officeDocument/2006/relationships/hyperlink" Target="https://www.nseindia.com/get-quotes/derivatives?symbol=NIFTY&amp;identifier=OPTIDXNIFTY26-06-2025PE21750.00" TargetMode="External"/><Relationship Id="rId140" Type="http://schemas.openxmlformats.org/officeDocument/2006/relationships/hyperlink" Target="javascript:;" TargetMode="External"/><Relationship Id="rId161" Type="http://schemas.openxmlformats.org/officeDocument/2006/relationships/hyperlink" Target="javascript:;" TargetMode="External"/><Relationship Id="rId182" Type="http://schemas.openxmlformats.org/officeDocument/2006/relationships/hyperlink" Target="javascript:;" TargetMode="External"/><Relationship Id="rId6" Type="http://schemas.openxmlformats.org/officeDocument/2006/relationships/hyperlink" Target="https://www.nseindia.com/get-quotes/derivatives?symbol=NIFTY&amp;identifier=OPTIDXNIFTY26-06-2025PE18000.00" TargetMode="External"/><Relationship Id="rId23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130" Type="http://schemas.openxmlformats.org/officeDocument/2006/relationships/hyperlink" Target="https://www.nseindia.com/get-quotes/derivatives?symbol=NIFTY&amp;identifier=OPTIDXNIFTY26-06-2025CE22350.00" TargetMode="External"/><Relationship Id="rId151" Type="http://schemas.openxmlformats.org/officeDocument/2006/relationships/hyperlink" Target="https://www.nseindia.com/get-quotes/derivatives?symbol=NIFTY&amp;identifier=OPTIDXNIFTY25-09-2025CE22000.00" TargetMode="External"/><Relationship Id="rId172" Type="http://schemas.openxmlformats.org/officeDocument/2006/relationships/hyperlink" Target="https://www.nseindia.com/get-quotes/derivatives?symbol=NIFTY&amp;identifier=OPTIDXNIFTY25-09-2025CE29000.00" TargetMode="External"/><Relationship Id="rId193" Type="http://schemas.openxmlformats.org/officeDocument/2006/relationships/hyperlink" Target="https://www.nseindia.com/get-quotes/derivatives?symbol=NIFTY&amp;identifier=OPTIDXNIFTY24-12-2025CE25000.00" TargetMode="External"/><Relationship Id="rId207" Type="http://schemas.openxmlformats.org/officeDocument/2006/relationships/hyperlink" Target="https://www.nseindia.com/get-quotes/derivatives?symbol=NIFTY&amp;identifier=OPTIDXNIFTY24-12-2025PE29000.00" TargetMode="External"/><Relationship Id="rId13" Type="http://schemas.openxmlformats.org/officeDocument/2006/relationships/hyperlink" Target="https://www.nseindia.com/get-quotes/derivatives?symbol=NIFTY&amp;identifier=OPTIDXNIFTY26-06-2025CE20400.00" TargetMode="External"/><Relationship Id="rId109" Type="http://schemas.openxmlformats.org/officeDocument/2006/relationships/hyperlink" Target="https://www.nseindia.com/get-quotes/derivatives?symbol=NIFTY&amp;identifier=OPTIDXNIFTY26-06-2025CE22000.00" TargetMode="External"/><Relationship Id="rId34" Type="http://schemas.openxmlformats.org/officeDocument/2006/relationships/hyperlink" Target="https://www.nseindia.com/get-quotes/derivatives?symbol=NIFTY&amp;identifier=OPTIDXNIFTY26-06-2025CE20750.00" TargetMode="External"/><Relationship Id="rId55" Type="http://schemas.openxmlformats.org/officeDocument/2006/relationships/hyperlink" Target="https://www.nseindia.com/get-quotes/derivatives?symbol=NIFTY&amp;identifier=OPTIDXNIFTY26-06-2025CE21100.00" TargetMode="External"/><Relationship Id="rId76" Type="http://schemas.openxmlformats.org/officeDocument/2006/relationships/hyperlink" Target="https://www.nseindia.com/get-quotes/derivatives?symbol=NIFTY&amp;identifier=OPTIDXNIFTY26-06-2025CE21450.00" TargetMode="External"/><Relationship Id="rId97" Type="http://schemas.openxmlformats.org/officeDocument/2006/relationships/hyperlink" Target="https://www.nseindia.com/get-quotes/derivatives?symbol=NIFTY&amp;identifier=OPTIDXNIFTY26-06-2025CE21800.00" TargetMode="External"/><Relationship Id="rId120" Type="http://schemas.openxmlformats.org/officeDocument/2006/relationships/hyperlink" Target="https://www.nseindia.com/get-quotes/derivatives?symbol=NIFTY&amp;identifier=OPTIDXNIFTY26-06-2025PE22150.00" TargetMode="External"/><Relationship Id="rId141" Type="http://schemas.openxmlformats.org/officeDocument/2006/relationships/hyperlink" Target="https://www.nseindia.com/get-quotes/derivatives?symbol=NIFTY&amp;identifier=OPTIDXNIFTY26-06-2025PE22500.00" TargetMode="External"/><Relationship Id="rId7" Type="http://schemas.openxmlformats.org/officeDocument/2006/relationships/hyperlink" Target="https://www.nseindia.com/get-quotes/derivatives?symbol=NIFTY&amp;identifier=OPTIDXNIFTY26-06-2025CE19000.00" TargetMode="External"/><Relationship Id="rId162" Type="http://schemas.openxmlformats.org/officeDocument/2006/relationships/hyperlink" Target="https://www.nseindia.com/get-quotes/derivatives?symbol=NIFTY&amp;identifier=OPTIDXNIFTY25-09-2025PE25000.00" TargetMode="External"/><Relationship Id="rId183" Type="http://schemas.openxmlformats.org/officeDocument/2006/relationships/hyperlink" Target="https://www.nseindia.com/get-quotes/derivatives?symbol=NIFTY&amp;identifier=OPTIDXNIFTY24-12-2025PE21000.00" TargetMode="External"/><Relationship Id="rId24" Type="http://schemas.openxmlformats.org/officeDocument/2006/relationships/hyperlink" Target="https://www.nseindia.com/get-quotes/derivatives?symbol=NIFTY&amp;identifier=OPTIDXNIFTY26-06-2025PE20550.00" TargetMode="External"/><Relationship Id="rId45" Type="http://schemas.openxmlformats.org/officeDocument/2006/relationships/hyperlink" Target="https://www.nseindia.com/get-quotes/derivatives?symbol=NIFTY&amp;identifier=OPTIDXNIFTY26-06-2025PE20900.00" TargetMode="External"/><Relationship Id="rId66" Type="http://schemas.openxmlformats.org/officeDocument/2006/relationships/hyperlink" Target="https://www.nseindia.com/get-quotes/derivatives?symbol=NIFTY&amp;identifier=OPTIDXNIFTY26-06-2025PE21250.00" TargetMode="External"/><Relationship Id="rId87" Type="http://schemas.openxmlformats.org/officeDocument/2006/relationships/hyperlink" Target="https://www.nseindia.com/get-quotes/derivatives?symbol=NIFTY&amp;identifier=OPTIDXNIFTY26-06-2025PE21600.00" TargetMode="External"/><Relationship Id="rId110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52" Type="http://schemas.openxmlformats.org/officeDocument/2006/relationships/hyperlink" Target="javascript:;" TargetMode="External"/><Relationship Id="rId173" Type="http://schemas.openxmlformats.org/officeDocument/2006/relationships/hyperlink" Target="javascript:;" TargetMode="External"/><Relationship Id="rId194" Type="http://schemas.openxmlformats.org/officeDocument/2006/relationships/hyperlink" Target="javascript:;" TargetMode="External"/><Relationship Id="rId208" Type="http://schemas.openxmlformats.org/officeDocument/2006/relationships/hyperlink" Target="https://www.nseindia.com/get-quotes/derivatives?symbol=NIFTY&amp;identifier=OPTIDXNIFTY24-12-2025CE30000.00" TargetMode="External"/><Relationship Id="rId19" Type="http://schemas.openxmlformats.org/officeDocument/2006/relationships/hyperlink" Target="https://www.nseindia.com/get-quotes/derivatives?symbol=NIFTY&amp;identifier=OPTIDXNIFTY26-06-2025CE20500.00" TargetMode="External"/><Relationship Id="rId14" Type="http://schemas.openxmlformats.org/officeDocument/2006/relationships/hyperlink" Target="javascript:;" TargetMode="External"/><Relationship Id="rId30" Type="http://schemas.openxmlformats.org/officeDocument/2006/relationships/hyperlink" Target="https://www.nseindia.com/get-quotes/derivatives?symbol=NIFTY&amp;identifier=OPTIDXNIFTY26-06-2025PE20650.00" TargetMode="External"/><Relationship Id="rId35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https://www.nseindia.com/get-quotes/derivatives?symbol=NIFTY&amp;identifier=OPTIDXNIFTY26-06-2025CE21850.00" TargetMode="External"/><Relationship Id="rId105" Type="http://schemas.openxmlformats.org/officeDocument/2006/relationships/hyperlink" Target="https://www.nseindia.com/get-quotes/derivatives?symbol=NIFTY&amp;identifier=OPTIDXNIFTY26-06-2025PE21900.00" TargetMode="External"/><Relationship Id="rId126" Type="http://schemas.openxmlformats.org/officeDocument/2006/relationships/hyperlink" Target="https://www.nseindia.com/get-quotes/derivatives?symbol=NIFTY&amp;identifier=OPTIDXNIFTY26-06-2025PE22250.00" TargetMode="External"/><Relationship Id="rId147" Type="http://schemas.openxmlformats.org/officeDocument/2006/relationships/hyperlink" Target="https://www.nseindia.com/get-quotes/derivatives?symbol=NIFTY&amp;identifier=OPTIDXNIFTY25-09-2025PE20000.00" TargetMode="External"/><Relationship Id="rId168" Type="http://schemas.openxmlformats.org/officeDocument/2006/relationships/hyperlink" Target="https://www.nseindia.com/get-quotes/derivatives?symbol=NIFTY&amp;identifier=OPTIDXNIFTY25-09-2025PE27000.00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https://www.nseindia.com/get-quotes/derivatives?symbol=NIFTY&amp;identifier=OPTIDXNIFTY26-06-2025PE21000.00" TargetMode="External"/><Relationship Id="rId72" Type="http://schemas.openxmlformats.org/officeDocument/2006/relationships/hyperlink" Target="https://www.nseindia.com/get-quotes/derivatives?symbol=NIFTY&amp;identifier=OPTIDXNIFTY26-06-2025PE21350.00" TargetMode="External"/><Relationship Id="rId93" Type="http://schemas.openxmlformats.org/officeDocument/2006/relationships/hyperlink" Target="https://www.nseindia.com/get-quotes/derivatives?symbol=NIFTY&amp;identifier=OPTIDXNIFTY26-06-2025PE21700.00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https://www.nseindia.com/get-quotes/derivatives?symbol=NIFTY&amp;identifier=OPTIDXNIFTY26-06-2025CE22200.00" TargetMode="External"/><Relationship Id="rId142" Type="http://schemas.openxmlformats.org/officeDocument/2006/relationships/hyperlink" Target="https://www.nseindia.com/get-quotes/derivatives?symbol=NIFTY&amp;identifier=OPTIDXNIFTY26-06-2025CE22550.00" TargetMode="External"/><Relationship Id="rId163" Type="http://schemas.openxmlformats.org/officeDocument/2006/relationships/hyperlink" Target="https://www.nseindia.com/get-quotes/derivatives?symbol=NIFTY&amp;identifier=OPTIDXNIFTY25-09-2025CE26000.00" TargetMode="External"/><Relationship Id="rId184" Type="http://schemas.openxmlformats.org/officeDocument/2006/relationships/hyperlink" Target="https://www.nseindia.com/get-quotes/derivatives?symbol=NIFTY&amp;identifier=OPTIDXNIFTY24-12-2025CE22000.00" TargetMode="External"/><Relationship Id="rId189" Type="http://schemas.openxmlformats.org/officeDocument/2006/relationships/hyperlink" Target="https://www.nseindia.com/get-quotes/derivatives?symbol=NIFTY&amp;identifier=OPTIDXNIFTY24-12-2025PE23000.00" TargetMode="External"/><Relationship Id="rId3" Type="http://schemas.openxmlformats.org/officeDocument/2006/relationships/hyperlink" Target="https://www.nseindia.com/get-quotes/derivatives?symbol=NIFTY&amp;identifier=OPTIDXNIFTY26-06-2025PE17000.00" TargetMode="External"/><Relationship Id="rId214" Type="http://schemas.openxmlformats.org/officeDocument/2006/relationships/drawing" Target="../drawings/drawing1.xml"/><Relationship Id="rId25" Type="http://schemas.openxmlformats.org/officeDocument/2006/relationships/hyperlink" Target="https://www.nseindia.com/get-quotes/derivatives?symbol=NIFTY&amp;identifier=OPTIDXNIFTY26-06-2025CE20600.00" TargetMode="External"/><Relationship Id="rId46" Type="http://schemas.openxmlformats.org/officeDocument/2006/relationships/hyperlink" Target="https://www.nseindia.com/get-quotes/derivatives?symbol=NIFTY&amp;identifier=OPTIDXNIFTY26-06-2025CE20950.00" TargetMode="External"/><Relationship Id="rId67" Type="http://schemas.openxmlformats.org/officeDocument/2006/relationships/hyperlink" Target="https://www.nseindia.com/get-quotes/derivatives?symbol=NIFTY&amp;identifier=OPTIDXNIFTY26-06-2025CE21300.00" TargetMode="External"/><Relationship Id="rId116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15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https://www.nseindia.com/get-quotes/derivatives?symbol=NIFTY&amp;identifier=OPTIDXNIFTY26-06-2025CE21650.00" TargetMode="External"/><Relationship Id="rId111" Type="http://schemas.openxmlformats.org/officeDocument/2006/relationships/hyperlink" Target="https://www.nseindia.com/get-quotes/derivatives?symbol=NIFTY&amp;identifier=OPTIDXNIFTY26-06-2025PE22000.00" TargetMode="External"/><Relationship Id="rId132" Type="http://schemas.openxmlformats.org/officeDocument/2006/relationships/hyperlink" Target="https://www.nseindia.com/get-quotes/derivatives?symbol=NIFTY&amp;identifier=OPTIDXNIFTY26-06-2025PE22350.00" TargetMode="External"/><Relationship Id="rId153" Type="http://schemas.openxmlformats.org/officeDocument/2006/relationships/hyperlink" Target="https://www.nseindia.com/get-quotes/derivatives?symbol=NIFTY&amp;identifier=OPTIDXNIFTY25-09-2025PE22000.00" TargetMode="External"/><Relationship Id="rId174" Type="http://schemas.openxmlformats.org/officeDocument/2006/relationships/hyperlink" Target="https://www.nseindia.com/get-quotes/derivatives?symbol=null&amp;identifier=null" TargetMode="External"/><Relationship Id="rId179" Type="http://schemas.openxmlformats.org/officeDocument/2006/relationships/hyperlink" Target="javascript:;" TargetMode="External"/><Relationship Id="rId195" Type="http://schemas.openxmlformats.org/officeDocument/2006/relationships/hyperlink" Target="https://www.nseindia.com/get-quotes/derivatives?symbol=NIFTY&amp;identifier=OPTIDXNIFTY24-12-2025PE25000.00" TargetMode="External"/><Relationship Id="rId209" Type="http://schemas.openxmlformats.org/officeDocument/2006/relationships/hyperlink" Target="javascript:;" TargetMode="External"/><Relationship Id="rId190" Type="http://schemas.openxmlformats.org/officeDocument/2006/relationships/hyperlink" Target="https://www.nseindia.com/get-quotes/derivatives?symbol=NIFTY&amp;identifier=OPTIDXNIFTY24-12-2025CE24000.00" TargetMode="External"/><Relationship Id="rId204" Type="http://schemas.openxmlformats.org/officeDocument/2006/relationships/hyperlink" Target="https://www.nseindia.com/get-quotes/derivatives?symbol=NIFTY&amp;identifier=OPTIDXNIFTY24-12-2025PE28000.00" TargetMode="External"/><Relationship Id="rId15" Type="http://schemas.openxmlformats.org/officeDocument/2006/relationships/hyperlink" Target="https://www.nseindia.com/get-quotes/derivatives?symbol=NIFTY&amp;identifier=OPTIDXNIFTY26-06-2025PE20400.00" TargetMode="External"/><Relationship Id="rId36" Type="http://schemas.openxmlformats.org/officeDocument/2006/relationships/hyperlink" Target="https://www.nseindia.com/get-quotes/derivatives?symbol=NIFTY&amp;identifier=OPTIDXNIFTY26-06-2025PE20750.00" TargetMode="External"/><Relationship Id="rId57" Type="http://schemas.openxmlformats.org/officeDocument/2006/relationships/hyperlink" Target="https://www.nseindia.com/get-quotes/derivatives?symbol=NIFTY&amp;identifier=OPTIDXNIFTY26-06-2025PE21100.00" TargetMode="External"/><Relationship Id="rId106" Type="http://schemas.openxmlformats.org/officeDocument/2006/relationships/hyperlink" Target="https://www.nseindia.com/get-quotes/derivatives?symbol=NIFTY&amp;identifier=OPTIDXNIFTY26-06-2025CE21950.00" TargetMode="External"/><Relationship Id="rId127" Type="http://schemas.openxmlformats.org/officeDocument/2006/relationships/hyperlink" Target="https://www.nseindia.com/get-quotes/derivatives?symbol=NIFTY&amp;identifier=OPTIDXNIFTY26-06-2025CE22300.00" TargetMode="External"/><Relationship Id="rId10" Type="http://schemas.openxmlformats.org/officeDocument/2006/relationships/hyperlink" Target="https://www.nseindia.com/get-quotes/derivatives?symbol=NIFTY&amp;identifier=OPTIDXNIFTY26-06-2025CE20000.00" TargetMode="External"/><Relationship Id="rId31" Type="http://schemas.openxmlformats.org/officeDocument/2006/relationships/hyperlink" Target="https://www.nseindia.com/get-quotes/derivatives?symbol=NIFTY&amp;identifier=OPTIDXNIFTY26-06-2025CE20700.00" TargetMode="External"/><Relationship Id="rId52" Type="http://schemas.openxmlformats.org/officeDocument/2006/relationships/hyperlink" Target="https://www.nseindia.com/get-quotes/derivatives?symbol=NIFTY&amp;identifier=OPTIDXNIFTY26-06-2025CE21050.00" TargetMode="External"/><Relationship Id="rId73" Type="http://schemas.openxmlformats.org/officeDocument/2006/relationships/hyperlink" Target="https://www.nseindia.com/get-quotes/derivatives?symbol=NIFTY&amp;identifier=OPTIDXNIFTY26-06-2025CE21400.00" TargetMode="External"/><Relationship Id="rId78" Type="http://schemas.openxmlformats.org/officeDocument/2006/relationships/hyperlink" Target="https://www.nseindia.com/get-quotes/derivatives?symbol=NIFTY&amp;identifier=OPTIDXNIFTY26-06-2025PE21450.00" TargetMode="External"/><Relationship Id="rId94" Type="http://schemas.openxmlformats.org/officeDocument/2006/relationships/hyperlink" Target="https://www.nseindia.com/get-quotes/derivatives?symbol=NIFTY&amp;identifier=OPTIDXNIFTY26-06-2025CE21750.00" TargetMode="External"/><Relationship Id="rId99" Type="http://schemas.openxmlformats.org/officeDocument/2006/relationships/hyperlink" Target="https://www.nseindia.com/get-quotes/derivatives?symbol=NIFTY&amp;identifier=OPTIDXNIFTY26-06-2025PE21800.00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43" Type="http://schemas.openxmlformats.org/officeDocument/2006/relationships/hyperlink" Target="javascript:;" TargetMode="External"/><Relationship Id="rId148" Type="http://schemas.openxmlformats.org/officeDocument/2006/relationships/hyperlink" Target="https://www.nseindia.com/get-quotes/derivatives?symbol=NIFTY&amp;identifier=OPTIDXNIFTY25-09-2025CE21000.00" TargetMode="External"/><Relationship Id="rId164" Type="http://schemas.openxmlformats.org/officeDocument/2006/relationships/hyperlink" Target="javascript:;" TargetMode="External"/><Relationship Id="rId169" Type="http://schemas.openxmlformats.org/officeDocument/2006/relationships/hyperlink" Target="https://www.nseindia.com/get-quotes/derivatives?symbol=NIFTY&amp;identifier=OPTIDXNIFTY25-09-2025CE28000.00" TargetMode="External"/><Relationship Id="rId185" Type="http://schemas.openxmlformats.org/officeDocument/2006/relationships/hyperlink" Target="javascript:;" TargetMode="External"/><Relationship Id="rId4" Type="http://schemas.openxmlformats.org/officeDocument/2006/relationships/hyperlink" Target="https://www.nseindia.com/get-quotes/derivatives?symbol=NIFTY&amp;identifier=OPTIDXNIFTY26-06-2025CE18000.00" TargetMode="External"/><Relationship Id="rId9" Type="http://schemas.openxmlformats.org/officeDocument/2006/relationships/hyperlink" Target="https://www.nseindia.com/get-quotes/derivatives?symbol=NIFTY&amp;identifier=OPTIDXNIFTY26-06-2025PE19000.00" TargetMode="External"/><Relationship Id="rId180" Type="http://schemas.openxmlformats.org/officeDocument/2006/relationships/hyperlink" Target="https://www.nseindia.com/get-quotes/derivatives?symbol=NIFTY&amp;identifier=OPTIDXNIFTY24-12-2025PE20000.00" TargetMode="External"/><Relationship Id="rId210" Type="http://schemas.openxmlformats.org/officeDocument/2006/relationships/hyperlink" Target="https://www.nseindia.com/get-quotes/derivatives?symbol=NIFTY&amp;identifier=OPTIDXNIFTY24-12-2025PE30000.00" TargetMode="External"/><Relationship Id="rId26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https://www.nseindia.com/get-quotes/derivatives?symbol=NIFTY&amp;identifier=OPTIDXNIFTY26-06-2025CE22050.00" TargetMode="External"/><Relationship Id="rId133" Type="http://schemas.openxmlformats.org/officeDocument/2006/relationships/hyperlink" Target="https://www.nseindia.com/get-quotes/derivatives?symbol=NIFTY&amp;identifier=OPTIDXNIFTY26-06-2025CE22400.00" TargetMode="External"/><Relationship Id="rId154" Type="http://schemas.openxmlformats.org/officeDocument/2006/relationships/hyperlink" Target="https://www.nseindia.com/get-quotes/derivatives?symbol=NIFTY&amp;identifier=OPTIDXNIFTY25-09-2025CE23000.00" TargetMode="External"/><Relationship Id="rId175" Type="http://schemas.openxmlformats.org/officeDocument/2006/relationships/hyperlink" Target="https://www.nseindia.com/get-quotes/derivatives?symbol=NIFTY&amp;identifier=OPTIDXNIFTY25-09-2025CE30000.00" TargetMode="External"/><Relationship Id="rId196" Type="http://schemas.openxmlformats.org/officeDocument/2006/relationships/hyperlink" Target="https://www.nseindia.com/get-quotes/derivatives?symbol=NIFTY&amp;identifier=OPTIDXNIFTY24-12-2025CE26000.00" TargetMode="External"/><Relationship Id="rId200" Type="http://schemas.openxmlformats.org/officeDocument/2006/relationships/hyperlink" Target="javascript:;" TargetMode="External"/><Relationship Id="rId16" Type="http://schemas.openxmlformats.org/officeDocument/2006/relationships/hyperlink" Target="https://www.nseindia.com/get-quotes/derivatives?symbol=NIFTY&amp;identifier=OPTIDXNIFTY26-06-2025CE20450.00" TargetMode="External"/><Relationship Id="rId37" Type="http://schemas.openxmlformats.org/officeDocument/2006/relationships/hyperlink" Target="https://www.nseindia.com/get-quotes/derivatives?symbol=NIFTY&amp;identifier=OPTIDXNIFTY26-06-2025CE20800.00" TargetMode="External"/><Relationship Id="rId58" Type="http://schemas.openxmlformats.org/officeDocument/2006/relationships/hyperlink" Target="https://www.nseindia.com/get-quotes/derivatives?symbol=NIFTY&amp;identifier=OPTIDXNIFTY26-06-2025CE21150.00" TargetMode="External"/><Relationship Id="rId79" Type="http://schemas.openxmlformats.org/officeDocument/2006/relationships/hyperlink" Target="https://www.nseindia.com/get-quotes/derivatives?symbol=NIFTY&amp;identifier=OPTIDXNIFTY26-06-2025CE21500.00" TargetMode="External"/><Relationship Id="rId102" Type="http://schemas.openxmlformats.org/officeDocument/2006/relationships/hyperlink" Target="https://www.nseindia.com/get-quotes/derivatives?symbol=NIFTY&amp;identifier=OPTIDXNIFTY26-06-2025PE21850.00" TargetMode="External"/><Relationship Id="rId123" Type="http://schemas.openxmlformats.org/officeDocument/2006/relationships/hyperlink" Target="https://www.nseindia.com/get-quotes/derivatives?symbol=NIFTY&amp;identifier=OPTIDXNIFTY26-06-2025PE22200.00" TargetMode="External"/><Relationship Id="rId144" Type="http://schemas.openxmlformats.org/officeDocument/2006/relationships/hyperlink" Target="https://www.nseindia.com/get-quotes/derivatives?symbol=NIFTY&amp;identifier=OPTIDXNIFTY26-06-2025PE22550.00" TargetMode="External"/><Relationship Id="rId90" Type="http://schemas.openxmlformats.org/officeDocument/2006/relationships/hyperlink" Target="https://www.nseindia.com/get-quotes/derivatives?symbol=NIFTY&amp;identifier=OPTIDXNIFTY26-06-2025PE21650.00" TargetMode="External"/><Relationship Id="rId165" Type="http://schemas.openxmlformats.org/officeDocument/2006/relationships/hyperlink" Target="https://www.nseindia.com/get-quotes/derivatives?symbol=NIFTY&amp;identifier=OPTIDXNIFTY25-09-2025PE26000.00" TargetMode="External"/><Relationship Id="rId186" Type="http://schemas.openxmlformats.org/officeDocument/2006/relationships/hyperlink" Target="https://www.nseindia.com/get-quotes/derivatives?symbol=NIFTY&amp;identifier=OPTIDXNIFTY24-12-2025PE22000.00" TargetMode="External"/><Relationship Id="rId211" Type="http://schemas.openxmlformats.org/officeDocument/2006/relationships/hyperlink" Target="https://www.nseindia.com/get-quotes/derivatives?symbol=NIFTY&amp;identifier=OPTIDXNIFTY24-12-2025CE31000.00" TargetMode="External"/><Relationship Id="rId27" Type="http://schemas.openxmlformats.org/officeDocument/2006/relationships/hyperlink" Target="https://www.nseindia.com/get-quotes/derivatives?symbol=NIFTY&amp;identifier=OPTIDXNIFTY26-06-2025PE20600.00" TargetMode="External"/><Relationship Id="rId48" Type="http://schemas.openxmlformats.org/officeDocument/2006/relationships/hyperlink" Target="https://www.nseindia.com/get-quotes/derivatives?symbol=NIFTY&amp;identifier=OPTIDXNIFTY26-06-2025PE20950.00" TargetMode="External"/><Relationship Id="rId69" Type="http://schemas.openxmlformats.org/officeDocument/2006/relationships/hyperlink" Target="https://www.nseindia.com/get-quotes/derivatives?symbol=NIFTY&amp;identifier=OPTIDXNIFTY26-06-2025PE21300.00" TargetMode="External"/><Relationship Id="rId113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155" Type="http://schemas.openxmlformats.org/officeDocument/2006/relationships/hyperlink" Target="javascript:;" TargetMode="External"/><Relationship Id="rId176" Type="http://schemas.openxmlformats.org/officeDocument/2006/relationships/hyperlink" Target="javascript:;" TargetMode="External"/><Relationship Id="rId197" Type="http://schemas.openxmlformats.org/officeDocument/2006/relationships/hyperlink" Target="javascript:;" TargetMode="External"/><Relationship Id="rId201" Type="http://schemas.openxmlformats.org/officeDocument/2006/relationships/hyperlink" Target="https://www.nseindia.com/get-quotes/derivatives?symbol=NIFTY&amp;identifier=OPTIDXNIFTY24-12-2025PE27000.00" TargetMode="External"/><Relationship Id="rId17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https://www.nseindia.com/get-quotes/derivatives?symbol=NIFTY&amp;identifier=OPTIDXNIFTY26-06-2025CE21900.00" TargetMode="External"/><Relationship Id="rId124" Type="http://schemas.openxmlformats.org/officeDocument/2006/relationships/hyperlink" Target="https://www.nseindia.com/get-quotes/derivatives?symbol=NIFTY&amp;identifier=OPTIDXNIFTY26-06-2025CE22250.00" TargetMode="External"/><Relationship Id="rId70" Type="http://schemas.openxmlformats.org/officeDocument/2006/relationships/hyperlink" Target="https://www.nseindia.com/get-quotes/derivatives?symbol=NIFTY&amp;identifier=OPTIDXNIFTY26-06-2025CE21350.00" TargetMode="External"/><Relationship Id="rId91" Type="http://schemas.openxmlformats.org/officeDocument/2006/relationships/hyperlink" Target="https://www.nseindia.com/get-quotes/derivatives?symbol=NIFTY&amp;identifier=OPTIDXNIFTY26-06-2025CE21700.00" TargetMode="External"/><Relationship Id="rId145" Type="http://schemas.openxmlformats.org/officeDocument/2006/relationships/hyperlink" Target="https://www.nseindia.com/get-quotes/derivatives?symbol=NIFTY&amp;identifier=OPTIDXNIFTY25-09-2025CE20000.00" TargetMode="External"/><Relationship Id="rId166" Type="http://schemas.openxmlformats.org/officeDocument/2006/relationships/hyperlink" Target="https://www.nseindia.com/get-quotes/derivatives?symbol=NIFTY&amp;identifier=OPTIDXNIFTY25-09-2025CE27000.00" TargetMode="External"/><Relationship Id="rId187" Type="http://schemas.openxmlformats.org/officeDocument/2006/relationships/hyperlink" Target="https://www.nseindia.com/get-quotes/derivatives?symbol=NIFTY&amp;identifier=OPTIDXNIFTY24-12-2025CE23000.00" TargetMode="External"/><Relationship Id="rId1" Type="http://schemas.openxmlformats.org/officeDocument/2006/relationships/hyperlink" Target="https://www.nseindia.com/get-quotes/derivatives?symbol=NIFTY&amp;identifier=OPTIDXNIFTY26-06-2025CE17000.00" TargetMode="External"/><Relationship Id="rId212" Type="http://schemas.openxmlformats.org/officeDocument/2006/relationships/hyperlink" Target="javascript:;" TargetMode="External"/><Relationship Id="rId28" Type="http://schemas.openxmlformats.org/officeDocument/2006/relationships/hyperlink" Target="https://www.nseindia.com/get-quotes/derivatives?symbol=NIFTY&amp;identifier=OPTIDXNIFTY26-06-2025CE20650.00" TargetMode="External"/><Relationship Id="rId49" Type="http://schemas.openxmlformats.org/officeDocument/2006/relationships/hyperlink" Target="https://www.nseindia.com/get-quotes/derivatives?symbol=NIFTY&amp;identifier=OPTIDXNIFTY26-06-2025CE21000.00" TargetMode="External"/><Relationship Id="rId114" Type="http://schemas.openxmlformats.org/officeDocument/2006/relationships/hyperlink" Target="https://www.nseindia.com/get-quotes/derivatives?symbol=NIFTY&amp;identifier=OPTIDXNIFTY26-06-2025PE22050.00" TargetMode="External"/><Relationship Id="rId60" Type="http://schemas.openxmlformats.org/officeDocument/2006/relationships/hyperlink" Target="https://www.nseindia.com/get-quotes/derivatives?symbol=NIFTY&amp;identifier=OPTIDXNIFTY26-06-2025PE21150.00" TargetMode="External"/><Relationship Id="rId81" Type="http://schemas.openxmlformats.org/officeDocument/2006/relationships/hyperlink" Target="https://www.nseindia.com/get-quotes/derivatives?symbol=NIFTY&amp;identifier=OPTIDXNIFTY26-06-2025PE21500.00" TargetMode="External"/><Relationship Id="rId135" Type="http://schemas.openxmlformats.org/officeDocument/2006/relationships/hyperlink" Target="https://www.nseindia.com/get-quotes/derivatives?symbol=NIFTY&amp;identifier=OPTIDXNIFTY26-06-2025PE22400.00" TargetMode="External"/><Relationship Id="rId156" Type="http://schemas.openxmlformats.org/officeDocument/2006/relationships/hyperlink" Target="https://www.nseindia.com/get-quotes/derivatives?symbol=NIFTY&amp;identifier=OPTIDXNIFTY25-09-2025PE23000.00" TargetMode="External"/><Relationship Id="rId177" Type="http://schemas.openxmlformats.org/officeDocument/2006/relationships/hyperlink" Target="https://www.nseindia.com/get-quotes/derivatives?symbol=null&amp;identifier=null" TargetMode="External"/><Relationship Id="rId198" Type="http://schemas.openxmlformats.org/officeDocument/2006/relationships/hyperlink" Target="https://www.nseindia.com/get-quotes/derivatives?symbol=NIFTY&amp;identifier=OPTIDXNIFTY24-12-2025PE26000.00" TargetMode="External"/><Relationship Id="rId202" Type="http://schemas.openxmlformats.org/officeDocument/2006/relationships/hyperlink" Target="https://www.nseindia.com/get-quotes/derivatives?symbol=NIFTY&amp;identifier=OPTIDXNIFTY24-12-2025CE28000.00" TargetMode="External"/><Relationship Id="rId18" Type="http://schemas.openxmlformats.org/officeDocument/2006/relationships/hyperlink" Target="https://www.nseindia.com/get-quotes/derivatives?symbol=NIFTY&amp;identifier=OPTIDXNIFTY26-06-2025PE20450.00" TargetMode="External"/><Relationship Id="rId39" Type="http://schemas.openxmlformats.org/officeDocument/2006/relationships/hyperlink" Target="https://www.nseindia.com/get-quotes/derivatives?symbol=NIFTY&amp;identifier=OPTIDXNIFTY26-06-2025PE20800.00" TargetMode="External"/><Relationship Id="rId50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146" Type="http://schemas.openxmlformats.org/officeDocument/2006/relationships/hyperlink" Target="javascript:;" TargetMode="External"/><Relationship Id="rId167" Type="http://schemas.openxmlformats.org/officeDocument/2006/relationships/hyperlink" Target="javascript:;" TargetMode="External"/><Relationship Id="rId188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13" Type="http://schemas.openxmlformats.org/officeDocument/2006/relationships/hyperlink" Target="https://www.nseindia.com/get-quotes/derivatives?symbol=null&amp;identifier=null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40" Type="http://schemas.openxmlformats.org/officeDocument/2006/relationships/hyperlink" Target="https://www.nseindia.com/get-quotes/derivatives?symbol=NIFTY&amp;identifier=OPTIDXNIFTY26-06-2025CE20850.00" TargetMode="External"/><Relationship Id="rId115" Type="http://schemas.openxmlformats.org/officeDocument/2006/relationships/hyperlink" Target="https://www.nseindia.com/get-quotes/derivatives?symbol=NIFTY&amp;identifier=OPTIDXNIFTY26-06-2025CE22100.00" TargetMode="External"/><Relationship Id="rId136" Type="http://schemas.openxmlformats.org/officeDocument/2006/relationships/hyperlink" Target="https://www.nseindia.com/get-quotes/derivatives?symbol=NIFTY&amp;identifier=OPTIDXNIFTY26-06-2025CE22450.00" TargetMode="External"/><Relationship Id="rId157" Type="http://schemas.openxmlformats.org/officeDocument/2006/relationships/hyperlink" Target="https://www.nseindia.com/get-quotes/derivatives?symbol=NIFTY&amp;identifier=OPTIDXNIFTY25-09-2025CE24000.00" TargetMode="External"/><Relationship Id="rId178" Type="http://schemas.openxmlformats.org/officeDocument/2006/relationships/hyperlink" Target="https://www.nseindia.com/get-quotes/derivatives?symbol=NIFTY&amp;identifier=OPTIDXNIFTY24-12-2025CE20000.00" TargetMode="External"/><Relationship Id="rId61" Type="http://schemas.openxmlformats.org/officeDocument/2006/relationships/hyperlink" Target="https://www.nseindia.com/get-quotes/derivatives?symbol=NIFTY&amp;identifier=OPTIDXNIFTY26-06-2025CE21200.00" TargetMode="External"/><Relationship Id="rId82" Type="http://schemas.openxmlformats.org/officeDocument/2006/relationships/hyperlink" Target="https://www.nseindia.com/get-quotes/derivatives?symbol=NIFTY&amp;identifier=OPTIDXNIFTY26-06-2025CE21550.00" TargetMode="External"/><Relationship Id="rId199" Type="http://schemas.openxmlformats.org/officeDocument/2006/relationships/hyperlink" Target="https://www.nseindia.com/get-quotes/derivatives?symbol=NIFTY&amp;identifier=OPTIDXNIFTY24-12-2025CE27000.00" TargetMode="External"/><Relationship Id="rId203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drawing" Target="../drawings/drawing4.xm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drawing" Target="../drawings/drawing5.xm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outlinePr summaryBelow="0" summaryRight="0"/>
  </sheetPr>
  <dimension ref="A1:Y93"/>
  <sheetViews>
    <sheetView topLeftCell="N25" workbookViewId="0">
      <selection activeCell="Q75" sqref="Q75"/>
    </sheetView>
  </sheetViews>
  <sheetFormatPr defaultColWidth="12.6328125" defaultRowHeight="15.75" customHeight="1"/>
  <sheetData>
    <row r="1" spans="1:25" ht="15.75" customHeight="1">
      <c r="A1" s="56" t="s">
        <v>17</v>
      </c>
      <c r="B1" s="57"/>
      <c r="C1" s="57"/>
      <c r="N1" s="61" t="s">
        <v>75</v>
      </c>
      <c r="O1" s="62"/>
      <c r="P1" s="62"/>
    </row>
    <row r="2" spans="1:25" ht="15.75" customHeight="1" thickBot="1"/>
    <row r="3" spans="1:25" ht="15.75" customHeight="1" thickBot="1">
      <c r="A3" s="58" t="s">
        <v>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11"/>
      <c r="N3" s="59" t="s">
        <v>4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60"/>
    </row>
    <row r="4" spans="1:25" ht="15.75" customHeight="1" thickBot="1">
      <c r="A4" s="12"/>
      <c r="B4" s="1" t="s">
        <v>5</v>
      </c>
      <c r="C4" s="2" t="s">
        <v>6</v>
      </c>
      <c r="D4" s="2" t="s">
        <v>0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26</v>
      </c>
      <c r="L4" s="2" t="s">
        <v>13</v>
      </c>
      <c r="M4" s="2" t="s">
        <v>14</v>
      </c>
      <c r="N4" s="2" t="s">
        <v>10</v>
      </c>
      <c r="O4" s="2" t="s">
        <v>11</v>
      </c>
      <c r="P4" s="2" t="s">
        <v>12</v>
      </c>
      <c r="Q4" s="2" t="s">
        <v>26</v>
      </c>
      <c r="R4" s="2" t="s">
        <v>13</v>
      </c>
      <c r="S4" s="2" t="s">
        <v>9</v>
      </c>
      <c r="T4" s="2" t="s">
        <v>8</v>
      </c>
      <c r="U4" s="2" t="s">
        <v>7</v>
      </c>
      <c r="V4" s="2" t="s">
        <v>0</v>
      </c>
      <c r="W4" s="2" t="s">
        <v>6</v>
      </c>
      <c r="X4" s="2" t="s">
        <v>5</v>
      </c>
      <c r="Y4" s="2"/>
    </row>
    <row r="5" spans="1:25" ht="15.75" customHeight="1" thickBot="1">
      <c r="A5" s="13"/>
      <c r="B5" s="8">
        <v>2655</v>
      </c>
      <c r="C5" s="3">
        <v>1</v>
      </c>
      <c r="D5" s="3">
        <v>1</v>
      </c>
      <c r="E5" s="3" t="s">
        <v>15</v>
      </c>
      <c r="F5" s="6">
        <v>7790</v>
      </c>
      <c r="G5" s="9">
        <v>50</v>
      </c>
      <c r="H5" s="3">
        <v>75</v>
      </c>
      <c r="I5" s="10">
        <v>7888.35</v>
      </c>
      <c r="J5" s="10">
        <v>7913.3</v>
      </c>
      <c r="K5" s="10">
        <f>(I5+J5)/2</f>
        <v>7900.8250000000007</v>
      </c>
      <c r="L5" s="3">
        <v>75</v>
      </c>
      <c r="M5" s="6">
        <v>17000</v>
      </c>
      <c r="N5" s="8">
        <v>1050</v>
      </c>
      <c r="O5" s="3">
        <v>2.8</v>
      </c>
      <c r="P5" s="3">
        <v>3.8</v>
      </c>
      <c r="Q5" s="3">
        <f>(O5+P5)/2</f>
        <v>3.3</v>
      </c>
      <c r="R5" s="3">
        <v>900</v>
      </c>
      <c r="S5" s="7">
        <v>-0.45</v>
      </c>
      <c r="T5" s="5">
        <v>3</v>
      </c>
      <c r="U5" s="3">
        <v>51.53</v>
      </c>
      <c r="V5" s="3">
        <v>618</v>
      </c>
      <c r="W5" s="3">
        <v>-77</v>
      </c>
      <c r="X5" s="8">
        <v>1877</v>
      </c>
      <c r="Y5" s="4"/>
    </row>
    <row r="6" spans="1:25" ht="15.75" customHeight="1" thickBot="1">
      <c r="A6" s="13"/>
      <c r="B6" s="8">
        <v>1204</v>
      </c>
      <c r="C6" s="3">
        <v>6</v>
      </c>
      <c r="D6" s="3">
        <v>63</v>
      </c>
      <c r="E6" s="3" t="s">
        <v>15</v>
      </c>
      <c r="F6" s="6">
        <v>6905.1</v>
      </c>
      <c r="G6" s="9">
        <v>104.85</v>
      </c>
      <c r="H6" s="3">
        <v>75</v>
      </c>
      <c r="I6" s="10">
        <v>6896.1</v>
      </c>
      <c r="J6" s="10">
        <v>6913.15</v>
      </c>
      <c r="K6" s="10">
        <f t="shared" ref="K6:K52" si="0">(I6+J6)/2</f>
        <v>6904.625</v>
      </c>
      <c r="L6" s="3">
        <v>150</v>
      </c>
      <c r="M6" s="6">
        <v>18000</v>
      </c>
      <c r="N6" s="3">
        <v>75</v>
      </c>
      <c r="O6" s="3">
        <v>3.1</v>
      </c>
      <c r="P6" s="3">
        <v>3.8</v>
      </c>
      <c r="Q6" s="3">
        <f t="shared" ref="Q6:Q52" si="1">(O6+P6)/2</f>
        <v>3.45</v>
      </c>
      <c r="R6" s="8">
        <v>1800</v>
      </c>
      <c r="S6" s="7">
        <v>-0.4</v>
      </c>
      <c r="T6" s="5">
        <v>3.2</v>
      </c>
      <c r="U6" s="3">
        <v>44.81</v>
      </c>
      <c r="V6" s="8">
        <v>1536</v>
      </c>
      <c r="W6" s="3">
        <v>37</v>
      </c>
      <c r="X6" s="8">
        <v>5501</v>
      </c>
      <c r="Y6" s="4"/>
    </row>
    <row r="7" spans="1:25" ht="15.75" customHeight="1" thickBot="1">
      <c r="A7" s="13"/>
      <c r="B7" s="8">
        <v>1974</v>
      </c>
      <c r="C7" s="3">
        <v>-331</v>
      </c>
      <c r="D7" s="3">
        <v>334</v>
      </c>
      <c r="E7" s="3" t="s">
        <v>15</v>
      </c>
      <c r="F7" s="6">
        <v>5894.2</v>
      </c>
      <c r="G7" s="9">
        <v>70.849999999999994</v>
      </c>
      <c r="H7" s="3">
        <v>75</v>
      </c>
      <c r="I7" s="10">
        <v>5906.95</v>
      </c>
      <c r="J7" s="10">
        <v>5923.15</v>
      </c>
      <c r="K7" s="10">
        <f t="shared" si="0"/>
        <v>5915.0499999999993</v>
      </c>
      <c r="L7" s="3">
        <v>75</v>
      </c>
      <c r="M7" s="6">
        <v>19000</v>
      </c>
      <c r="N7" s="8">
        <v>1425</v>
      </c>
      <c r="O7" s="3">
        <v>3.8</v>
      </c>
      <c r="P7" s="3">
        <v>3.95</v>
      </c>
      <c r="Q7" s="3">
        <f t="shared" si="1"/>
        <v>3.875</v>
      </c>
      <c r="R7" s="8">
        <v>7425</v>
      </c>
      <c r="S7" s="7">
        <v>-0.2</v>
      </c>
      <c r="T7" s="5">
        <v>3.85</v>
      </c>
      <c r="U7" s="3">
        <v>38.83</v>
      </c>
      <c r="V7" s="8">
        <v>1959</v>
      </c>
      <c r="W7" s="3">
        <v>-40</v>
      </c>
      <c r="X7" s="8">
        <v>8571</v>
      </c>
      <c r="Y7" s="4"/>
    </row>
    <row r="8" spans="1:25" ht="15.75" customHeight="1" thickBot="1">
      <c r="A8" s="13"/>
      <c r="B8" s="8">
        <v>5793</v>
      </c>
      <c r="C8" s="3" t="s">
        <v>15</v>
      </c>
      <c r="D8" s="3">
        <v>93</v>
      </c>
      <c r="E8" s="3" t="s">
        <v>15</v>
      </c>
      <c r="F8" s="6">
        <v>4917.8999999999996</v>
      </c>
      <c r="G8" s="9">
        <v>103.35</v>
      </c>
      <c r="H8" s="3">
        <v>75</v>
      </c>
      <c r="I8" s="10">
        <v>4920.1499999999996</v>
      </c>
      <c r="J8" s="10">
        <v>4921.8</v>
      </c>
      <c r="K8" s="10">
        <f t="shared" si="0"/>
        <v>4920.9750000000004</v>
      </c>
      <c r="L8" s="3">
        <v>75</v>
      </c>
      <c r="M8" s="6">
        <v>20000</v>
      </c>
      <c r="N8" s="8">
        <v>1125</v>
      </c>
      <c r="O8" s="3">
        <v>4.5999999999999996</v>
      </c>
      <c r="P8" s="3">
        <v>4.7</v>
      </c>
      <c r="Q8" s="3">
        <f t="shared" si="1"/>
        <v>4.6500000000000004</v>
      </c>
      <c r="R8" s="8">
        <v>1800</v>
      </c>
      <c r="S8" s="7">
        <v>-0.95</v>
      </c>
      <c r="T8" s="5">
        <v>4.5999999999999996</v>
      </c>
      <c r="U8" s="3">
        <v>32.909999999999997</v>
      </c>
      <c r="V8" s="8">
        <v>4807</v>
      </c>
      <c r="W8" s="3">
        <v>111</v>
      </c>
      <c r="X8" s="8">
        <v>20400</v>
      </c>
      <c r="Y8" s="4"/>
    </row>
    <row r="9" spans="1:25" ht="15.75" customHeight="1" thickBot="1">
      <c r="A9" s="13"/>
      <c r="B9" s="3">
        <v>7</v>
      </c>
      <c r="C9" s="3" t="s">
        <v>15</v>
      </c>
      <c r="D9" s="3" t="s">
        <v>15</v>
      </c>
      <c r="E9" s="3" t="s">
        <v>15</v>
      </c>
      <c r="F9" s="6">
        <v>3787.65</v>
      </c>
      <c r="G9" s="7">
        <v>-5.45</v>
      </c>
      <c r="H9" s="8">
        <v>1725</v>
      </c>
      <c r="I9" s="10">
        <v>4040.65</v>
      </c>
      <c r="J9" s="10">
        <v>4662.55</v>
      </c>
      <c r="K9" s="10">
        <f t="shared" si="0"/>
        <v>4351.6000000000004</v>
      </c>
      <c r="L9" s="8">
        <v>1725</v>
      </c>
      <c r="M9" s="6">
        <v>20400</v>
      </c>
      <c r="N9" s="3">
        <v>150</v>
      </c>
      <c r="O9" s="3">
        <v>4.0999999999999996</v>
      </c>
      <c r="P9" s="3">
        <v>5</v>
      </c>
      <c r="Q9" s="3">
        <f t="shared" si="1"/>
        <v>4.55</v>
      </c>
      <c r="R9" s="3">
        <v>75</v>
      </c>
      <c r="S9" s="7">
        <v>-1.5</v>
      </c>
      <c r="T9" s="5">
        <v>4.0999999999999996</v>
      </c>
      <c r="U9" s="3">
        <v>29.89</v>
      </c>
      <c r="V9" s="3">
        <v>957</v>
      </c>
      <c r="W9" s="3">
        <v>-18</v>
      </c>
      <c r="X9" s="3">
        <v>97</v>
      </c>
      <c r="Y9" s="4"/>
    </row>
    <row r="10" spans="1:25" ht="15.75" customHeight="1" thickBot="1">
      <c r="A10" s="13"/>
      <c r="B10" s="3">
        <v>7</v>
      </c>
      <c r="C10" s="3" t="s">
        <v>15</v>
      </c>
      <c r="D10" s="3" t="s">
        <v>15</v>
      </c>
      <c r="E10" s="3" t="s">
        <v>15</v>
      </c>
      <c r="F10" s="6">
        <v>3755.55</v>
      </c>
      <c r="G10" s="9">
        <v>2.35</v>
      </c>
      <c r="H10" s="3">
        <v>75</v>
      </c>
      <c r="I10" s="10">
        <v>4422.3500000000004</v>
      </c>
      <c r="J10" s="10">
        <v>4594.8999999999996</v>
      </c>
      <c r="K10" s="10">
        <f t="shared" si="0"/>
        <v>4508.625</v>
      </c>
      <c r="L10" s="8">
        <v>1725</v>
      </c>
      <c r="M10" s="6">
        <v>20450</v>
      </c>
      <c r="N10" s="3">
        <v>225</v>
      </c>
      <c r="O10" s="3">
        <v>4.9000000000000004</v>
      </c>
      <c r="P10" s="3">
        <v>18.149999999999999</v>
      </c>
      <c r="Q10" s="3">
        <f t="shared" si="1"/>
        <v>11.524999999999999</v>
      </c>
      <c r="R10" s="8">
        <v>1725</v>
      </c>
      <c r="S10" s="7">
        <v>-1.35</v>
      </c>
      <c r="T10" s="5">
        <v>4.9000000000000004</v>
      </c>
      <c r="U10" s="3">
        <v>30.2</v>
      </c>
      <c r="V10" s="3">
        <v>84</v>
      </c>
      <c r="W10" s="3">
        <v>-30</v>
      </c>
      <c r="X10" s="3">
        <v>18</v>
      </c>
      <c r="Y10" s="4"/>
    </row>
    <row r="11" spans="1:25" ht="15.75" customHeight="1" thickBot="1">
      <c r="A11" s="13"/>
      <c r="B11" s="3">
        <v>313</v>
      </c>
      <c r="C11" s="3">
        <v>43</v>
      </c>
      <c r="D11" s="3">
        <v>55</v>
      </c>
      <c r="E11" s="3" t="s">
        <v>15</v>
      </c>
      <c r="F11" s="6">
        <v>4397.3500000000004</v>
      </c>
      <c r="G11" s="9">
        <v>71.900000000000006</v>
      </c>
      <c r="H11" s="3">
        <v>150</v>
      </c>
      <c r="I11" s="10">
        <v>3999.95</v>
      </c>
      <c r="J11" s="10">
        <v>4579.95</v>
      </c>
      <c r="K11" s="10">
        <f t="shared" si="0"/>
        <v>4289.95</v>
      </c>
      <c r="L11" s="3">
        <v>975</v>
      </c>
      <c r="M11" s="6">
        <v>20500</v>
      </c>
      <c r="N11" s="8">
        <v>3000</v>
      </c>
      <c r="O11" s="3">
        <v>4.6500000000000004</v>
      </c>
      <c r="P11" s="3">
        <v>5.05</v>
      </c>
      <c r="Q11" s="3">
        <f t="shared" si="1"/>
        <v>4.8499999999999996</v>
      </c>
      <c r="R11" s="8">
        <v>1800</v>
      </c>
      <c r="S11" s="7">
        <v>-1.3</v>
      </c>
      <c r="T11" s="5">
        <v>5.05</v>
      </c>
      <c r="U11" s="3">
        <v>29.98</v>
      </c>
      <c r="V11" s="8">
        <v>2950</v>
      </c>
      <c r="W11" s="3">
        <v>-185</v>
      </c>
      <c r="X11" s="8">
        <v>3249</v>
      </c>
      <c r="Y11" s="4"/>
    </row>
    <row r="12" spans="1:25" ht="15.75" customHeight="1" thickBot="1">
      <c r="A12" s="13"/>
      <c r="B12" s="3">
        <v>9</v>
      </c>
      <c r="C12" s="3" t="s">
        <v>15</v>
      </c>
      <c r="D12" s="3" t="s">
        <v>15</v>
      </c>
      <c r="E12" s="3" t="s">
        <v>15</v>
      </c>
      <c r="F12" s="6">
        <v>3644.7</v>
      </c>
      <c r="G12" s="7">
        <v>-5.5</v>
      </c>
      <c r="H12" s="8">
        <v>1725</v>
      </c>
      <c r="I12" s="10">
        <v>3891.9</v>
      </c>
      <c r="J12" s="10">
        <v>4492.3999999999996</v>
      </c>
      <c r="K12" s="10">
        <f t="shared" si="0"/>
        <v>4192.1499999999996</v>
      </c>
      <c r="L12" s="8">
        <v>1725</v>
      </c>
      <c r="M12" s="6">
        <v>20550</v>
      </c>
      <c r="N12" s="8">
        <v>1800</v>
      </c>
      <c r="O12" s="3">
        <v>2.2999999999999998</v>
      </c>
      <c r="P12" s="3">
        <v>11.9</v>
      </c>
      <c r="Q12" s="3">
        <f t="shared" si="1"/>
        <v>7.1</v>
      </c>
      <c r="R12" s="3">
        <v>150</v>
      </c>
      <c r="S12" s="7">
        <v>-1.55</v>
      </c>
      <c r="T12" s="5">
        <v>5.9</v>
      </c>
      <c r="U12" s="3">
        <v>30.23</v>
      </c>
      <c r="V12" s="3">
        <v>2</v>
      </c>
      <c r="W12" s="3">
        <v>2</v>
      </c>
      <c r="X12" s="3">
        <v>17</v>
      </c>
      <c r="Y12" s="4"/>
    </row>
    <row r="13" spans="1:25" ht="15.75" customHeight="1" thickBot="1">
      <c r="A13" s="13"/>
      <c r="B13" s="3">
        <v>8</v>
      </c>
      <c r="C13" s="3" t="s">
        <v>15</v>
      </c>
      <c r="D13" s="3" t="s">
        <v>15</v>
      </c>
      <c r="E13" s="3" t="s">
        <v>15</v>
      </c>
      <c r="F13" s="6">
        <v>4353.7</v>
      </c>
      <c r="G13" s="3" t="s">
        <v>15</v>
      </c>
      <c r="H13" s="3">
        <v>75</v>
      </c>
      <c r="I13" s="10">
        <v>4226.45</v>
      </c>
      <c r="J13" s="10">
        <v>4410.25</v>
      </c>
      <c r="K13" s="10">
        <f>(I13+J13)/2</f>
        <v>4318.3500000000004</v>
      </c>
      <c r="L13" s="3">
        <v>75</v>
      </c>
      <c r="M13" s="6">
        <v>20600</v>
      </c>
      <c r="N13" s="8">
        <v>1800</v>
      </c>
      <c r="O13" s="3">
        <v>2.2999999999999998</v>
      </c>
      <c r="P13" s="3">
        <v>11.9</v>
      </c>
      <c r="Q13" s="3">
        <f t="shared" si="1"/>
        <v>7.1</v>
      </c>
      <c r="R13" s="3">
        <v>150</v>
      </c>
      <c r="S13" s="3" t="s">
        <v>15</v>
      </c>
      <c r="T13" s="5">
        <v>7.55</v>
      </c>
      <c r="U13" s="3" t="s">
        <v>15</v>
      </c>
      <c r="V13" s="3" t="s">
        <v>15</v>
      </c>
      <c r="W13" s="3" t="s">
        <v>15</v>
      </c>
      <c r="X13" s="3">
        <v>27</v>
      </c>
      <c r="Y13" s="4"/>
    </row>
    <row r="14" spans="1:25" ht="15.75" customHeight="1" thickBot="1">
      <c r="A14" s="13"/>
      <c r="B14" s="3">
        <v>8</v>
      </c>
      <c r="C14" s="3" t="s">
        <v>15</v>
      </c>
      <c r="D14" s="3" t="s">
        <v>15</v>
      </c>
      <c r="E14" s="3" t="s">
        <v>15</v>
      </c>
      <c r="F14" s="6">
        <v>4304.25</v>
      </c>
      <c r="G14" s="3" t="s">
        <v>15</v>
      </c>
      <c r="H14" s="8">
        <v>1725</v>
      </c>
      <c r="I14" s="10">
        <v>3822.65</v>
      </c>
      <c r="J14" s="10">
        <v>4472.95</v>
      </c>
      <c r="K14" s="10">
        <f t="shared" si="0"/>
        <v>4147.8</v>
      </c>
      <c r="L14" s="8">
        <v>1725</v>
      </c>
      <c r="M14" s="6">
        <v>20650</v>
      </c>
      <c r="N14" s="8">
        <v>1800</v>
      </c>
      <c r="O14" s="3">
        <v>2.5499999999999998</v>
      </c>
      <c r="P14" s="3">
        <v>11.9</v>
      </c>
      <c r="Q14" s="3">
        <f t="shared" si="1"/>
        <v>7.2249999999999996</v>
      </c>
      <c r="R14" s="3">
        <v>225</v>
      </c>
      <c r="S14" s="7">
        <v>-0.25</v>
      </c>
      <c r="T14" s="5">
        <v>6.15</v>
      </c>
      <c r="U14" s="3">
        <v>29.73</v>
      </c>
      <c r="V14" s="3">
        <v>1</v>
      </c>
      <c r="W14" s="3">
        <v>1</v>
      </c>
      <c r="X14" s="3">
        <v>55</v>
      </c>
      <c r="Y14" s="4"/>
    </row>
    <row r="15" spans="1:25" ht="15.75" customHeight="1" thickBot="1">
      <c r="A15" s="13"/>
      <c r="B15" s="3">
        <v>8</v>
      </c>
      <c r="C15" s="3" t="s">
        <v>15</v>
      </c>
      <c r="D15" s="3" t="s">
        <v>15</v>
      </c>
      <c r="E15" s="3" t="s">
        <v>15</v>
      </c>
      <c r="F15" s="6">
        <v>4254.8999999999996</v>
      </c>
      <c r="G15" s="3" t="s">
        <v>15</v>
      </c>
      <c r="H15" s="3">
        <v>75</v>
      </c>
      <c r="I15" s="10">
        <v>4005.65</v>
      </c>
      <c r="J15" s="10">
        <v>4376.7</v>
      </c>
      <c r="K15" s="10">
        <f t="shared" si="0"/>
        <v>4191.1750000000002</v>
      </c>
      <c r="L15" s="8">
        <v>1725</v>
      </c>
      <c r="M15" s="6">
        <v>20700</v>
      </c>
      <c r="N15" s="8">
        <v>1800</v>
      </c>
      <c r="O15" s="3">
        <v>2.65</v>
      </c>
      <c r="P15" s="3">
        <v>10.9</v>
      </c>
      <c r="Q15" s="3">
        <f t="shared" si="1"/>
        <v>6.7750000000000004</v>
      </c>
      <c r="R15" s="3">
        <v>150</v>
      </c>
      <c r="S15" s="7">
        <v>-1.95</v>
      </c>
      <c r="T15" s="5">
        <v>5.35</v>
      </c>
      <c r="U15" s="3">
        <v>28.89</v>
      </c>
      <c r="V15" s="3">
        <v>126</v>
      </c>
      <c r="W15" s="3">
        <v>3</v>
      </c>
      <c r="X15" s="3">
        <v>31</v>
      </c>
      <c r="Y15" s="4"/>
    </row>
    <row r="16" spans="1:25" ht="15.75" customHeight="1" thickBot="1">
      <c r="A16" s="13"/>
      <c r="B16" s="3">
        <v>8</v>
      </c>
      <c r="C16" s="3" t="s">
        <v>15</v>
      </c>
      <c r="D16" s="3" t="s">
        <v>15</v>
      </c>
      <c r="E16" s="3" t="s">
        <v>15</v>
      </c>
      <c r="F16" s="6">
        <v>4205.45</v>
      </c>
      <c r="G16" s="3" t="s">
        <v>15</v>
      </c>
      <c r="H16" s="8">
        <v>1725</v>
      </c>
      <c r="I16" s="10">
        <v>3729</v>
      </c>
      <c r="J16" s="10">
        <v>4288</v>
      </c>
      <c r="K16" s="10">
        <f t="shared" si="0"/>
        <v>4008.5</v>
      </c>
      <c r="L16" s="8">
        <v>1725</v>
      </c>
      <c r="M16" s="6">
        <v>20750</v>
      </c>
      <c r="N16" s="8">
        <v>1650</v>
      </c>
      <c r="O16" s="3">
        <v>3.55</v>
      </c>
      <c r="P16" s="3">
        <v>10.9</v>
      </c>
      <c r="Q16" s="3">
        <f t="shared" si="1"/>
        <v>7.2249999999999996</v>
      </c>
      <c r="R16" s="3">
        <v>150</v>
      </c>
      <c r="S16" s="7">
        <v>-0.3</v>
      </c>
      <c r="T16" s="5">
        <v>6.8</v>
      </c>
      <c r="U16" s="3" t="s">
        <v>15</v>
      </c>
      <c r="V16" s="3" t="s">
        <v>15</v>
      </c>
      <c r="W16" s="3" t="s">
        <v>15</v>
      </c>
      <c r="X16" s="3">
        <v>37</v>
      </c>
      <c r="Y16" s="4"/>
    </row>
    <row r="17" spans="1:25" ht="15.75" customHeight="1" thickBot="1">
      <c r="A17" s="13"/>
      <c r="B17" s="3">
        <v>8</v>
      </c>
      <c r="C17" s="3" t="s">
        <v>15</v>
      </c>
      <c r="D17" s="3" t="s">
        <v>15</v>
      </c>
      <c r="E17" s="3" t="s">
        <v>15</v>
      </c>
      <c r="F17" s="6">
        <v>4156.2</v>
      </c>
      <c r="G17" s="3" t="s">
        <v>15</v>
      </c>
      <c r="H17" s="3">
        <v>75</v>
      </c>
      <c r="I17" s="10">
        <v>4030.8</v>
      </c>
      <c r="J17" s="10">
        <v>4236.8</v>
      </c>
      <c r="K17" s="10">
        <f t="shared" si="0"/>
        <v>4133.8</v>
      </c>
      <c r="L17" s="8">
        <v>1725</v>
      </c>
      <c r="M17" s="6">
        <v>20800</v>
      </c>
      <c r="N17" s="8">
        <v>1800</v>
      </c>
      <c r="O17" s="3">
        <v>2.8</v>
      </c>
      <c r="P17" s="3">
        <v>9.5</v>
      </c>
      <c r="Q17" s="3">
        <f t="shared" si="1"/>
        <v>6.15</v>
      </c>
      <c r="R17" s="3">
        <v>150</v>
      </c>
      <c r="S17" s="7">
        <v>-2.0499999999999998</v>
      </c>
      <c r="T17" s="5">
        <v>5.25</v>
      </c>
      <c r="U17" s="3">
        <v>28.17</v>
      </c>
      <c r="V17" s="3">
        <v>402</v>
      </c>
      <c r="W17" s="3">
        <v>67</v>
      </c>
      <c r="X17" s="3">
        <v>163</v>
      </c>
      <c r="Y17" s="4"/>
    </row>
    <row r="18" spans="1:25" ht="15.75" customHeight="1" thickBot="1">
      <c r="A18" s="13"/>
      <c r="B18" s="3">
        <v>8</v>
      </c>
      <c r="C18" s="3" t="s">
        <v>15</v>
      </c>
      <c r="D18" s="3" t="s">
        <v>15</v>
      </c>
      <c r="E18" s="3" t="s">
        <v>15</v>
      </c>
      <c r="F18" s="6">
        <v>4106.8500000000004</v>
      </c>
      <c r="G18" s="3" t="s">
        <v>15</v>
      </c>
      <c r="H18" s="8">
        <v>1725</v>
      </c>
      <c r="I18" s="10">
        <v>3601</v>
      </c>
      <c r="J18" s="10">
        <v>4185.8500000000004</v>
      </c>
      <c r="K18" s="10">
        <f t="shared" si="0"/>
        <v>3893.4250000000002</v>
      </c>
      <c r="L18" s="8">
        <v>1725</v>
      </c>
      <c r="M18" s="6">
        <v>20850</v>
      </c>
      <c r="N18" s="8">
        <v>1650</v>
      </c>
      <c r="O18" s="3">
        <v>3.4</v>
      </c>
      <c r="P18" s="3">
        <v>11.9</v>
      </c>
      <c r="Q18" s="3">
        <f t="shared" si="1"/>
        <v>7.65</v>
      </c>
      <c r="R18" s="3">
        <v>150</v>
      </c>
      <c r="S18" s="7">
        <v>-1.1499999999999999</v>
      </c>
      <c r="T18" s="5">
        <v>6.4</v>
      </c>
      <c r="U18" s="3">
        <v>28.55</v>
      </c>
      <c r="V18" s="3">
        <v>46</v>
      </c>
      <c r="W18" s="3">
        <v>38</v>
      </c>
      <c r="X18" s="3">
        <v>96</v>
      </c>
      <c r="Y18" s="4"/>
    </row>
    <row r="19" spans="1:25" ht="15.75" customHeight="1" thickBot="1">
      <c r="A19" s="13"/>
      <c r="B19" s="3">
        <v>9</v>
      </c>
      <c r="C19" s="3" t="s">
        <v>15</v>
      </c>
      <c r="D19" s="3" t="s">
        <v>15</v>
      </c>
      <c r="E19" s="3" t="s">
        <v>15</v>
      </c>
      <c r="F19" s="6">
        <v>4057.5</v>
      </c>
      <c r="G19" s="3" t="s">
        <v>15</v>
      </c>
      <c r="H19" s="3">
        <v>75</v>
      </c>
      <c r="I19" s="10">
        <v>3778.8</v>
      </c>
      <c r="J19" s="10">
        <v>4134.1000000000004</v>
      </c>
      <c r="K19" s="10">
        <f t="shared" si="0"/>
        <v>3956.4500000000003</v>
      </c>
      <c r="L19" s="8">
        <v>1725</v>
      </c>
      <c r="M19" s="6">
        <v>20900</v>
      </c>
      <c r="N19" s="3">
        <v>150</v>
      </c>
      <c r="O19" s="3">
        <v>5.65</v>
      </c>
      <c r="P19" s="3">
        <v>9.8000000000000007</v>
      </c>
      <c r="Q19" s="3">
        <f t="shared" si="1"/>
        <v>7.7250000000000005</v>
      </c>
      <c r="R19" s="3">
        <v>150</v>
      </c>
      <c r="S19" s="7">
        <v>-1.9</v>
      </c>
      <c r="T19" s="5">
        <v>5.65</v>
      </c>
      <c r="U19" s="3">
        <v>27.77</v>
      </c>
      <c r="V19" s="3">
        <v>86</v>
      </c>
      <c r="W19" s="3">
        <v>25</v>
      </c>
      <c r="X19" s="3">
        <v>122</v>
      </c>
      <c r="Y19" s="4"/>
    </row>
    <row r="20" spans="1:25" ht="15.75" customHeight="1" thickBot="1">
      <c r="A20" s="13"/>
      <c r="B20" s="3">
        <v>8</v>
      </c>
      <c r="C20" s="3" t="s">
        <v>15</v>
      </c>
      <c r="D20" s="3" t="s">
        <v>15</v>
      </c>
      <c r="E20" s="3" t="s">
        <v>15</v>
      </c>
      <c r="F20" s="6">
        <v>4008.15</v>
      </c>
      <c r="G20" s="3" t="s">
        <v>15</v>
      </c>
      <c r="H20" s="8">
        <v>1725</v>
      </c>
      <c r="I20" s="10">
        <v>3552.75</v>
      </c>
      <c r="J20" s="10">
        <v>4083.15</v>
      </c>
      <c r="K20" s="10">
        <f t="shared" si="0"/>
        <v>3817.95</v>
      </c>
      <c r="L20" s="8">
        <v>1725</v>
      </c>
      <c r="M20" s="6">
        <v>20950</v>
      </c>
      <c r="N20" s="8">
        <v>1650</v>
      </c>
      <c r="O20" s="3">
        <v>3.85</v>
      </c>
      <c r="P20" s="3">
        <v>7.4</v>
      </c>
      <c r="Q20" s="3">
        <f t="shared" si="1"/>
        <v>5.625</v>
      </c>
      <c r="R20" s="3">
        <v>75</v>
      </c>
      <c r="S20" s="7">
        <v>-0.15</v>
      </c>
      <c r="T20" s="5">
        <v>7.55</v>
      </c>
      <c r="U20" s="3" t="s">
        <v>15</v>
      </c>
      <c r="V20" s="3" t="s">
        <v>15</v>
      </c>
      <c r="W20" s="3" t="s">
        <v>15</v>
      </c>
      <c r="X20" s="3">
        <v>61</v>
      </c>
      <c r="Y20" s="4"/>
    </row>
    <row r="21" spans="1:25" ht="15.75" customHeight="1" thickBot="1">
      <c r="A21" s="13"/>
      <c r="B21" s="8">
        <v>6428</v>
      </c>
      <c r="C21" s="3">
        <v>373</v>
      </c>
      <c r="D21" s="3">
        <v>582</v>
      </c>
      <c r="E21" s="3" t="s">
        <v>15</v>
      </c>
      <c r="F21" s="6">
        <v>3938.25</v>
      </c>
      <c r="G21" s="9">
        <v>108.55</v>
      </c>
      <c r="H21" s="3">
        <v>75</v>
      </c>
      <c r="I21" s="10">
        <v>3930.05</v>
      </c>
      <c r="J21" s="10">
        <v>3935.15</v>
      </c>
      <c r="K21" s="10">
        <f t="shared" si="0"/>
        <v>3932.6000000000004</v>
      </c>
      <c r="L21" s="3">
        <v>75</v>
      </c>
      <c r="M21" s="6">
        <v>21000</v>
      </c>
      <c r="N21" s="3">
        <v>450</v>
      </c>
      <c r="O21" s="3">
        <v>6.15</v>
      </c>
      <c r="P21" s="3">
        <v>6.5</v>
      </c>
      <c r="Q21" s="3">
        <f t="shared" si="1"/>
        <v>6.3250000000000002</v>
      </c>
      <c r="R21" s="3">
        <v>450</v>
      </c>
      <c r="S21" s="7">
        <v>-2.1</v>
      </c>
      <c r="T21" s="5">
        <v>6.15</v>
      </c>
      <c r="U21" s="3">
        <v>27.41</v>
      </c>
      <c r="V21" s="8">
        <v>10086</v>
      </c>
      <c r="W21" s="8">
        <v>-1095</v>
      </c>
      <c r="X21" s="8">
        <v>30531</v>
      </c>
      <c r="Y21" s="4"/>
    </row>
    <row r="22" spans="1:25" ht="15.75" customHeight="1" thickBot="1">
      <c r="A22" s="13"/>
      <c r="B22" s="3">
        <v>8</v>
      </c>
      <c r="C22" s="3" t="s">
        <v>15</v>
      </c>
      <c r="D22" s="3" t="s">
        <v>15</v>
      </c>
      <c r="E22" s="3" t="s">
        <v>15</v>
      </c>
      <c r="F22" s="6">
        <v>3909.55</v>
      </c>
      <c r="G22" s="3" t="s">
        <v>15</v>
      </c>
      <c r="H22" s="8">
        <v>1725</v>
      </c>
      <c r="I22" s="10">
        <v>3353.85</v>
      </c>
      <c r="J22" s="10">
        <v>3981.35</v>
      </c>
      <c r="K22" s="10">
        <f t="shared" si="0"/>
        <v>3667.6</v>
      </c>
      <c r="L22" s="8">
        <v>1725</v>
      </c>
      <c r="M22" s="6">
        <v>21050</v>
      </c>
      <c r="N22" s="8">
        <v>1800</v>
      </c>
      <c r="O22" s="3">
        <v>5.3</v>
      </c>
      <c r="P22" s="3">
        <v>11.9</v>
      </c>
      <c r="Q22" s="3">
        <f t="shared" si="1"/>
        <v>8.6</v>
      </c>
      <c r="R22" s="3">
        <v>150</v>
      </c>
      <c r="S22" s="7">
        <v>-1.6</v>
      </c>
      <c r="T22" s="5">
        <v>6.5</v>
      </c>
      <c r="U22" s="3">
        <v>27.28</v>
      </c>
      <c r="V22" s="3">
        <v>91</v>
      </c>
      <c r="W22" s="3">
        <v>-11</v>
      </c>
      <c r="X22" s="3">
        <v>63</v>
      </c>
      <c r="Y22" s="4"/>
    </row>
    <row r="23" spans="1:25" ht="15.75" customHeight="1" thickBot="1">
      <c r="A23" s="13"/>
      <c r="B23" s="3">
        <v>8</v>
      </c>
      <c r="C23" s="3" t="s">
        <v>15</v>
      </c>
      <c r="D23" s="3" t="s">
        <v>15</v>
      </c>
      <c r="E23" s="3" t="s">
        <v>15</v>
      </c>
      <c r="F23" s="6">
        <v>3860</v>
      </c>
      <c r="G23" s="3" t="s">
        <v>15</v>
      </c>
      <c r="H23" s="3">
        <v>75</v>
      </c>
      <c r="I23" s="10">
        <v>3699.35</v>
      </c>
      <c r="J23" s="10">
        <v>3982.65</v>
      </c>
      <c r="K23" s="10">
        <f t="shared" si="0"/>
        <v>3841</v>
      </c>
      <c r="L23" s="8">
        <v>1725</v>
      </c>
      <c r="M23" s="6">
        <v>21100</v>
      </c>
      <c r="N23" s="8">
        <v>1800</v>
      </c>
      <c r="O23" s="3">
        <v>5.2</v>
      </c>
      <c r="P23" s="3">
        <v>11.9</v>
      </c>
      <c r="Q23" s="3">
        <f t="shared" si="1"/>
        <v>8.5500000000000007</v>
      </c>
      <c r="R23" s="3">
        <v>150</v>
      </c>
      <c r="S23" s="7">
        <v>-3.45</v>
      </c>
      <c r="T23" s="5">
        <v>5.4</v>
      </c>
      <c r="U23" s="3">
        <v>26.32</v>
      </c>
      <c r="V23" s="3">
        <v>599</v>
      </c>
      <c r="W23" s="3">
        <v>169</v>
      </c>
      <c r="X23" s="3">
        <v>258</v>
      </c>
      <c r="Y23" s="4"/>
    </row>
    <row r="24" spans="1:25" ht="15.75" customHeight="1" thickBot="1">
      <c r="A24" s="13"/>
      <c r="B24" s="3">
        <v>9</v>
      </c>
      <c r="C24" s="3" t="s">
        <v>15</v>
      </c>
      <c r="D24" s="3" t="s">
        <v>15</v>
      </c>
      <c r="E24" s="3" t="s">
        <v>15</v>
      </c>
      <c r="F24" s="6">
        <v>3811</v>
      </c>
      <c r="G24" s="3" t="s">
        <v>15</v>
      </c>
      <c r="H24" s="8">
        <v>1725</v>
      </c>
      <c r="I24" s="10">
        <v>3265.45</v>
      </c>
      <c r="J24" s="10">
        <v>3927.15</v>
      </c>
      <c r="K24" s="10">
        <f t="shared" si="0"/>
        <v>3596.3</v>
      </c>
      <c r="L24" s="8">
        <v>1725</v>
      </c>
      <c r="M24" s="6">
        <v>21150</v>
      </c>
      <c r="N24" s="8">
        <v>1800</v>
      </c>
      <c r="O24" s="3">
        <v>3.55</v>
      </c>
      <c r="P24" s="3">
        <v>10.9</v>
      </c>
      <c r="Q24" s="3">
        <f t="shared" si="1"/>
        <v>7.2249999999999996</v>
      </c>
      <c r="R24" s="3">
        <v>150</v>
      </c>
      <c r="S24" s="7">
        <v>-1.45</v>
      </c>
      <c r="T24" s="5">
        <v>6.25</v>
      </c>
      <c r="U24" s="3">
        <v>26.49</v>
      </c>
      <c r="V24" s="3">
        <v>46</v>
      </c>
      <c r="W24" s="3">
        <v>37</v>
      </c>
      <c r="X24" s="3">
        <v>91</v>
      </c>
      <c r="Y24" s="4"/>
    </row>
    <row r="25" spans="1:25" ht="15.75" customHeight="1" thickBot="1">
      <c r="A25" s="13"/>
      <c r="B25" s="3">
        <v>11</v>
      </c>
      <c r="C25" s="3" t="s">
        <v>15</v>
      </c>
      <c r="D25" s="3" t="s">
        <v>15</v>
      </c>
      <c r="E25" s="3" t="s">
        <v>15</v>
      </c>
      <c r="F25" s="6">
        <v>3761.7</v>
      </c>
      <c r="G25" s="3" t="s">
        <v>15</v>
      </c>
      <c r="H25" s="3">
        <v>75</v>
      </c>
      <c r="I25" s="10">
        <v>3503.75</v>
      </c>
      <c r="J25" s="10">
        <v>3869.75</v>
      </c>
      <c r="K25" s="10">
        <f t="shared" si="0"/>
        <v>3686.75</v>
      </c>
      <c r="L25" s="8">
        <v>1725</v>
      </c>
      <c r="M25" s="6">
        <v>21200</v>
      </c>
      <c r="N25" s="3">
        <v>75</v>
      </c>
      <c r="O25" s="3">
        <v>4.75</v>
      </c>
      <c r="P25" s="3">
        <v>7.6</v>
      </c>
      <c r="Q25" s="3">
        <f t="shared" si="1"/>
        <v>6.1749999999999998</v>
      </c>
      <c r="R25" s="3">
        <v>75</v>
      </c>
      <c r="S25" s="7">
        <v>-1.95</v>
      </c>
      <c r="T25" s="5">
        <v>6.6</v>
      </c>
      <c r="U25" s="3">
        <v>26.34</v>
      </c>
      <c r="V25" s="3">
        <v>14</v>
      </c>
      <c r="W25" s="3" t="s">
        <v>15</v>
      </c>
      <c r="X25" s="3">
        <v>121</v>
      </c>
      <c r="Y25" s="4"/>
    </row>
    <row r="26" spans="1:25" ht="15.75" customHeight="1" thickBot="1">
      <c r="A26" s="13"/>
      <c r="B26" s="3">
        <v>11</v>
      </c>
      <c r="C26" s="3" t="s">
        <v>15</v>
      </c>
      <c r="D26" s="3" t="s">
        <v>15</v>
      </c>
      <c r="E26" s="3" t="s">
        <v>15</v>
      </c>
      <c r="F26" s="6">
        <v>3712.5</v>
      </c>
      <c r="G26" s="3" t="s">
        <v>15</v>
      </c>
      <c r="H26" s="8">
        <v>1725</v>
      </c>
      <c r="I26" s="10">
        <v>3165.35</v>
      </c>
      <c r="J26" s="10">
        <v>3794.75</v>
      </c>
      <c r="K26" s="10">
        <f t="shared" si="0"/>
        <v>3480.05</v>
      </c>
      <c r="L26" s="8">
        <v>1725</v>
      </c>
      <c r="M26" s="6">
        <v>21250</v>
      </c>
      <c r="N26" s="8">
        <v>1650</v>
      </c>
      <c r="O26" s="3">
        <v>4.4000000000000004</v>
      </c>
      <c r="P26" s="3">
        <v>12.9</v>
      </c>
      <c r="Q26" s="3">
        <f t="shared" si="1"/>
        <v>8.65</v>
      </c>
      <c r="R26" s="3">
        <v>150</v>
      </c>
      <c r="S26" s="9">
        <v>0.05</v>
      </c>
      <c r="T26" s="5">
        <v>8.9</v>
      </c>
      <c r="U26" s="3" t="s">
        <v>15</v>
      </c>
      <c r="V26" s="3" t="s">
        <v>15</v>
      </c>
      <c r="W26" s="3" t="s">
        <v>15</v>
      </c>
      <c r="X26" s="3">
        <v>44</v>
      </c>
      <c r="Y26" s="4"/>
    </row>
    <row r="27" spans="1:25" ht="15.75" customHeight="1" thickBot="1">
      <c r="A27" s="13"/>
      <c r="B27" s="3">
        <v>11</v>
      </c>
      <c r="C27" s="3" t="s">
        <v>15</v>
      </c>
      <c r="D27" s="3" t="s">
        <v>15</v>
      </c>
      <c r="E27" s="3" t="s">
        <v>15</v>
      </c>
      <c r="F27" s="6">
        <v>3663.3</v>
      </c>
      <c r="G27" s="3" t="s">
        <v>15</v>
      </c>
      <c r="H27" s="3">
        <v>75</v>
      </c>
      <c r="I27" s="10">
        <v>3580.15</v>
      </c>
      <c r="J27" s="10">
        <v>3766.15</v>
      </c>
      <c r="K27" s="10">
        <f t="shared" si="0"/>
        <v>3673.15</v>
      </c>
      <c r="L27" s="8">
        <v>1725</v>
      </c>
      <c r="M27" s="6">
        <v>21300</v>
      </c>
      <c r="N27" s="8">
        <v>1800</v>
      </c>
      <c r="O27" s="3">
        <v>5.7</v>
      </c>
      <c r="P27" s="3">
        <v>19.5</v>
      </c>
      <c r="Q27" s="3">
        <f t="shared" si="1"/>
        <v>12.6</v>
      </c>
      <c r="R27" s="8">
        <v>1725</v>
      </c>
      <c r="S27" s="7">
        <v>-2.4</v>
      </c>
      <c r="T27" s="5">
        <v>6.55</v>
      </c>
      <c r="U27" s="3">
        <v>25.66</v>
      </c>
      <c r="V27" s="3">
        <v>17</v>
      </c>
      <c r="W27" s="3">
        <v>-2</v>
      </c>
      <c r="X27" s="3">
        <v>53</v>
      </c>
      <c r="Y27" s="4"/>
    </row>
    <row r="28" spans="1:25" ht="15.75" customHeight="1" thickBot="1">
      <c r="A28" s="13"/>
      <c r="B28" s="3">
        <v>12</v>
      </c>
      <c r="C28" s="3" t="s">
        <v>15</v>
      </c>
      <c r="D28" s="3" t="s">
        <v>15</v>
      </c>
      <c r="E28" s="3" t="s">
        <v>15</v>
      </c>
      <c r="F28" s="6">
        <v>3613.85</v>
      </c>
      <c r="G28" s="3" t="s">
        <v>15</v>
      </c>
      <c r="H28" s="8">
        <v>1725</v>
      </c>
      <c r="I28" s="10">
        <v>3054.55</v>
      </c>
      <c r="J28" s="10">
        <v>3695</v>
      </c>
      <c r="K28" s="10">
        <f t="shared" si="0"/>
        <v>3374.7750000000001</v>
      </c>
      <c r="L28" s="8">
        <v>1725</v>
      </c>
      <c r="M28" s="6">
        <v>21350</v>
      </c>
      <c r="N28" s="3">
        <v>375</v>
      </c>
      <c r="O28" s="3">
        <v>6.1</v>
      </c>
      <c r="P28" s="3">
        <v>11.9</v>
      </c>
      <c r="Q28" s="3">
        <f t="shared" si="1"/>
        <v>9</v>
      </c>
      <c r="R28" s="3">
        <v>75</v>
      </c>
      <c r="S28" s="3" t="s">
        <v>15</v>
      </c>
      <c r="T28" s="5">
        <v>8.6999999999999993</v>
      </c>
      <c r="U28" s="3" t="s">
        <v>15</v>
      </c>
      <c r="V28" s="3" t="s">
        <v>15</v>
      </c>
      <c r="W28" s="3" t="s">
        <v>15</v>
      </c>
      <c r="X28" s="3">
        <v>99</v>
      </c>
      <c r="Y28" s="4"/>
    </row>
    <row r="29" spans="1:25" ht="15.75" customHeight="1" thickBot="1">
      <c r="A29" s="13"/>
      <c r="B29" s="3">
        <v>23</v>
      </c>
      <c r="C29" s="3" t="s">
        <v>15</v>
      </c>
      <c r="D29" s="3">
        <v>1</v>
      </c>
      <c r="E29" s="3" t="s">
        <v>15</v>
      </c>
      <c r="F29" s="6">
        <v>3470</v>
      </c>
      <c r="G29" s="3" t="s">
        <v>15</v>
      </c>
      <c r="H29" s="8">
        <v>1800</v>
      </c>
      <c r="I29" s="10">
        <v>3134.75</v>
      </c>
      <c r="J29" s="10">
        <v>3622.75</v>
      </c>
      <c r="K29" s="10">
        <f t="shared" si="0"/>
        <v>3378.75</v>
      </c>
      <c r="L29" s="8">
        <v>1725</v>
      </c>
      <c r="M29" s="6">
        <v>21400</v>
      </c>
      <c r="N29" s="3">
        <v>150</v>
      </c>
      <c r="O29" s="3">
        <v>5.2</v>
      </c>
      <c r="P29" s="3">
        <v>9.6999999999999993</v>
      </c>
      <c r="Q29" s="3">
        <f t="shared" si="1"/>
        <v>7.4499999999999993</v>
      </c>
      <c r="R29" s="3">
        <v>75</v>
      </c>
      <c r="S29" s="7">
        <v>-2.65</v>
      </c>
      <c r="T29" s="5">
        <v>6.7</v>
      </c>
      <c r="U29" s="3">
        <v>25.08</v>
      </c>
      <c r="V29" s="3">
        <v>326</v>
      </c>
      <c r="W29" s="3">
        <v>-119</v>
      </c>
      <c r="X29" s="3">
        <v>76</v>
      </c>
      <c r="Y29" s="4"/>
    </row>
    <row r="30" spans="1:25" ht="15.75" customHeight="1" thickBot="1">
      <c r="A30" s="13"/>
      <c r="B30" s="3">
        <v>21</v>
      </c>
      <c r="C30" s="3" t="s">
        <v>15</v>
      </c>
      <c r="D30" s="3" t="s">
        <v>15</v>
      </c>
      <c r="E30" s="3" t="s">
        <v>15</v>
      </c>
      <c r="F30" s="6">
        <v>3515.6</v>
      </c>
      <c r="G30" s="3" t="s">
        <v>15</v>
      </c>
      <c r="H30" s="8">
        <v>1725</v>
      </c>
      <c r="I30" s="10">
        <v>2992.4</v>
      </c>
      <c r="J30" s="10">
        <v>3615</v>
      </c>
      <c r="K30" s="10">
        <f t="shared" si="0"/>
        <v>3303.7</v>
      </c>
      <c r="L30" s="8">
        <v>1725</v>
      </c>
      <c r="M30" s="6">
        <v>21450</v>
      </c>
      <c r="N30" s="8">
        <v>1800</v>
      </c>
      <c r="O30" s="3">
        <v>3.2</v>
      </c>
      <c r="P30" s="3">
        <v>12.9</v>
      </c>
      <c r="Q30" s="3">
        <f t="shared" si="1"/>
        <v>8.0500000000000007</v>
      </c>
      <c r="R30" s="3">
        <v>150</v>
      </c>
      <c r="S30" s="7">
        <v>-2.4</v>
      </c>
      <c r="T30" s="5">
        <v>7.15</v>
      </c>
      <c r="U30" s="3">
        <v>24.97</v>
      </c>
      <c r="V30" s="3">
        <v>3</v>
      </c>
      <c r="W30" s="3">
        <v>3</v>
      </c>
      <c r="X30" s="3">
        <v>18</v>
      </c>
      <c r="Y30" s="4"/>
    </row>
    <row r="31" spans="1:25" ht="15.75" customHeight="1" thickBot="1">
      <c r="A31" s="13"/>
      <c r="B31" s="8">
        <v>1554</v>
      </c>
      <c r="C31" s="3">
        <v>69</v>
      </c>
      <c r="D31" s="3">
        <v>98</v>
      </c>
      <c r="E31" s="3" t="s">
        <v>15</v>
      </c>
      <c r="F31" s="6">
        <v>3422.3</v>
      </c>
      <c r="G31" s="9">
        <v>79.599999999999994</v>
      </c>
      <c r="H31" s="3">
        <v>75</v>
      </c>
      <c r="I31" s="10">
        <v>3430.45</v>
      </c>
      <c r="J31" s="10">
        <v>3445.8</v>
      </c>
      <c r="K31" s="10">
        <f t="shared" si="0"/>
        <v>3438.125</v>
      </c>
      <c r="L31" s="3">
        <v>75</v>
      </c>
      <c r="M31" s="6">
        <v>21500</v>
      </c>
      <c r="N31" s="3">
        <v>300</v>
      </c>
      <c r="O31" s="3">
        <v>6.7</v>
      </c>
      <c r="P31" s="3">
        <v>7.3</v>
      </c>
      <c r="Q31" s="3">
        <f t="shared" si="1"/>
        <v>7</v>
      </c>
      <c r="R31" s="3">
        <v>450</v>
      </c>
      <c r="S31" s="7">
        <v>-2.0499999999999998</v>
      </c>
      <c r="T31" s="5">
        <v>7.4</v>
      </c>
      <c r="U31" s="3">
        <v>24.75</v>
      </c>
      <c r="V31" s="8">
        <v>7285</v>
      </c>
      <c r="W31" s="3">
        <v>-164</v>
      </c>
      <c r="X31" s="8">
        <v>8800</v>
      </c>
      <c r="Y31" s="4"/>
    </row>
    <row r="32" spans="1:25" ht="15.75" customHeight="1" thickBot="1">
      <c r="A32" s="13"/>
      <c r="B32" s="3">
        <v>21</v>
      </c>
      <c r="C32" s="3" t="s">
        <v>15</v>
      </c>
      <c r="D32" s="3" t="s">
        <v>15</v>
      </c>
      <c r="E32" s="3" t="s">
        <v>15</v>
      </c>
      <c r="F32" s="6">
        <v>3417.6</v>
      </c>
      <c r="G32" s="3" t="s">
        <v>15</v>
      </c>
      <c r="H32" s="8">
        <v>1725</v>
      </c>
      <c r="I32" s="10">
        <v>2993.3</v>
      </c>
      <c r="J32" s="10">
        <v>3530.25</v>
      </c>
      <c r="K32" s="10">
        <f t="shared" si="0"/>
        <v>3261.7750000000001</v>
      </c>
      <c r="L32" s="8">
        <v>1725</v>
      </c>
      <c r="M32" s="6">
        <v>21550</v>
      </c>
      <c r="N32" s="8">
        <v>1800</v>
      </c>
      <c r="O32" s="3">
        <v>3.2</v>
      </c>
      <c r="P32" s="3">
        <v>17.55</v>
      </c>
      <c r="Q32" s="3">
        <f t="shared" si="1"/>
        <v>10.375</v>
      </c>
      <c r="R32" s="8">
        <v>1725</v>
      </c>
      <c r="S32" s="7">
        <v>-2.85</v>
      </c>
      <c r="T32" s="5">
        <v>7.45</v>
      </c>
      <c r="U32" s="3">
        <v>24.45</v>
      </c>
      <c r="V32" s="3">
        <v>9</v>
      </c>
      <c r="W32" s="3">
        <v>2</v>
      </c>
      <c r="X32" s="3">
        <v>20</v>
      </c>
      <c r="Y32" s="4"/>
    </row>
    <row r="33" spans="1:25" ht="15.75" customHeight="1" thickBot="1">
      <c r="A33" s="13"/>
      <c r="B33" s="3">
        <v>20</v>
      </c>
      <c r="C33" s="3" t="s">
        <v>15</v>
      </c>
      <c r="D33" s="3" t="s">
        <v>15</v>
      </c>
      <c r="E33" s="3" t="s">
        <v>15</v>
      </c>
      <c r="F33" s="6">
        <v>3368.55</v>
      </c>
      <c r="G33" s="3" t="s">
        <v>15</v>
      </c>
      <c r="H33" s="8">
        <v>1800</v>
      </c>
      <c r="I33" s="10">
        <v>2939.7</v>
      </c>
      <c r="J33" s="10">
        <v>3419.4</v>
      </c>
      <c r="K33" s="10">
        <f t="shared" si="0"/>
        <v>3179.55</v>
      </c>
      <c r="L33" s="8">
        <v>1725</v>
      </c>
      <c r="M33" s="6">
        <v>21600</v>
      </c>
      <c r="N33" s="8">
        <v>1650</v>
      </c>
      <c r="O33" s="3">
        <v>5.55</v>
      </c>
      <c r="P33" s="3">
        <v>10.5</v>
      </c>
      <c r="Q33" s="3">
        <f t="shared" si="1"/>
        <v>8.0250000000000004</v>
      </c>
      <c r="R33" s="3">
        <v>150</v>
      </c>
      <c r="S33" s="7">
        <v>-3.3</v>
      </c>
      <c r="T33" s="5">
        <v>7.5</v>
      </c>
      <c r="U33" s="3">
        <v>24.14</v>
      </c>
      <c r="V33" s="3">
        <v>92</v>
      </c>
      <c r="W33" s="3">
        <v>-10</v>
      </c>
      <c r="X33" s="3">
        <v>79</v>
      </c>
      <c r="Y33" s="4"/>
    </row>
    <row r="34" spans="1:25" ht="15.75" customHeight="1" thickBot="1">
      <c r="A34" s="13"/>
      <c r="B34" s="3">
        <v>25</v>
      </c>
      <c r="C34" s="3" t="s">
        <v>15</v>
      </c>
      <c r="D34" s="3" t="s">
        <v>15</v>
      </c>
      <c r="E34" s="3" t="s">
        <v>15</v>
      </c>
      <c r="F34" s="6">
        <v>3319.6</v>
      </c>
      <c r="G34" s="3" t="s">
        <v>15</v>
      </c>
      <c r="H34" s="8">
        <v>1725</v>
      </c>
      <c r="I34" s="10">
        <v>2877.65</v>
      </c>
      <c r="J34" s="10">
        <v>3432.5</v>
      </c>
      <c r="K34" s="10">
        <f t="shared" si="0"/>
        <v>3155.0749999999998</v>
      </c>
      <c r="L34" s="8">
        <v>1725</v>
      </c>
      <c r="M34" s="6">
        <v>21650</v>
      </c>
      <c r="N34" s="8">
        <v>1800</v>
      </c>
      <c r="O34" s="3">
        <v>4.95</v>
      </c>
      <c r="P34" s="3" t="s">
        <v>15</v>
      </c>
      <c r="Q34" s="3" t="e">
        <f t="shared" si="1"/>
        <v>#VALUE!</v>
      </c>
      <c r="R34" s="3" t="s">
        <v>15</v>
      </c>
      <c r="S34" s="7">
        <v>-2.5</v>
      </c>
      <c r="T34" s="5">
        <v>8.3000000000000007</v>
      </c>
      <c r="U34" s="3">
        <v>24.14</v>
      </c>
      <c r="V34" s="3">
        <v>42</v>
      </c>
      <c r="W34" s="3">
        <v>-34</v>
      </c>
      <c r="X34" s="3">
        <v>54</v>
      </c>
      <c r="Y34" s="4"/>
    </row>
    <row r="35" spans="1:25" ht="15.75" customHeight="1" thickBot="1">
      <c r="A35" s="13"/>
      <c r="B35" s="3">
        <v>14</v>
      </c>
      <c r="C35" s="3" t="s">
        <v>15</v>
      </c>
      <c r="D35" s="3" t="s">
        <v>15</v>
      </c>
      <c r="E35" s="3" t="s">
        <v>15</v>
      </c>
      <c r="F35" s="6">
        <v>3269.4</v>
      </c>
      <c r="G35" s="3" t="s">
        <v>15</v>
      </c>
      <c r="H35" s="3">
        <v>75</v>
      </c>
      <c r="I35" s="10">
        <v>3135.7</v>
      </c>
      <c r="J35" s="10">
        <v>3397.75</v>
      </c>
      <c r="K35" s="10">
        <f t="shared" si="0"/>
        <v>3266.7249999999999</v>
      </c>
      <c r="L35" s="3">
        <v>75</v>
      </c>
      <c r="M35" s="6">
        <v>21700</v>
      </c>
      <c r="N35" s="3">
        <v>75</v>
      </c>
      <c r="O35" s="3">
        <v>7.5</v>
      </c>
      <c r="P35" s="3">
        <v>19.2</v>
      </c>
      <c r="Q35" s="3">
        <f t="shared" si="1"/>
        <v>13.35</v>
      </c>
      <c r="R35" s="8">
        <v>1725</v>
      </c>
      <c r="S35" s="7">
        <v>-2.2999999999999998</v>
      </c>
      <c r="T35" s="5">
        <v>8.9</v>
      </c>
      <c r="U35" s="3">
        <v>24.05</v>
      </c>
      <c r="V35" s="3">
        <v>712</v>
      </c>
      <c r="W35" s="3">
        <v>97</v>
      </c>
      <c r="X35" s="3">
        <v>436</v>
      </c>
      <c r="Y35" s="4"/>
    </row>
    <row r="36" spans="1:25" ht="15.75" customHeight="1" thickBot="1">
      <c r="A36" s="13"/>
      <c r="B36" s="3">
        <v>21</v>
      </c>
      <c r="C36" s="3" t="s">
        <v>15</v>
      </c>
      <c r="D36" s="3" t="s">
        <v>15</v>
      </c>
      <c r="E36" s="3" t="s">
        <v>15</v>
      </c>
      <c r="F36" s="6">
        <v>3221.5</v>
      </c>
      <c r="G36" s="3" t="s">
        <v>15</v>
      </c>
      <c r="H36" s="8">
        <v>1725</v>
      </c>
      <c r="I36" s="10">
        <v>2793.25</v>
      </c>
      <c r="J36" s="10">
        <v>3323.15</v>
      </c>
      <c r="K36" s="10">
        <f t="shared" si="0"/>
        <v>3058.2</v>
      </c>
      <c r="L36" s="8">
        <v>1725</v>
      </c>
      <c r="M36" s="6">
        <v>21750</v>
      </c>
      <c r="N36" s="8">
        <v>1650</v>
      </c>
      <c r="O36" s="3">
        <v>6.4</v>
      </c>
      <c r="P36" s="3">
        <v>18.149999999999999</v>
      </c>
      <c r="Q36" s="3">
        <f t="shared" si="1"/>
        <v>12.274999999999999</v>
      </c>
      <c r="R36" s="8">
        <v>1725</v>
      </c>
      <c r="S36" s="7">
        <v>-4.0999999999999996</v>
      </c>
      <c r="T36" s="5">
        <v>8.25</v>
      </c>
      <c r="U36" s="3">
        <v>23.45</v>
      </c>
      <c r="V36" s="3">
        <v>453</v>
      </c>
      <c r="W36" s="3">
        <v>-38</v>
      </c>
      <c r="X36" s="3">
        <v>44</v>
      </c>
      <c r="Y36" s="4"/>
    </row>
    <row r="37" spans="1:25" ht="15.75" customHeight="1" thickBot="1">
      <c r="A37" s="13"/>
      <c r="B37" s="3">
        <v>47</v>
      </c>
      <c r="C37" s="3">
        <v>16</v>
      </c>
      <c r="D37" s="3">
        <v>18</v>
      </c>
      <c r="E37" s="3" t="s">
        <v>15</v>
      </c>
      <c r="F37" s="6">
        <v>3050</v>
      </c>
      <c r="G37" s="7">
        <v>-5.15</v>
      </c>
      <c r="H37" s="3">
        <v>150</v>
      </c>
      <c r="I37" s="10">
        <v>3079.3</v>
      </c>
      <c r="J37" s="10">
        <v>3193</v>
      </c>
      <c r="K37" s="10">
        <f t="shared" si="0"/>
        <v>3136.15</v>
      </c>
      <c r="L37" s="3">
        <v>150</v>
      </c>
      <c r="M37" s="6">
        <v>21800</v>
      </c>
      <c r="N37" s="3">
        <v>75</v>
      </c>
      <c r="O37" s="3">
        <v>7.8</v>
      </c>
      <c r="P37" s="3">
        <v>8.8000000000000007</v>
      </c>
      <c r="Q37" s="3">
        <f t="shared" si="1"/>
        <v>8.3000000000000007</v>
      </c>
      <c r="R37" s="3">
        <v>75</v>
      </c>
      <c r="S37" s="7">
        <v>-3.75</v>
      </c>
      <c r="T37" s="5">
        <v>8.15</v>
      </c>
      <c r="U37" s="3">
        <v>23.08</v>
      </c>
      <c r="V37" s="8">
        <v>3070</v>
      </c>
      <c r="W37" s="3">
        <v>106</v>
      </c>
      <c r="X37" s="8">
        <v>2443</v>
      </c>
      <c r="Y37" s="4"/>
    </row>
    <row r="38" spans="1:25" ht="15.75" customHeight="1" thickBot="1">
      <c r="A38" s="13"/>
      <c r="B38" s="3">
        <v>23</v>
      </c>
      <c r="C38" s="3" t="s">
        <v>15</v>
      </c>
      <c r="D38" s="3" t="s">
        <v>15</v>
      </c>
      <c r="E38" s="3" t="s">
        <v>15</v>
      </c>
      <c r="F38" s="6">
        <v>3123.35</v>
      </c>
      <c r="G38" s="9">
        <v>0.15</v>
      </c>
      <c r="H38" s="8">
        <v>1725</v>
      </c>
      <c r="I38" s="10">
        <v>2698.45</v>
      </c>
      <c r="J38" s="10">
        <v>3188.15</v>
      </c>
      <c r="K38" s="10">
        <f t="shared" si="0"/>
        <v>2943.3</v>
      </c>
      <c r="L38" s="8">
        <v>1725</v>
      </c>
      <c r="M38" s="6">
        <v>21850</v>
      </c>
      <c r="N38" s="8">
        <v>1650</v>
      </c>
      <c r="O38" s="3">
        <v>6.9</v>
      </c>
      <c r="P38" s="3">
        <v>20.149999999999999</v>
      </c>
      <c r="Q38" s="3">
        <f t="shared" si="1"/>
        <v>13.524999999999999</v>
      </c>
      <c r="R38" s="8">
        <v>1725</v>
      </c>
      <c r="S38" s="7">
        <v>-5.35</v>
      </c>
      <c r="T38" s="5">
        <v>8.3000000000000007</v>
      </c>
      <c r="U38" s="3">
        <v>22.81</v>
      </c>
      <c r="V38" s="3">
        <v>226</v>
      </c>
      <c r="W38" s="3">
        <v>28</v>
      </c>
      <c r="X38" s="3">
        <v>107</v>
      </c>
      <c r="Y38" s="4"/>
    </row>
    <row r="39" spans="1:25" ht="15.75" customHeight="1" thickBot="1">
      <c r="A39" s="13"/>
      <c r="B39" s="3">
        <v>27</v>
      </c>
      <c r="C39" s="3">
        <v>-1</v>
      </c>
      <c r="D39" s="3">
        <v>1</v>
      </c>
      <c r="E39" s="3" t="s">
        <v>15</v>
      </c>
      <c r="F39" s="6">
        <v>2991</v>
      </c>
      <c r="G39" s="9">
        <v>33.65</v>
      </c>
      <c r="H39" s="8">
        <v>1800</v>
      </c>
      <c r="I39" s="10">
        <v>2684.6</v>
      </c>
      <c r="J39" s="10">
        <v>3106.75</v>
      </c>
      <c r="K39" s="10">
        <f t="shared" si="0"/>
        <v>2895.6750000000002</v>
      </c>
      <c r="L39" s="3">
        <v>75</v>
      </c>
      <c r="M39" s="6">
        <v>21900</v>
      </c>
      <c r="N39" s="8">
        <v>1650</v>
      </c>
      <c r="O39" s="3">
        <v>8.0500000000000007</v>
      </c>
      <c r="P39" s="3">
        <v>14.25</v>
      </c>
      <c r="Q39" s="3">
        <f t="shared" si="1"/>
        <v>11.15</v>
      </c>
      <c r="R39" s="3">
        <v>150</v>
      </c>
      <c r="S39" s="7">
        <v>-5.6</v>
      </c>
      <c r="T39" s="5">
        <v>9.0500000000000007</v>
      </c>
      <c r="U39" s="3">
        <v>22.76</v>
      </c>
      <c r="V39" s="3">
        <v>470</v>
      </c>
      <c r="W39" s="3">
        <v>-124</v>
      </c>
      <c r="X39" s="3">
        <v>577</v>
      </c>
      <c r="Y39" s="4"/>
    </row>
    <row r="40" spans="1:25" ht="15.75" customHeight="1" thickBot="1">
      <c r="A40" s="13"/>
      <c r="B40" s="3">
        <v>29</v>
      </c>
      <c r="C40" s="3" t="s">
        <v>15</v>
      </c>
      <c r="D40" s="3" t="s">
        <v>15</v>
      </c>
      <c r="E40" s="3" t="s">
        <v>15</v>
      </c>
      <c r="F40" s="6">
        <v>3026.25</v>
      </c>
      <c r="G40" s="9">
        <v>0.4</v>
      </c>
      <c r="H40" s="8">
        <v>1800</v>
      </c>
      <c r="I40" s="10">
        <v>2612.25</v>
      </c>
      <c r="J40" s="10">
        <v>3083.55</v>
      </c>
      <c r="K40" s="10">
        <f t="shared" si="0"/>
        <v>2847.9</v>
      </c>
      <c r="L40" s="8">
        <v>1725</v>
      </c>
      <c r="M40" s="6">
        <v>21950</v>
      </c>
      <c r="N40" s="8">
        <v>1800</v>
      </c>
      <c r="O40" s="3">
        <v>7</v>
      </c>
      <c r="P40" s="3">
        <v>15.35</v>
      </c>
      <c r="Q40" s="3">
        <f t="shared" si="1"/>
        <v>11.175000000000001</v>
      </c>
      <c r="R40" s="8">
        <v>1725</v>
      </c>
      <c r="S40" s="7">
        <v>-5.85</v>
      </c>
      <c r="T40" s="5">
        <v>9.5</v>
      </c>
      <c r="U40" s="3">
        <v>22.58</v>
      </c>
      <c r="V40" s="3">
        <v>94</v>
      </c>
      <c r="W40" s="3">
        <v>25</v>
      </c>
      <c r="X40" s="3">
        <v>109</v>
      </c>
      <c r="Y40" s="4"/>
    </row>
    <row r="41" spans="1:25" ht="15.75" customHeight="1" thickBot="1">
      <c r="A41" s="13"/>
      <c r="B41" s="8">
        <v>13587</v>
      </c>
      <c r="C41" s="8">
        <v>1791</v>
      </c>
      <c r="D41" s="8">
        <v>3044</v>
      </c>
      <c r="E41" s="3" t="s">
        <v>15</v>
      </c>
      <c r="F41" s="6">
        <v>2954.55</v>
      </c>
      <c r="G41" s="9">
        <v>103.25</v>
      </c>
      <c r="H41" s="3">
        <v>75</v>
      </c>
      <c r="I41" s="10">
        <v>2951</v>
      </c>
      <c r="J41" s="10">
        <v>2953.25</v>
      </c>
      <c r="K41" s="10">
        <f t="shared" si="0"/>
        <v>2952.125</v>
      </c>
      <c r="L41" s="3">
        <v>75</v>
      </c>
      <c r="M41" s="6">
        <v>22000</v>
      </c>
      <c r="N41" s="8">
        <v>2250</v>
      </c>
      <c r="O41" s="3">
        <v>11</v>
      </c>
      <c r="P41" s="3">
        <v>11.05</v>
      </c>
      <c r="Q41" s="3">
        <f t="shared" si="1"/>
        <v>11.025</v>
      </c>
      <c r="R41" s="3">
        <v>150</v>
      </c>
      <c r="S41" s="7">
        <v>-5.55</v>
      </c>
      <c r="T41" s="5">
        <v>11.05</v>
      </c>
      <c r="U41" s="3">
        <v>22.75</v>
      </c>
      <c r="V41" s="8">
        <v>18704</v>
      </c>
      <c r="W41" s="8">
        <v>1254</v>
      </c>
      <c r="X41" s="8">
        <v>37270</v>
      </c>
      <c r="Y41" s="4"/>
    </row>
    <row r="42" spans="1:25" ht="15.75" customHeight="1" thickBot="1">
      <c r="A42" s="13"/>
      <c r="B42" s="3">
        <v>29</v>
      </c>
      <c r="C42" s="3" t="s">
        <v>15</v>
      </c>
      <c r="D42" s="3" t="s">
        <v>15</v>
      </c>
      <c r="E42" s="3" t="s">
        <v>15</v>
      </c>
      <c r="F42" s="6">
        <v>2927.6</v>
      </c>
      <c r="G42" s="9">
        <v>0.45</v>
      </c>
      <c r="H42" s="8">
        <v>1800</v>
      </c>
      <c r="I42" s="10">
        <v>2516</v>
      </c>
      <c r="J42" s="10">
        <v>3323.85</v>
      </c>
      <c r="K42" s="10">
        <f t="shared" si="0"/>
        <v>2919.9250000000002</v>
      </c>
      <c r="L42" s="8">
        <v>1725</v>
      </c>
      <c r="M42" s="6">
        <v>22050</v>
      </c>
      <c r="N42" s="8">
        <v>1800</v>
      </c>
      <c r="O42" s="3">
        <v>7.85</v>
      </c>
      <c r="P42" s="3">
        <v>30.3</v>
      </c>
      <c r="Q42" s="3">
        <f t="shared" si="1"/>
        <v>19.074999999999999</v>
      </c>
      <c r="R42" s="8">
        <v>1725</v>
      </c>
      <c r="S42" s="7">
        <v>-6.6</v>
      </c>
      <c r="T42" s="5">
        <v>10.55</v>
      </c>
      <c r="U42" s="3">
        <v>22.25</v>
      </c>
      <c r="V42" s="3">
        <v>218</v>
      </c>
      <c r="W42" s="3">
        <v>14</v>
      </c>
      <c r="X42" s="3">
        <v>168</v>
      </c>
      <c r="Y42" s="4"/>
    </row>
    <row r="43" spans="1:25" ht="15.75" customHeight="1" thickBot="1">
      <c r="A43" s="13"/>
      <c r="B43" s="3">
        <v>23</v>
      </c>
      <c r="C43" s="3">
        <v>1</v>
      </c>
      <c r="D43" s="3">
        <v>3</v>
      </c>
      <c r="E43" s="3" t="s">
        <v>15</v>
      </c>
      <c r="F43" s="6">
        <v>2829.25</v>
      </c>
      <c r="G43" s="7">
        <v>-0.75</v>
      </c>
      <c r="H43" s="8">
        <v>1725</v>
      </c>
      <c r="I43" s="10">
        <v>2493.15</v>
      </c>
      <c r="J43" s="10">
        <v>2872.5</v>
      </c>
      <c r="K43" s="10">
        <f t="shared" si="0"/>
        <v>2682.8249999999998</v>
      </c>
      <c r="L43" s="3">
        <v>75</v>
      </c>
      <c r="M43" s="6">
        <v>22100</v>
      </c>
      <c r="N43" s="3">
        <v>150</v>
      </c>
      <c r="O43" s="3">
        <v>10.7</v>
      </c>
      <c r="P43" s="3">
        <v>19.25</v>
      </c>
      <c r="Q43" s="3">
        <f t="shared" si="1"/>
        <v>14.975</v>
      </c>
      <c r="R43" s="3">
        <v>150</v>
      </c>
      <c r="S43" s="7">
        <v>-7.25</v>
      </c>
      <c r="T43" s="5">
        <v>10.9</v>
      </c>
      <c r="U43" s="3">
        <v>22.02</v>
      </c>
      <c r="V43" s="3">
        <v>625</v>
      </c>
      <c r="W43" s="3">
        <v>-208</v>
      </c>
      <c r="X43" s="3">
        <v>536</v>
      </c>
      <c r="Y43" s="4"/>
    </row>
    <row r="44" spans="1:25" ht="15.75" customHeight="1" thickBot="1">
      <c r="A44" s="13"/>
      <c r="B44" s="3">
        <v>27</v>
      </c>
      <c r="C44" s="3" t="s">
        <v>15</v>
      </c>
      <c r="D44" s="3" t="s">
        <v>15</v>
      </c>
      <c r="E44" s="3" t="s">
        <v>15</v>
      </c>
      <c r="F44" s="6">
        <v>2829.7</v>
      </c>
      <c r="G44" s="3" t="s">
        <v>15</v>
      </c>
      <c r="H44" s="8">
        <v>1800</v>
      </c>
      <c r="I44" s="10">
        <v>2425.1</v>
      </c>
      <c r="J44" s="10">
        <v>3131.75</v>
      </c>
      <c r="K44" s="10">
        <f t="shared" si="0"/>
        <v>2778.4250000000002</v>
      </c>
      <c r="L44" s="8">
        <v>1725</v>
      </c>
      <c r="M44" s="6">
        <v>22150</v>
      </c>
      <c r="N44" s="8">
        <v>1650</v>
      </c>
      <c r="O44" s="3">
        <v>10.45</v>
      </c>
      <c r="P44" s="3">
        <v>17</v>
      </c>
      <c r="Q44" s="3">
        <f t="shared" si="1"/>
        <v>13.725</v>
      </c>
      <c r="R44" s="3">
        <v>75</v>
      </c>
      <c r="S44" s="7">
        <v>-6.85</v>
      </c>
      <c r="T44" s="5">
        <v>12.1</v>
      </c>
      <c r="U44" s="3">
        <v>22.03</v>
      </c>
      <c r="V44" s="3">
        <v>93</v>
      </c>
      <c r="W44" s="3">
        <v>-22</v>
      </c>
      <c r="X44" s="3">
        <v>69</v>
      </c>
      <c r="Y44" s="4"/>
    </row>
    <row r="45" spans="1:25" ht="15.75" customHeight="1" thickBot="1">
      <c r="A45" s="13"/>
      <c r="B45" s="3">
        <v>124</v>
      </c>
      <c r="C45" s="3">
        <v>-1</v>
      </c>
      <c r="D45" s="3">
        <v>11</v>
      </c>
      <c r="E45" s="3" t="s">
        <v>15</v>
      </c>
      <c r="F45" s="6">
        <v>2669</v>
      </c>
      <c r="G45" s="7">
        <v>-18.55</v>
      </c>
      <c r="H45" s="3">
        <v>75</v>
      </c>
      <c r="I45" s="10">
        <v>2686.2</v>
      </c>
      <c r="J45" s="10">
        <v>2833.9</v>
      </c>
      <c r="K45" s="10">
        <f t="shared" si="0"/>
        <v>2760.05</v>
      </c>
      <c r="L45" s="8">
        <v>1050</v>
      </c>
      <c r="M45" s="6">
        <v>22200</v>
      </c>
      <c r="N45" s="8">
        <v>1650</v>
      </c>
      <c r="O45" s="3">
        <v>10.3</v>
      </c>
      <c r="P45" s="3">
        <v>16</v>
      </c>
      <c r="Q45" s="3">
        <f t="shared" si="1"/>
        <v>13.15</v>
      </c>
      <c r="R45" s="3">
        <v>75</v>
      </c>
      <c r="S45" s="7">
        <v>-8.3000000000000007</v>
      </c>
      <c r="T45" s="5">
        <v>11.85</v>
      </c>
      <c r="U45" s="3">
        <v>21.61</v>
      </c>
      <c r="V45" s="3">
        <v>822</v>
      </c>
      <c r="W45" s="3">
        <v>-151</v>
      </c>
      <c r="X45" s="3">
        <v>968</v>
      </c>
      <c r="Y45" s="4"/>
    </row>
    <row r="46" spans="1:25" ht="15.75" customHeight="1" thickBot="1">
      <c r="A46" s="13"/>
      <c r="B46" s="3">
        <v>58</v>
      </c>
      <c r="C46" s="3" t="s">
        <v>15</v>
      </c>
      <c r="D46" s="3" t="s">
        <v>15</v>
      </c>
      <c r="E46" s="3" t="s">
        <v>15</v>
      </c>
      <c r="F46" s="6">
        <v>2644.8</v>
      </c>
      <c r="G46" s="3" t="s">
        <v>15</v>
      </c>
      <c r="H46" s="8">
        <v>1725</v>
      </c>
      <c r="I46" s="10">
        <v>2358.4499999999998</v>
      </c>
      <c r="J46" s="10">
        <v>3111.1</v>
      </c>
      <c r="K46" s="10">
        <f t="shared" si="0"/>
        <v>2734.7749999999996</v>
      </c>
      <c r="L46" s="8">
        <v>1725</v>
      </c>
      <c r="M46" s="6">
        <v>22250</v>
      </c>
      <c r="N46" s="8">
        <v>1125</v>
      </c>
      <c r="O46" s="3">
        <v>9.5</v>
      </c>
      <c r="P46" s="3">
        <v>41</v>
      </c>
      <c r="Q46" s="3">
        <f t="shared" si="1"/>
        <v>25.25</v>
      </c>
      <c r="R46" s="3">
        <v>75</v>
      </c>
      <c r="S46" s="7">
        <v>-10.55</v>
      </c>
      <c r="T46" s="5">
        <v>10.8</v>
      </c>
      <c r="U46" s="3">
        <v>20.96</v>
      </c>
      <c r="V46" s="3">
        <v>419</v>
      </c>
      <c r="W46" s="3">
        <v>201</v>
      </c>
      <c r="X46" s="3">
        <v>233</v>
      </c>
      <c r="Y46" s="4"/>
    </row>
    <row r="47" spans="1:25" ht="15.75" customHeight="1" thickBot="1">
      <c r="A47" s="13"/>
      <c r="B47" s="3">
        <v>106</v>
      </c>
      <c r="C47" s="3">
        <v>2</v>
      </c>
      <c r="D47" s="3">
        <v>2</v>
      </c>
      <c r="E47" s="3" t="s">
        <v>15</v>
      </c>
      <c r="F47" s="6">
        <v>2620</v>
      </c>
      <c r="G47" s="9">
        <v>85.8</v>
      </c>
      <c r="H47" s="8">
        <v>1725</v>
      </c>
      <c r="I47" s="10">
        <v>2314.3000000000002</v>
      </c>
      <c r="J47" s="10">
        <v>2667.15</v>
      </c>
      <c r="K47" s="10">
        <f t="shared" si="0"/>
        <v>2490.7250000000004</v>
      </c>
      <c r="L47" s="3">
        <v>150</v>
      </c>
      <c r="M47" s="6">
        <v>22300</v>
      </c>
      <c r="N47" s="8">
        <v>1650</v>
      </c>
      <c r="O47" s="3">
        <v>11.05</v>
      </c>
      <c r="P47" s="3">
        <v>16.8</v>
      </c>
      <c r="Q47" s="3">
        <f t="shared" si="1"/>
        <v>13.925000000000001</v>
      </c>
      <c r="R47" s="3">
        <v>75</v>
      </c>
      <c r="S47" s="7">
        <v>-9.0500000000000007</v>
      </c>
      <c r="T47" s="5">
        <v>12.6</v>
      </c>
      <c r="U47" s="3">
        <v>21.12</v>
      </c>
      <c r="V47" s="8">
        <v>2180</v>
      </c>
      <c r="W47" s="3">
        <v>-35</v>
      </c>
      <c r="X47" s="8">
        <v>1965</v>
      </c>
      <c r="Y47" s="4"/>
    </row>
    <row r="48" spans="1:25" ht="15.75" customHeight="1" thickBot="1">
      <c r="A48" s="13"/>
      <c r="B48" s="3">
        <v>22</v>
      </c>
      <c r="C48" s="3" t="s">
        <v>15</v>
      </c>
      <c r="D48" s="3" t="s">
        <v>15</v>
      </c>
      <c r="E48" s="3" t="s">
        <v>15</v>
      </c>
      <c r="F48" s="6">
        <v>2636.6</v>
      </c>
      <c r="G48" s="3" t="s">
        <v>15</v>
      </c>
      <c r="H48" s="8">
        <v>1725</v>
      </c>
      <c r="I48" s="10">
        <v>2241.15</v>
      </c>
      <c r="J48" s="10">
        <v>2832.15</v>
      </c>
      <c r="K48" s="10">
        <f t="shared" si="0"/>
        <v>2536.65</v>
      </c>
      <c r="L48" s="8">
        <v>1725</v>
      </c>
      <c r="M48" s="6">
        <v>22350</v>
      </c>
      <c r="N48" s="8">
        <v>1650</v>
      </c>
      <c r="O48" s="3">
        <v>12.05</v>
      </c>
      <c r="P48" s="3" t="s">
        <v>15</v>
      </c>
      <c r="Q48" s="3" t="e">
        <f t="shared" si="1"/>
        <v>#VALUE!</v>
      </c>
      <c r="R48" s="3" t="s">
        <v>15</v>
      </c>
      <c r="S48" s="7">
        <v>-10.15</v>
      </c>
      <c r="T48" s="5">
        <v>13.55</v>
      </c>
      <c r="U48" s="3">
        <v>21.02</v>
      </c>
      <c r="V48" s="3">
        <v>62</v>
      </c>
      <c r="W48" s="3">
        <v>2</v>
      </c>
      <c r="X48" s="3">
        <v>222</v>
      </c>
      <c r="Y48" s="4"/>
    </row>
    <row r="49" spans="1:25" ht="15.75" customHeight="1" thickBot="1">
      <c r="A49" s="13"/>
      <c r="B49" s="3">
        <v>140</v>
      </c>
      <c r="C49" s="3" t="s">
        <v>15</v>
      </c>
      <c r="D49" s="3">
        <v>2</v>
      </c>
      <c r="E49" s="3" t="s">
        <v>15</v>
      </c>
      <c r="F49" s="6">
        <v>2445</v>
      </c>
      <c r="G49" s="7">
        <v>-15</v>
      </c>
      <c r="H49" s="3">
        <v>150</v>
      </c>
      <c r="I49" s="10">
        <v>2378.15</v>
      </c>
      <c r="J49" s="10">
        <v>2757.85</v>
      </c>
      <c r="K49" s="10">
        <f t="shared" si="0"/>
        <v>2568</v>
      </c>
      <c r="L49" s="3">
        <v>150</v>
      </c>
      <c r="M49" s="6">
        <v>22400</v>
      </c>
      <c r="N49" s="8">
        <v>1650</v>
      </c>
      <c r="O49" s="3">
        <v>12.5</v>
      </c>
      <c r="P49" s="3">
        <v>33.6</v>
      </c>
      <c r="Q49" s="3">
        <f t="shared" si="1"/>
        <v>23.05</v>
      </c>
      <c r="R49" s="8">
        <v>1725</v>
      </c>
      <c r="S49" s="7">
        <v>-10.75</v>
      </c>
      <c r="T49" s="5">
        <v>13.75</v>
      </c>
      <c r="U49" s="3">
        <v>20.72</v>
      </c>
      <c r="V49" s="8">
        <v>1779</v>
      </c>
      <c r="W49" s="3">
        <v>-180</v>
      </c>
      <c r="X49" s="8">
        <v>1076</v>
      </c>
      <c r="Y49" s="4"/>
    </row>
    <row r="50" spans="1:25" ht="15.75" customHeight="1" thickBot="1">
      <c r="A50" s="13"/>
      <c r="B50" s="3">
        <v>25</v>
      </c>
      <c r="C50" s="3" t="s">
        <v>15</v>
      </c>
      <c r="D50" s="3" t="s">
        <v>15</v>
      </c>
      <c r="E50" s="3" t="s">
        <v>15</v>
      </c>
      <c r="F50" s="6">
        <v>2426.1</v>
      </c>
      <c r="G50" s="3" t="s">
        <v>15</v>
      </c>
      <c r="H50" s="8">
        <v>1725</v>
      </c>
      <c r="I50" s="10">
        <v>2116.25</v>
      </c>
      <c r="J50" s="10">
        <v>2817.2</v>
      </c>
      <c r="K50" s="10">
        <f t="shared" si="0"/>
        <v>2466.7249999999999</v>
      </c>
      <c r="L50" s="8">
        <v>1725</v>
      </c>
      <c r="M50" s="6">
        <v>22450</v>
      </c>
      <c r="N50" s="8">
        <v>1800</v>
      </c>
      <c r="O50" s="3">
        <v>10.4</v>
      </c>
      <c r="P50" s="3">
        <v>21.15</v>
      </c>
      <c r="Q50" s="3">
        <f t="shared" si="1"/>
        <v>15.774999999999999</v>
      </c>
      <c r="R50" s="8">
        <v>1725</v>
      </c>
      <c r="S50" s="7">
        <v>-11.8</v>
      </c>
      <c r="T50" s="5">
        <v>15.25</v>
      </c>
      <c r="U50" s="3">
        <v>20.72</v>
      </c>
      <c r="V50" s="3">
        <v>109</v>
      </c>
      <c r="W50" s="3">
        <v>80</v>
      </c>
      <c r="X50" s="3">
        <v>119</v>
      </c>
      <c r="Y50" s="4"/>
    </row>
    <row r="51" spans="1:25" ht="15.75" customHeight="1" thickBot="1">
      <c r="A51" s="13"/>
      <c r="B51" s="8">
        <v>3893</v>
      </c>
      <c r="C51" s="3">
        <v>304</v>
      </c>
      <c r="D51" s="3">
        <v>488</v>
      </c>
      <c r="E51" s="3" t="s">
        <v>15</v>
      </c>
      <c r="F51" s="6">
        <v>2466</v>
      </c>
      <c r="G51" s="9">
        <v>96.4</v>
      </c>
      <c r="H51" s="3">
        <v>75</v>
      </c>
      <c r="I51" s="10">
        <v>2459.85</v>
      </c>
      <c r="J51" s="10">
        <v>2463.25</v>
      </c>
      <c r="K51" s="10">
        <f t="shared" si="0"/>
        <v>2461.5500000000002</v>
      </c>
      <c r="L51" s="3">
        <v>75</v>
      </c>
      <c r="M51" s="6">
        <v>22500</v>
      </c>
      <c r="N51" s="3">
        <v>150</v>
      </c>
      <c r="O51" s="3">
        <v>16.100000000000001</v>
      </c>
      <c r="P51" s="3">
        <v>16.75</v>
      </c>
      <c r="Q51" s="3">
        <f t="shared" si="1"/>
        <v>16.425000000000001</v>
      </c>
      <c r="R51" s="3">
        <v>150</v>
      </c>
      <c r="S51" s="7">
        <v>-12.85</v>
      </c>
      <c r="T51" s="5">
        <v>16.100000000000001</v>
      </c>
      <c r="U51" s="3">
        <v>20.56</v>
      </c>
      <c r="V51" s="8">
        <v>21163</v>
      </c>
      <c r="W51" s="8">
        <v>-2730</v>
      </c>
      <c r="X51" s="8">
        <v>16466</v>
      </c>
      <c r="Y51" s="4"/>
    </row>
    <row r="52" spans="1:25" ht="15.75" customHeight="1" thickBot="1">
      <c r="A52" s="13"/>
      <c r="B52" s="3">
        <v>25</v>
      </c>
      <c r="C52" s="3">
        <v>-1</v>
      </c>
      <c r="D52" s="3">
        <v>17</v>
      </c>
      <c r="E52" s="3" t="s">
        <v>15</v>
      </c>
      <c r="F52" s="6">
        <v>2431.9</v>
      </c>
      <c r="G52" s="9">
        <v>101.7</v>
      </c>
      <c r="H52" s="8">
        <v>1725</v>
      </c>
      <c r="I52" s="10">
        <v>2088.6</v>
      </c>
      <c r="J52" s="10">
        <v>2432</v>
      </c>
      <c r="K52" s="10">
        <f t="shared" si="0"/>
        <v>2260.3000000000002</v>
      </c>
      <c r="L52" s="3">
        <v>75</v>
      </c>
      <c r="M52" s="6">
        <v>22550</v>
      </c>
      <c r="N52" s="8">
        <v>1650</v>
      </c>
      <c r="O52" s="3">
        <v>14.6</v>
      </c>
      <c r="P52" s="3">
        <v>19.850000000000001</v>
      </c>
      <c r="Q52" s="3">
        <f t="shared" si="1"/>
        <v>17.225000000000001</v>
      </c>
      <c r="R52" s="3">
        <v>75</v>
      </c>
      <c r="S52" s="7">
        <v>-13.15</v>
      </c>
      <c r="T52" s="5">
        <v>17.149999999999999</v>
      </c>
      <c r="U52" s="3">
        <v>20.420000000000002</v>
      </c>
      <c r="V52" s="3">
        <v>582</v>
      </c>
      <c r="W52" s="3">
        <v>-1</v>
      </c>
      <c r="X52" s="3">
        <v>220</v>
      </c>
      <c r="Y52" s="4"/>
    </row>
    <row r="56" spans="1:25" ht="15.75" customHeight="1">
      <c r="A56" s="56" t="s">
        <v>18</v>
      </c>
      <c r="B56" s="57"/>
      <c r="C56" s="57"/>
      <c r="N56" s="61" t="s">
        <v>76</v>
      </c>
      <c r="O56" s="62"/>
      <c r="P56" s="62"/>
    </row>
    <row r="58" spans="1:25" ht="15.75" customHeight="1" thickBot="1"/>
    <row r="59" spans="1:25" ht="15.75" customHeight="1" thickBot="1">
      <c r="A59" s="14"/>
    </row>
    <row r="60" spans="1:25" ht="15.75" customHeight="1" thickBot="1">
      <c r="A60" s="58" t="s">
        <v>3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11"/>
      <c r="N60" s="59" t="s">
        <v>4</v>
      </c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60"/>
    </row>
    <row r="61" spans="1:25" ht="15.75" customHeight="1" thickBot="1">
      <c r="A61" s="12"/>
      <c r="B61" s="1" t="s">
        <v>5</v>
      </c>
      <c r="C61" s="2" t="s">
        <v>6</v>
      </c>
      <c r="D61" s="2" t="s">
        <v>0</v>
      </c>
      <c r="E61" s="2" t="s">
        <v>7</v>
      </c>
      <c r="F61" s="2" t="s">
        <v>8</v>
      </c>
      <c r="G61" s="2" t="s">
        <v>9</v>
      </c>
      <c r="H61" s="2" t="s">
        <v>10</v>
      </c>
      <c r="I61" s="2" t="s">
        <v>11</v>
      </c>
      <c r="J61" s="2" t="s">
        <v>12</v>
      </c>
      <c r="K61" s="2" t="s">
        <v>27</v>
      </c>
      <c r="L61" s="2" t="s">
        <v>13</v>
      </c>
      <c r="M61" s="2" t="s">
        <v>14</v>
      </c>
      <c r="N61" s="2" t="s">
        <v>10</v>
      </c>
      <c r="O61" s="2" t="s">
        <v>11</v>
      </c>
      <c r="P61" s="2" t="s">
        <v>12</v>
      </c>
      <c r="Q61" s="2"/>
      <c r="R61" s="2" t="s">
        <v>13</v>
      </c>
      <c r="S61" s="2" t="s">
        <v>9</v>
      </c>
      <c r="T61" s="2" t="s">
        <v>8</v>
      </c>
      <c r="U61" s="2" t="s">
        <v>7</v>
      </c>
      <c r="V61" s="2" t="s">
        <v>0</v>
      </c>
      <c r="W61" s="2" t="s">
        <v>6</v>
      </c>
      <c r="X61" s="2" t="s">
        <v>5</v>
      </c>
      <c r="Y61" s="2"/>
    </row>
    <row r="62" spans="1:25" ht="15.75" customHeight="1" thickBot="1">
      <c r="A62" s="13"/>
      <c r="B62" s="3">
        <v>5</v>
      </c>
      <c r="C62" s="3" t="s">
        <v>15</v>
      </c>
      <c r="D62" s="3" t="s">
        <v>15</v>
      </c>
      <c r="E62" s="3" t="s">
        <v>15</v>
      </c>
      <c r="F62" s="6">
        <v>5390</v>
      </c>
      <c r="G62" s="3" t="s">
        <v>15</v>
      </c>
      <c r="H62" s="3">
        <v>375</v>
      </c>
      <c r="I62" s="10">
        <v>4626.2</v>
      </c>
      <c r="J62" s="10">
        <v>5250</v>
      </c>
      <c r="K62" s="10">
        <f>(I62+J62)/2</f>
        <v>4938.1000000000004</v>
      </c>
      <c r="L62" s="3">
        <v>75</v>
      </c>
      <c r="M62" s="6">
        <v>20000</v>
      </c>
      <c r="N62" s="3">
        <v>750</v>
      </c>
      <c r="O62" s="3">
        <v>29.6</v>
      </c>
      <c r="P62" s="3">
        <v>30</v>
      </c>
      <c r="Q62" s="3">
        <f>(O62+P62)/2</f>
        <v>29.8</v>
      </c>
      <c r="R62" s="3">
        <v>900</v>
      </c>
      <c r="S62" s="7">
        <v>-8</v>
      </c>
      <c r="T62" s="5">
        <v>30</v>
      </c>
      <c r="U62" s="3">
        <v>22.74</v>
      </c>
      <c r="V62" s="3">
        <v>538</v>
      </c>
      <c r="W62" s="3">
        <v>158</v>
      </c>
      <c r="X62" s="8">
        <v>5906</v>
      </c>
      <c r="Y62" s="4"/>
    </row>
    <row r="63" spans="1:25" ht="15.75" customHeight="1" thickBot="1">
      <c r="A63" s="13"/>
      <c r="B63" s="3">
        <v>26</v>
      </c>
      <c r="C63" s="3">
        <v>16</v>
      </c>
      <c r="D63" s="3">
        <v>21</v>
      </c>
      <c r="E63" s="3" t="s">
        <v>15</v>
      </c>
      <c r="F63" s="6">
        <v>4214.25</v>
      </c>
      <c r="G63" s="9">
        <v>524.25</v>
      </c>
      <c r="H63" s="3">
        <v>375</v>
      </c>
      <c r="I63" s="10">
        <v>3845.4</v>
      </c>
      <c r="J63" s="10">
        <v>4754.6499999999996</v>
      </c>
      <c r="K63" s="10">
        <f t="shared" ref="K63:K73" si="2">(I63+J63)/2</f>
        <v>4300.0249999999996</v>
      </c>
      <c r="L63" s="3">
        <v>375</v>
      </c>
      <c r="M63" s="6">
        <v>21000</v>
      </c>
      <c r="N63" s="8">
        <v>7200</v>
      </c>
      <c r="O63" s="3">
        <v>50</v>
      </c>
      <c r="P63" s="3">
        <v>54.85</v>
      </c>
      <c r="Q63" s="3">
        <f t="shared" ref="Q63:Q73" si="3">(O63+P63)/2</f>
        <v>52.424999999999997</v>
      </c>
      <c r="R63" s="3">
        <v>600</v>
      </c>
      <c r="S63" s="7">
        <v>-8.85</v>
      </c>
      <c r="T63" s="5">
        <v>53.5</v>
      </c>
      <c r="U63" s="3">
        <v>21.05</v>
      </c>
      <c r="V63" s="3">
        <v>787</v>
      </c>
      <c r="W63" s="3">
        <v>-127</v>
      </c>
      <c r="X63" s="8">
        <v>5152</v>
      </c>
      <c r="Y63" s="4"/>
    </row>
    <row r="64" spans="1:25" ht="15.75" customHeight="1" thickBot="1">
      <c r="A64" s="13"/>
      <c r="B64" s="3">
        <v>595</v>
      </c>
      <c r="C64" s="3" t="s">
        <v>15</v>
      </c>
      <c r="D64" s="3" t="s">
        <v>15</v>
      </c>
      <c r="E64" s="3" t="s">
        <v>15</v>
      </c>
      <c r="F64" s="6">
        <v>3271</v>
      </c>
      <c r="G64" s="3" t="s">
        <v>15</v>
      </c>
      <c r="H64" s="3">
        <v>375</v>
      </c>
      <c r="I64" s="10">
        <v>3087</v>
      </c>
      <c r="J64" s="10">
        <v>3705</v>
      </c>
      <c r="K64" s="10">
        <f t="shared" si="2"/>
        <v>3396</v>
      </c>
      <c r="L64" s="3">
        <v>75</v>
      </c>
      <c r="M64" s="6">
        <v>22000</v>
      </c>
      <c r="N64" s="3">
        <v>75</v>
      </c>
      <c r="O64" s="3">
        <v>96</v>
      </c>
      <c r="P64" s="3">
        <v>97.95</v>
      </c>
      <c r="Q64" s="3">
        <f t="shared" si="3"/>
        <v>96.974999999999994</v>
      </c>
      <c r="R64" s="3">
        <v>675</v>
      </c>
      <c r="S64" s="7">
        <v>-13.85</v>
      </c>
      <c r="T64" s="5">
        <v>97.95</v>
      </c>
      <c r="U64" s="3">
        <v>19.510000000000002</v>
      </c>
      <c r="V64" s="8">
        <v>2031</v>
      </c>
      <c r="W64" s="3">
        <v>84</v>
      </c>
      <c r="X64" s="8">
        <v>7140</v>
      </c>
      <c r="Y64" s="4"/>
    </row>
    <row r="65" spans="1:25" ht="15.75" customHeight="1" thickBot="1">
      <c r="A65" s="13"/>
      <c r="B65" s="8">
        <v>1746</v>
      </c>
      <c r="C65" s="3">
        <v>-22</v>
      </c>
      <c r="D65" s="3">
        <v>116</v>
      </c>
      <c r="E65" s="3" t="s">
        <v>15</v>
      </c>
      <c r="F65" s="6">
        <v>2450</v>
      </c>
      <c r="G65" s="9">
        <v>45</v>
      </c>
      <c r="H65" s="3">
        <v>75</v>
      </c>
      <c r="I65" s="10">
        <v>2440.5500000000002</v>
      </c>
      <c r="J65" s="10">
        <v>2475.9499999999998</v>
      </c>
      <c r="K65" s="10">
        <f t="shared" si="2"/>
        <v>2458.25</v>
      </c>
      <c r="L65" s="3">
        <v>75</v>
      </c>
      <c r="M65" s="6">
        <v>23000</v>
      </c>
      <c r="N65" s="3">
        <v>75</v>
      </c>
      <c r="O65" s="3">
        <v>176.05</v>
      </c>
      <c r="P65" s="3">
        <v>179</v>
      </c>
      <c r="Q65" s="3">
        <f t="shared" si="3"/>
        <v>177.52500000000001</v>
      </c>
      <c r="R65" s="8">
        <v>1050</v>
      </c>
      <c r="S65" s="7">
        <v>-30.55</v>
      </c>
      <c r="T65" s="5">
        <v>177</v>
      </c>
      <c r="U65" s="3">
        <v>17.97</v>
      </c>
      <c r="V65" s="8">
        <v>1349</v>
      </c>
      <c r="W65" s="3">
        <v>-49</v>
      </c>
      <c r="X65" s="8">
        <v>7759</v>
      </c>
      <c r="Y65" s="4"/>
    </row>
    <row r="66" spans="1:25" ht="15.75" customHeight="1" thickBot="1">
      <c r="A66" s="13"/>
      <c r="B66" s="8">
        <v>4678</v>
      </c>
      <c r="C66" s="3">
        <v>138</v>
      </c>
      <c r="D66" s="3">
        <v>477</v>
      </c>
      <c r="E66" s="3">
        <v>8.5399999999999991</v>
      </c>
      <c r="F66" s="6">
        <v>1649.5</v>
      </c>
      <c r="G66" s="9">
        <v>26.2</v>
      </c>
      <c r="H66" s="3">
        <v>600</v>
      </c>
      <c r="I66" s="10">
        <v>1647.25</v>
      </c>
      <c r="J66" s="10">
        <v>1665.15</v>
      </c>
      <c r="K66" s="10">
        <f t="shared" si="2"/>
        <v>1656.2</v>
      </c>
      <c r="L66" s="3">
        <v>75</v>
      </c>
      <c r="M66" s="6">
        <v>24000</v>
      </c>
      <c r="N66" s="3">
        <v>75</v>
      </c>
      <c r="O66" s="3">
        <v>340.5</v>
      </c>
      <c r="P66" s="3">
        <v>344</v>
      </c>
      <c r="Q66" s="3">
        <f t="shared" si="3"/>
        <v>342.25</v>
      </c>
      <c r="R66" s="3">
        <v>150</v>
      </c>
      <c r="S66" s="7">
        <v>-41.85</v>
      </c>
      <c r="T66" s="5">
        <v>342</v>
      </c>
      <c r="U66" s="3">
        <v>17.05</v>
      </c>
      <c r="V66" s="8">
        <v>2412</v>
      </c>
      <c r="W66" s="3">
        <v>243</v>
      </c>
      <c r="X66" s="8">
        <v>12654</v>
      </c>
      <c r="Y66" s="4"/>
    </row>
    <row r="67" spans="1:25" ht="15.75" customHeight="1" thickBot="1">
      <c r="A67" s="13"/>
      <c r="B67" s="8">
        <v>7140</v>
      </c>
      <c r="C67" s="3">
        <v>46</v>
      </c>
      <c r="D67" s="8">
        <v>1189</v>
      </c>
      <c r="E67" s="3">
        <v>11.32</v>
      </c>
      <c r="F67" s="6">
        <v>1000</v>
      </c>
      <c r="G67" s="9">
        <v>27.3</v>
      </c>
      <c r="H67" s="3">
        <v>75</v>
      </c>
      <c r="I67" s="3">
        <v>989.05</v>
      </c>
      <c r="J67" s="10">
        <v>1000</v>
      </c>
      <c r="K67" s="10">
        <f t="shared" si="2"/>
        <v>994.52499999999998</v>
      </c>
      <c r="L67" s="8">
        <v>1650</v>
      </c>
      <c r="M67" s="6">
        <v>25000</v>
      </c>
      <c r="N67" s="3">
        <v>225</v>
      </c>
      <c r="O67" s="3">
        <v>640.45000000000005</v>
      </c>
      <c r="P67" s="3">
        <v>641.54999999999995</v>
      </c>
      <c r="Q67" s="3">
        <f t="shared" si="3"/>
        <v>641</v>
      </c>
      <c r="R67" s="3">
        <v>75</v>
      </c>
      <c r="S67" s="7">
        <v>-60.05</v>
      </c>
      <c r="T67" s="5">
        <v>641.54999999999995</v>
      </c>
      <c r="U67" s="3">
        <v>16.57</v>
      </c>
      <c r="V67" s="8">
        <v>1056</v>
      </c>
      <c r="W67" s="3">
        <v>146</v>
      </c>
      <c r="X67" s="8">
        <v>7434</v>
      </c>
      <c r="Y67" s="4"/>
    </row>
    <row r="68" spans="1:25" ht="15.75" customHeight="1" thickBot="1">
      <c r="A68" s="13"/>
      <c r="B68" s="8">
        <v>8098</v>
      </c>
      <c r="C68" s="3">
        <v>37</v>
      </c>
      <c r="D68" s="8">
        <v>1493</v>
      </c>
      <c r="E68" s="3">
        <v>11.64</v>
      </c>
      <c r="F68" s="5">
        <v>510</v>
      </c>
      <c r="G68" s="9">
        <v>6.8</v>
      </c>
      <c r="H68" s="3">
        <v>75</v>
      </c>
      <c r="I68" s="3">
        <v>506</v>
      </c>
      <c r="J68" s="3">
        <v>509.25</v>
      </c>
      <c r="K68" s="10">
        <f t="shared" si="2"/>
        <v>507.625</v>
      </c>
      <c r="L68" s="3">
        <v>150</v>
      </c>
      <c r="M68" s="6">
        <v>26000</v>
      </c>
      <c r="N68" s="3">
        <v>75</v>
      </c>
      <c r="O68" s="10">
        <v>1111</v>
      </c>
      <c r="P68" s="10">
        <v>1125.55</v>
      </c>
      <c r="Q68" s="3">
        <f t="shared" si="3"/>
        <v>1118.2750000000001</v>
      </c>
      <c r="R68" s="3">
        <v>75</v>
      </c>
      <c r="S68" s="7">
        <v>-88.65</v>
      </c>
      <c r="T68" s="6">
        <v>1112.4000000000001</v>
      </c>
      <c r="U68" s="3">
        <v>16.46</v>
      </c>
      <c r="V68" s="3">
        <v>669</v>
      </c>
      <c r="W68" s="3">
        <v>389</v>
      </c>
      <c r="X68" s="8">
        <v>6537</v>
      </c>
      <c r="Y68" s="4"/>
    </row>
    <row r="69" spans="1:25" ht="15.75" customHeight="1" thickBot="1">
      <c r="A69" s="13"/>
      <c r="B69" s="8">
        <v>4881</v>
      </c>
      <c r="C69" s="3">
        <v>184</v>
      </c>
      <c r="D69" s="8">
        <v>1525</v>
      </c>
      <c r="E69" s="3">
        <v>11.8</v>
      </c>
      <c r="F69" s="5">
        <v>222</v>
      </c>
      <c r="G69" s="7">
        <v>-1</v>
      </c>
      <c r="H69" s="3">
        <v>375</v>
      </c>
      <c r="I69" s="3">
        <v>220</v>
      </c>
      <c r="J69" s="3">
        <v>221.5</v>
      </c>
      <c r="K69" s="10">
        <f t="shared" si="2"/>
        <v>220.75</v>
      </c>
      <c r="L69" s="3">
        <v>75</v>
      </c>
      <c r="M69" s="6">
        <v>27000</v>
      </c>
      <c r="N69" s="3">
        <v>75</v>
      </c>
      <c r="O69" s="10">
        <v>1780.9</v>
      </c>
      <c r="P69" s="10">
        <v>1810.55</v>
      </c>
      <c r="Q69" s="3">
        <f t="shared" si="3"/>
        <v>1795.7249999999999</v>
      </c>
      <c r="R69" s="3">
        <v>75</v>
      </c>
      <c r="S69" s="7">
        <v>-106.15</v>
      </c>
      <c r="T69" s="6">
        <v>1787.8</v>
      </c>
      <c r="U69" s="3">
        <v>17.36</v>
      </c>
      <c r="V69" s="3">
        <v>184</v>
      </c>
      <c r="W69" s="3">
        <v>142</v>
      </c>
      <c r="X69" s="3">
        <v>977</v>
      </c>
      <c r="Y69" s="4"/>
    </row>
    <row r="70" spans="1:25" ht="15.75" customHeight="1" thickBot="1">
      <c r="A70" s="13"/>
      <c r="B70" s="8">
        <v>5209</v>
      </c>
      <c r="C70" s="3">
        <v>98</v>
      </c>
      <c r="D70" s="3">
        <v>790</v>
      </c>
      <c r="E70" s="3">
        <v>12.18</v>
      </c>
      <c r="F70" s="5">
        <v>90</v>
      </c>
      <c r="G70" s="7">
        <v>-3.6</v>
      </c>
      <c r="H70" s="3">
        <v>150</v>
      </c>
      <c r="I70" s="3">
        <v>89.65</v>
      </c>
      <c r="J70" s="3">
        <v>90</v>
      </c>
      <c r="K70" s="10">
        <f t="shared" si="2"/>
        <v>89.825000000000003</v>
      </c>
      <c r="L70" s="3">
        <v>75</v>
      </c>
      <c r="M70" s="6">
        <v>28000</v>
      </c>
      <c r="N70" s="3" t="s">
        <v>15</v>
      </c>
      <c r="O70" s="3" t="s">
        <v>15</v>
      </c>
      <c r="P70" s="3" t="s">
        <v>15</v>
      </c>
      <c r="Q70" s="3" t="e">
        <f t="shared" si="3"/>
        <v>#VALUE!</v>
      </c>
      <c r="R70" s="3" t="s">
        <v>15</v>
      </c>
      <c r="S70" s="3" t="s">
        <v>15</v>
      </c>
      <c r="T70" s="6">
        <v>4400</v>
      </c>
      <c r="U70" s="3" t="s">
        <v>15</v>
      </c>
      <c r="V70" s="3" t="s">
        <v>15</v>
      </c>
      <c r="W70" s="3" t="s">
        <v>15</v>
      </c>
      <c r="X70" s="3">
        <v>1</v>
      </c>
      <c r="Y70" s="4"/>
    </row>
    <row r="71" spans="1:25" ht="15.75" customHeight="1" thickBot="1">
      <c r="A71" s="13"/>
      <c r="B71" s="8">
        <v>2743</v>
      </c>
      <c r="C71" s="3">
        <v>68</v>
      </c>
      <c r="D71" s="3">
        <v>447</v>
      </c>
      <c r="E71" s="3">
        <v>13.12</v>
      </c>
      <c r="F71" s="5">
        <v>42.2</v>
      </c>
      <c r="G71" s="7">
        <v>-0.55000000000000004</v>
      </c>
      <c r="H71" s="3">
        <v>900</v>
      </c>
      <c r="I71" s="3">
        <v>40.35</v>
      </c>
      <c r="J71" s="3">
        <v>42.3</v>
      </c>
      <c r="K71" s="10">
        <f t="shared" si="2"/>
        <v>41.325000000000003</v>
      </c>
      <c r="L71" s="8">
        <v>1050</v>
      </c>
      <c r="M71" s="6">
        <v>29000</v>
      </c>
      <c r="N71" s="3" t="s">
        <v>15</v>
      </c>
      <c r="O71" s="3" t="s">
        <v>15</v>
      </c>
      <c r="P71" s="3" t="s">
        <v>15</v>
      </c>
      <c r="Q71" s="3" t="e">
        <f t="shared" si="3"/>
        <v>#VALUE!</v>
      </c>
      <c r="R71" s="3" t="s">
        <v>15</v>
      </c>
      <c r="S71" s="3" t="s">
        <v>15</v>
      </c>
      <c r="T71" s="5" t="s">
        <v>15</v>
      </c>
      <c r="U71" s="3" t="s">
        <v>15</v>
      </c>
      <c r="V71" s="3" t="s">
        <v>15</v>
      </c>
      <c r="W71" s="3" t="s">
        <v>15</v>
      </c>
      <c r="X71" s="3" t="s">
        <v>15</v>
      </c>
      <c r="Y71" s="4"/>
    </row>
    <row r="72" spans="1:25" ht="15.75" customHeight="1" thickBot="1">
      <c r="A72" s="13"/>
      <c r="B72" s="3">
        <v>504</v>
      </c>
      <c r="C72" s="3">
        <v>37</v>
      </c>
      <c r="D72" s="3">
        <v>157</v>
      </c>
      <c r="E72" s="3">
        <v>14.26</v>
      </c>
      <c r="F72" s="5">
        <v>22.9</v>
      </c>
      <c r="G72" s="7">
        <v>-1.55</v>
      </c>
      <c r="H72" s="3">
        <v>75</v>
      </c>
      <c r="I72" s="3">
        <v>22.55</v>
      </c>
      <c r="J72" s="3">
        <v>23.95</v>
      </c>
      <c r="K72" s="10">
        <f t="shared" si="2"/>
        <v>23.25</v>
      </c>
      <c r="L72" s="3">
        <v>75</v>
      </c>
      <c r="M72" s="6">
        <v>30000</v>
      </c>
      <c r="N72" s="3" t="s">
        <v>15</v>
      </c>
      <c r="O72" s="3" t="s">
        <v>15</v>
      </c>
      <c r="P72" s="3" t="s">
        <v>15</v>
      </c>
      <c r="Q72" s="3" t="e">
        <f t="shared" si="3"/>
        <v>#VALUE!</v>
      </c>
      <c r="R72" s="3" t="s">
        <v>15</v>
      </c>
      <c r="S72" s="3" t="s">
        <v>15</v>
      </c>
      <c r="T72" s="5" t="s">
        <v>15</v>
      </c>
      <c r="U72" s="3" t="s">
        <v>15</v>
      </c>
      <c r="V72" s="3" t="s">
        <v>15</v>
      </c>
      <c r="W72" s="3" t="s">
        <v>15</v>
      </c>
      <c r="X72" s="3" t="s">
        <v>15</v>
      </c>
      <c r="Y72" s="4"/>
    </row>
    <row r="73" spans="1:25" ht="15.75" customHeight="1" thickBot="1">
      <c r="A73" s="15" t="s">
        <v>16</v>
      </c>
      <c r="B73" s="16">
        <v>35625</v>
      </c>
      <c r="C73" s="17"/>
      <c r="D73" s="16">
        <v>6215</v>
      </c>
      <c r="E73" s="17"/>
      <c r="F73" s="17"/>
      <c r="G73" s="17"/>
      <c r="H73" s="17"/>
      <c r="I73" s="17"/>
      <c r="J73" s="17"/>
      <c r="K73" s="10">
        <f t="shared" si="2"/>
        <v>0</v>
      </c>
      <c r="L73" s="17"/>
      <c r="M73" s="17"/>
      <c r="N73" s="17"/>
      <c r="O73" s="17"/>
      <c r="P73" s="17"/>
      <c r="Q73" s="3">
        <f t="shared" si="3"/>
        <v>0</v>
      </c>
      <c r="R73" s="17"/>
      <c r="S73" s="17"/>
      <c r="T73" s="17"/>
      <c r="U73" s="17"/>
      <c r="V73" s="16">
        <v>9430</v>
      </c>
      <c r="W73" s="17"/>
      <c r="X73" s="16">
        <v>55205</v>
      </c>
      <c r="Y73" s="17"/>
    </row>
    <row r="75" spans="1:25" ht="15.75" customHeight="1">
      <c r="N75" s="61" t="s">
        <v>77</v>
      </c>
      <c r="O75" s="62"/>
      <c r="P75" s="62"/>
    </row>
    <row r="76" spans="1:25" ht="15.75" customHeight="1">
      <c r="A76" s="56" t="s">
        <v>19</v>
      </c>
      <c r="B76" s="57"/>
      <c r="C76" s="57"/>
    </row>
    <row r="78" spans="1:25" ht="15.75" customHeight="1" thickBot="1"/>
    <row r="79" spans="1:25" ht="15.75" customHeight="1" thickBot="1">
      <c r="A79" s="58" t="s">
        <v>3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11"/>
      <c r="N79" s="59" t="s">
        <v>4</v>
      </c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60"/>
    </row>
    <row r="80" spans="1:25" ht="15.75" customHeight="1" thickBot="1">
      <c r="A80" s="12"/>
      <c r="B80" s="1" t="s">
        <v>5</v>
      </c>
      <c r="C80" s="2" t="s">
        <v>6</v>
      </c>
      <c r="D80" s="2" t="s">
        <v>0</v>
      </c>
      <c r="E80" s="2" t="s">
        <v>7</v>
      </c>
      <c r="F80" s="2" t="s">
        <v>8</v>
      </c>
      <c r="G80" s="2" t="s">
        <v>9</v>
      </c>
      <c r="H80" s="2" t="s">
        <v>10</v>
      </c>
      <c r="I80" s="2" t="s">
        <v>11</v>
      </c>
      <c r="J80" s="2" t="s">
        <v>12</v>
      </c>
      <c r="K80" s="2"/>
      <c r="L80" s="2" t="s">
        <v>13</v>
      </c>
      <c r="M80" s="2" t="s">
        <v>14</v>
      </c>
      <c r="N80" s="2" t="s">
        <v>10</v>
      </c>
      <c r="O80" s="2" t="s">
        <v>11</v>
      </c>
      <c r="P80" s="2" t="s">
        <v>12</v>
      </c>
      <c r="Q80" s="2"/>
      <c r="R80" s="2" t="s">
        <v>13</v>
      </c>
      <c r="S80" s="2" t="s">
        <v>9</v>
      </c>
      <c r="T80" s="2" t="s">
        <v>8</v>
      </c>
      <c r="U80" s="2" t="s">
        <v>7</v>
      </c>
      <c r="V80" s="2" t="s">
        <v>0</v>
      </c>
      <c r="W80" s="2" t="s">
        <v>6</v>
      </c>
      <c r="X80" s="2" t="s">
        <v>5</v>
      </c>
      <c r="Y80" s="2"/>
    </row>
    <row r="81" spans="1:25" ht="15.75" customHeight="1" thickBot="1">
      <c r="A81" s="13"/>
      <c r="B81" s="8">
        <v>1302</v>
      </c>
      <c r="C81" s="3">
        <v>387</v>
      </c>
      <c r="D81" s="3">
        <v>443</v>
      </c>
      <c r="E81" s="3" t="s">
        <v>15</v>
      </c>
      <c r="F81" s="6">
        <v>5500</v>
      </c>
      <c r="G81" s="9">
        <v>45.35</v>
      </c>
      <c r="H81" s="3">
        <v>75</v>
      </c>
      <c r="I81" s="10">
        <v>5491.95</v>
      </c>
      <c r="J81" s="10">
        <v>5505.45</v>
      </c>
      <c r="K81" s="10">
        <f>(I81+J81)/2</f>
        <v>5498.7</v>
      </c>
      <c r="L81" s="3">
        <v>75</v>
      </c>
      <c r="M81" s="6">
        <v>20000</v>
      </c>
      <c r="N81" s="3">
        <v>75</v>
      </c>
      <c r="O81" s="3">
        <v>71.349999999999994</v>
      </c>
      <c r="P81" s="3">
        <v>71.45</v>
      </c>
      <c r="Q81" s="3">
        <f>(O81+P81)/2</f>
        <v>71.400000000000006</v>
      </c>
      <c r="R81" s="8">
        <v>1275</v>
      </c>
      <c r="S81" s="7">
        <v>-12.9</v>
      </c>
      <c r="T81" s="5">
        <v>71.55</v>
      </c>
      <c r="U81" s="3">
        <v>21.78</v>
      </c>
      <c r="V81" s="8">
        <v>3185</v>
      </c>
      <c r="W81" s="3">
        <v>-760</v>
      </c>
      <c r="X81" s="8">
        <v>9085</v>
      </c>
      <c r="Y81" s="4"/>
    </row>
    <row r="82" spans="1:25" ht="15.75" customHeight="1" thickBot="1">
      <c r="A82" s="13"/>
      <c r="B82" s="8">
        <v>1483</v>
      </c>
      <c r="C82" s="3">
        <v>5</v>
      </c>
      <c r="D82" s="3">
        <v>49</v>
      </c>
      <c r="E82" s="3" t="s">
        <v>15</v>
      </c>
      <c r="F82" s="6">
        <v>4612.45</v>
      </c>
      <c r="G82" s="7">
        <v>-12.55</v>
      </c>
      <c r="H82" s="3">
        <v>75</v>
      </c>
      <c r="I82" s="10">
        <v>4610.2</v>
      </c>
      <c r="J82" s="10">
        <v>4632.3</v>
      </c>
      <c r="K82" s="10">
        <f t="shared" ref="K82:K93" si="4">(I82+J82)/2</f>
        <v>4621.25</v>
      </c>
      <c r="L82" s="3">
        <v>75</v>
      </c>
      <c r="M82" s="6">
        <v>21000</v>
      </c>
      <c r="N82" s="3">
        <v>75</v>
      </c>
      <c r="O82" s="3">
        <v>111.2</v>
      </c>
      <c r="P82" s="3">
        <v>114.3</v>
      </c>
      <c r="Q82" s="3">
        <f t="shared" ref="Q82:Q93" si="5">(O82+P82)/2</f>
        <v>112.75</v>
      </c>
      <c r="R82" s="3">
        <v>75</v>
      </c>
      <c r="S82" s="7">
        <v>-17.55</v>
      </c>
      <c r="T82" s="5">
        <v>110.85</v>
      </c>
      <c r="U82" s="3">
        <v>20.420000000000002</v>
      </c>
      <c r="V82" s="8">
        <v>2167</v>
      </c>
      <c r="W82" s="3">
        <v>-261</v>
      </c>
      <c r="X82" s="8">
        <v>8155</v>
      </c>
      <c r="Y82" s="4"/>
    </row>
    <row r="83" spans="1:25" ht="15.75" customHeight="1" thickBot="1">
      <c r="A83" s="13"/>
      <c r="B83" s="8">
        <v>3829</v>
      </c>
      <c r="C83" s="3">
        <v>27</v>
      </c>
      <c r="D83" s="3">
        <v>132</v>
      </c>
      <c r="E83" s="3" t="s">
        <v>15</v>
      </c>
      <c r="F83" s="6">
        <v>3741.95</v>
      </c>
      <c r="G83" s="9">
        <v>33.65</v>
      </c>
      <c r="H83" s="3">
        <v>75</v>
      </c>
      <c r="I83" s="10">
        <v>3738.75</v>
      </c>
      <c r="J83" s="10">
        <v>3750</v>
      </c>
      <c r="K83" s="10">
        <f t="shared" si="4"/>
        <v>3744.375</v>
      </c>
      <c r="L83" s="3">
        <v>75</v>
      </c>
      <c r="M83" s="6">
        <v>22000</v>
      </c>
      <c r="N83" s="3">
        <v>75</v>
      </c>
      <c r="O83" s="3">
        <v>181.5</v>
      </c>
      <c r="P83" s="3">
        <v>182.5</v>
      </c>
      <c r="Q83" s="3">
        <f t="shared" si="5"/>
        <v>182</v>
      </c>
      <c r="R83" s="3">
        <v>75</v>
      </c>
      <c r="S83" s="7">
        <v>-19.3</v>
      </c>
      <c r="T83" s="5">
        <v>181.5</v>
      </c>
      <c r="U83" s="3">
        <v>19.420000000000002</v>
      </c>
      <c r="V83" s="8">
        <v>2049</v>
      </c>
      <c r="W83" s="3">
        <v>514</v>
      </c>
      <c r="X83" s="8">
        <v>15830</v>
      </c>
      <c r="Y83" s="4"/>
    </row>
    <row r="84" spans="1:25" ht="15.75" customHeight="1" thickBot="1">
      <c r="A84" s="13"/>
      <c r="B84" s="8">
        <v>5544</v>
      </c>
      <c r="C84" s="3">
        <v>-80</v>
      </c>
      <c r="D84" s="3">
        <v>188</v>
      </c>
      <c r="E84" s="3" t="s">
        <v>15</v>
      </c>
      <c r="F84" s="6">
        <v>2908.25</v>
      </c>
      <c r="G84" s="9">
        <v>26.55</v>
      </c>
      <c r="H84" s="3">
        <v>75</v>
      </c>
      <c r="I84" s="10">
        <v>2902.25</v>
      </c>
      <c r="J84" s="10">
        <v>2936.7</v>
      </c>
      <c r="K84" s="10">
        <f t="shared" si="4"/>
        <v>2919.4749999999999</v>
      </c>
      <c r="L84" s="3">
        <v>75</v>
      </c>
      <c r="M84" s="6">
        <v>23000</v>
      </c>
      <c r="N84" s="3">
        <v>75</v>
      </c>
      <c r="O84" s="3">
        <v>286.14999999999998</v>
      </c>
      <c r="P84" s="3">
        <v>288.7</v>
      </c>
      <c r="Q84" s="3">
        <f t="shared" si="5"/>
        <v>287.42499999999995</v>
      </c>
      <c r="R84" s="3">
        <v>75</v>
      </c>
      <c r="S84" s="7">
        <v>-27.45</v>
      </c>
      <c r="T84" s="5">
        <v>287</v>
      </c>
      <c r="U84" s="3">
        <v>18.36</v>
      </c>
      <c r="V84" s="8">
        <v>2183</v>
      </c>
      <c r="W84" s="3">
        <v>-237</v>
      </c>
      <c r="X84" s="8">
        <v>19809</v>
      </c>
      <c r="Y84" s="4"/>
    </row>
    <row r="85" spans="1:25" ht="15.75" customHeight="1" thickBot="1">
      <c r="A85" s="13"/>
      <c r="B85" s="8">
        <v>11663</v>
      </c>
      <c r="C85" s="3">
        <v>98</v>
      </c>
      <c r="D85" s="3">
        <v>360</v>
      </c>
      <c r="E85" s="3" t="s">
        <v>15</v>
      </c>
      <c r="F85" s="6">
        <v>2149</v>
      </c>
      <c r="G85" s="9">
        <v>34.200000000000003</v>
      </c>
      <c r="H85" s="3">
        <v>600</v>
      </c>
      <c r="I85" s="10">
        <v>2149</v>
      </c>
      <c r="J85" s="10">
        <v>2164.9</v>
      </c>
      <c r="K85" s="10">
        <f t="shared" si="4"/>
        <v>2156.9499999999998</v>
      </c>
      <c r="L85" s="3">
        <v>75</v>
      </c>
      <c r="M85" s="6">
        <v>24000</v>
      </c>
      <c r="N85" s="3">
        <v>300</v>
      </c>
      <c r="O85" s="3">
        <v>460.5</v>
      </c>
      <c r="P85" s="3">
        <v>464</v>
      </c>
      <c r="Q85" s="3">
        <f t="shared" si="5"/>
        <v>462.25</v>
      </c>
      <c r="R85" s="3">
        <v>75</v>
      </c>
      <c r="S85" s="7">
        <v>-31.2</v>
      </c>
      <c r="T85" s="5">
        <v>460.9</v>
      </c>
      <c r="U85" s="3">
        <v>17.59</v>
      </c>
      <c r="V85" s="8">
        <v>3124</v>
      </c>
      <c r="W85" s="3">
        <v>200</v>
      </c>
      <c r="X85" s="8">
        <v>35355</v>
      </c>
      <c r="Y85" s="4"/>
    </row>
    <row r="86" spans="1:25" ht="15.75" customHeight="1" thickBot="1">
      <c r="A86" s="13"/>
      <c r="B86" s="8">
        <v>10208</v>
      </c>
      <c r="C86" s="3">
        <v>-12</v>
      </c>
      <c r="D86" s="3">
        <v>800</v>
      </c>
      <c r="E86" s="3">
        <v>9.4700000000000006</v>
      </c>
      <c r="F86" s="6">
        <v>1470</v>
      </c>
      <c r="G86" s="9">
        <v>26.2</v>
      </c>
      <c r="H86" s="3">
        <v>75</v>
      </c>
      <c r="I86" s="10">
        <v>1457.8</v>
      </c>
      <c r="J86" s="10">
        <v>1464</v>
      </c>
      <c r="K86" s="10">
        <f t="shared" si="4"/>
        <v>1460.9</v>
      </c>
      <c r="L86" s="3">
        <v>75</v>
      </c>
      <c r="M86" s="6">
        <v>25000</v>
      </c>
      <c r="N86" s="3">
        <v>150</v>
      </c>
      <c r="O86" s="3">
        <v>720</v>
      </c>
      <c r="P86" s="3">
        <v>724</v>
      </c>
      <c r="Q86" s="3">
        <f t="shared" si="5"/>
        <v>722</v>
      </c>
      <c r="R86" s="3">
        <v>75</v>
      </c>
      <c r="S86" s="7">
        <v>-47.3</v>
      </c>
      <c r="T86" s="5">
        <v>722.3</v>
      </c>
      <c r="U86" s="3">
        <v>16.97</v>
      </c>
      <c r="V86" s="8">
        <v>2841</v>
      </c>
      <c r="W86" s="3">
        <v>-46</v>
      </c>
      <c r="X86" s="8">
        <v>20407</v>
      </c>
      <c r="Y86" s="4"/>
    </row>
    <row r="87" spans="1:25" ht="15.75" customHeight="1" thickBot="1">
      <c r="A87" s="13"/>
      <c r="B87" s="8">
        <v>19174</v>
      </c>
      <c r="C87" s="3">
        <v>137</v>
      </c>
      <c r="D87" s="8">
        <v>1943</v>
      </c>
      <c r="E87" s="3">
        <v>10.29</v>
      </c>
      <c r="F87" s="5">
        <v>915</v>
      </c>
      <c r="G87" s="9">
        <v>24.65</v>
      </c>
      <c r="H87" s="3">
        <v>75</v>
      </c>
      <c r="I87" s="3">
        <v>905</v>
      </c>
      <c r="J87" s="3">
        <v>910</v>
      </c>
      <c r="K87" s="10">
        <f t="shared" si="4"/>
        <v>907.5</v>
      </c>
      <c r="L87" s="8">
        <v>1800</v>
      </c>
      <c r="M87" s="6">
        <v>26000</v>
      </c>
      <c r="N87" s="3">
        <v>150</v>
      </c>
      <c r="O87" s="10">
        <v>1120</v>
      </c>
      <c r="P87" s="10">
        <v>1136.9000000000001</v>
      </c>
      <c r="Q87" s="3">
        <f t="shared" si="5"/>
        <v>1128.45</v>
      </c>
      <c r="R87" s="3">
        <v>225</v>
      </c>
      <c r="S87" s="7">
        <v>-61.2</v>
      </c>
      <c r="T87" s="6">
        <v>1126.2</v>
      </c>
      <c r="U87" s="3">
        <v>16.93</v>
      </c>
      <c r="V87" s="8">
        <v>1579</v>
      </c>
      <c r="W87" s="3">
        <v>147</v>
      </c>
      <c r="X87" s="8">
        <v>9505</v>
      </c>
      <c r="Y87" s="4"/>
    </row>
    <row r="88" spans="1:25" ht="15.75" customHeight="1" thickBot="1">
      <c r="A88" s="13"/>
      <c r="B88" s="8">
        <v>16832</v>
      </c>
      <c r="C88" s="3">
        <v>49</v>
      </c>
      <c r="D88" s="8">
        <v>2099</v>
      </c>
      <c r="E88" s="3">
        <v>10.53</v>
      </c>
      <c r="F88" s="5">
        <v>511.55</v>
      </c>
      <c r="G88" s="9">
        <v>9.5</v>
      </c>
      <c r="H88" s="3">
        <v>75</v>
      </c>
      <c r="I88" s="3">
        <v>501.8</v>
      </c>
      <c r="J88" s="3">
        <v>511.7</v>
      </c>
      <c r="K88" s="10">
        <f t="shared" si="4"/>
        <v>506.75</v>
      </c>
      <c r="L88" s="3">
        <v>150</v>
      </c>
      <c r="M88" s="6">
        <v>27000</v>
      </c>
      <c r="N88" s="3">
        <v>75</v>
      </c>
      <c r="O88" s="10">
        <v>1660.05</v>
      </c>
      <c r="P88" s="10">
        <v>1680.55</v>
      </c>
      <c r="Q88" s="3">
        <f t="shared" si="5"/>
        <v>1670.3</v>
      </c>
      <c r="R88" s="3">
        <v>75</v>
      </c>
      <c r="S88" s="7">
        <v>-79.75</v>
      </c>
      <c r="T88" s="6">
        <v>1660.8</v>
      </c>
      <c r="U88" s="3">
        <v>17.149999999999999</v>
      </c>
      <c r="V88" s="3">
        <v>238</v>
      </c>
      <c r="W88" s="3">
        <v>29</v>
      </c>
      <c r="X88" s="8">
        <v>7731</v>
      </c>
      <c r="Y88" s="4"/>
    </row>
    <row r="89" spans="1:25" ht="15.75" customHeight="1" thickBot="1">
      <c r="A89" s="13"/>
      <c r="B89" s="8">
        <v>10114</v>
      </c>
      <c r="C89" s="3">
        <v>-240</v>
      </c>
      <c r="D89" s="8">
        <v>1608</v>
      </c>
      <c r="E89" s="3">
        <v>10.81</v>
      </c>
      <c r="F89" s="5">
        <v>266.8</v>
      </c>
      <c r="G89" s="9">
        <v>0.4</v>
      </c>
      <c r="H89" s="3">
        <v>75</v>
      </c>
      <c r="I89" s="3">
        <v>264.10000000000002</v>
      </c>
      <c r="J89" s="3">
        <v>266.8</v>
      </c>
      <c r="K89" s="10">
        <f t="shared" si="4"/>
        <v>265.45000000000005</v>
      </c>
      <c r="L89" s="3">
        <v>75</v>
      </c>
      <c r="M89" s="6">
        <v>28000</v>
      </c>
      <c r="N89" s="3">
        <v>75</v>
      </c>
      <c r="O89" s="10">
        <v>2373.1</v>
      </c>
      <c r="P89" s="10">
        <v>2396.6999999999998</v>
      </c>
      <c r="Q89" s="3">
        <f t="shared" si="5"/>
        <v>2384.8999999999996</v>
      </c>
      <c r="R89" s="3">
        <v>75</v>
      </c>
      <c r="S89" s="7">
        <v>-80.400000000000006</v>
      </c>
      <c r="T89" s="6">
        <v>2375.0500000000002</v>
      </c>
      <c r="U89" s="3">
        <v>18.489999999999998</v>
      </c>
      <c r="V89" s="3">
        <v>92</v>
      </c>
      <c r="W89" s="3">
        <v>7</v>
      </c>
      <c r="X89" s="8">
        <v>6319</v>
      </c>
      <c r="Y89" s="4"/>
    </row>
    <row r="90" spans="1:25" ht="15.75" customHeight="1" thickBot="1">
      <c r="A90" s="13"/>
      <c r="B90" s="8">
        <v>3935</v>
      </c>
      <c r="C90" s="3">
        <v>248</v>
      </c>
      <c r="D90" s="3">
        <v>927</v>
      </c>
      <c r="E90" s="3">
        <v>11.14</v>
      </c>
      <c r="F90" s="5">
        <v>133.65</v>
      </c>
      <c r="G90" s="7">
        <v>-6.6</v>
      </c>
      <c r="H90" s="3">
        <v>75</v>
      </c>
      <c r="I90" s="3">
        <v>133.55000000000001</v>
      </c>
      <c r="J90" s="3">
        <v>134</v>
      </c>
      <c r="K90" s="10">
        <f t="shared" si="4"/>
        <v>133.77500000000001</v>
      </c>
      <c r="L90" s="3">
        <v>150</v>
      </c>
      <c r="M90" s="6">
        <v>29000</v>
      </c>
      <c r="N90" s="3">
        <v>75</v>
      </c>
      <c r="O90" s="10">
        <v>3150.4</v>
      </c>
      <c r="P90" s="10">
        <v>3326.7</v>
      </c>
      <c r="Q90" s="3">
        <f t="shared" si="5"/>
        <v>3238.55</v>
      </c>
      <c r="R90" s="3">
        <v>900</v>
      </c>
      <c r="S90" s="7">
        <v>-55.25</v>
      </c>
      <c r="T90" s="6">
        <v>3199.75</v>
      </c>
      <c r="U90" s="3">
        <v>20.49</v>
      </c>
      <c r="V90" s="3">
        <v>10</v>
      </c>
      <c r="W90" s="3">
        <v>-2</v>
      </c>
      <c r="X90" s="3">
        <v>245</v>
      </c>
      <c r="Y90" s="4"/>
    </row>
    <row r="91" spans="1:25" ht="15.75" customHeight="1" thickBot="1">
      <c r="A91" s="13"/>
      <c r="B91" s="8">
        <v>2396</v>
      </c>
      <c r="C91" s="3">
        <v>29</v>
      </c>
      <c r="D91" s="3">
        <v>580</v>
      </c>
      <c r="E91" s="3">
        <v>11.73</v>
      </c>
      <c r="F91" s="5">
        <v>71.45</v>
      </c>
      <c r="G91" s="7">
        <v>-2.75</v>
      </c>
      <c r="H91" s="3">
        <v>75</v>
      </c>
      <c r="I91" s="3">
        <v>68.5</v>
      </c>
      <c r="J91" s="3">
        <v>71.45</v>
      </c>
      <c r="K91" s="10">
        <f t="shared" si="4"/>
        <v>69.974999999999994</v>
      </c>
      <c r="L91" s="3">
        <v>150</v>
      </c>
      <c r="M91" s="6">
        <v>30000</v>
      </c>
      <c r="N91" s="3">
        <v>75</v>
      </c>
      <c r="O91" s="10">
        <v>3232</v>
      </c>
      <c r="P91" s="3" t="s">
        <v>15</v>
      </c>
      <c r="Q91" s="3" t="e">
        <f t="shared" si="5"/>
        <v>#VALUE!</v>
      </c>
      <c r="R91" s="3" t="s">
        <v>15</v>
      </c>
      <c r="S91" s="3" t="s">
        <v>15</v>
      </c>
      <c r="T91" s="6">
        <v>4200</v>
      </c>
      <c r="U91" s="3" t="s">
        <v>15</v>
      </c>
      <c r="V91" s="3" t="s">
        <v>15</v>
      </c>
      <c r="W91" s="3" t="s">
        <v>15</v>
      </c>
      <c r="X91" s="3">
        <v>12</v>
      </c>
      <c r="Y91" s="4"/>
    </row>
    <row r="92" spans="1:25" ht="15.75" customHeight="1" thickBot="1">
      <c r="A92" s="13"/>
      <c r="B92" s="8">
        <v>1792</v>
      </c>
      <c r="C92" s="3">
        <v>66</v>
      </c>
      <c r="D92" s="3">
        <v>208</v>
      </c>
      <c r="E92" s="3">
        <v>12.59</v>
      </c>
      <c r="F92" s="5">
        <v>44</v>
      </c>
      <c r="G92" s="7">
        <v>-0.3</v>
      </c>
      <c r="H92" s="3">
        <v>75</v>
      </c>
      <c r="I92" s="3">
        <v>41.2</v>
      </c>
      <c r="J92" s="3">
        <v>43.95</v>
      </c>
      <c r="K92" s="10">
        <f t="shared" si="4"/>
        <v>42.575000000000003</v>
      </c>
      <c r="L92" s="3">
        <v>150</v>
      </c>
      <c r="M92" s="6">
        <v>31000</v>
      </c>
      <c r="N92" s="3" t="s">
        <v>15</v>
      </c>
      <c r="O92" s="3" t="s">
        <v>15</v>
      </c>
      <c r="P92" s="3" t="s">
        <v>15</v>
      </c>
      <c r="Q92" s="3" t="e">
        <f t="shared" si="5"/>
        <v>#VALUE!</v>
      </c>
      <c r="R92" s="3" t="s">
        <v>15</v>
      </c>
      <c r="S92" s="3" t="s">
        <v>15</v>
      </c>
      <c r="T92" s="5" t="s">
        <v>15</v>
      </c>
      <c r="U92" s="3" t="s">
        <v>15</v>
      </c>
      <c r="V92" s="3" t="s">
        <v>15</v>
      </c>
      <c r="W92" s="3" t="s">
        <v>15</v>
      </c>
      <c r="X92" s="3" t="s">
        <v>15</v>
      </c>
      <c r="Y92" s="4"/>
    </row>
    <row r="93" spans="1:25" ht="15.75" customHeight="1" thickBot="1">
      <c r="A93" s="15" t="s">
        <v>16</v>
      </c>
      <c r="B93" s="16">
        <v>88537</v>
      </c>
      <c r="C93" s="17"/>
      <c r="D93" s="16">
        <v>9337</v>
      </c>
      <c r="E93" s="17"/>
      <c r="F93" s="17"/>
      <c r="G93" s="17"/>
      <c r="H93" s="17"/>
      <c r="I93" s="17"/>
      <c r="J93" s="17"/>
      <c r="K93" s="10">
        <f t="shared" si="4"/>
        <v>0</v>
      </c>
      <c r="L93" s="17"/>
      <c r="M93" s="17"/>
      <c r="N93" s="17"/>
      <c r="O93" s="17"/>
      <c r="P93" s="17"/>
      <c r="Q93" s="3">
        <f t="shared" si="5"/>
        <v>0</v>
      </c>
      <c r="R93" s="17"/>
      <c r="S93" s="17"/>
      <c r="T93" s="17"/>
      <c r="U93" s="17"/>
      <c r="V93" s="16">
        <v>18048</v>
      </c>
      <c r="W93" s="17"/>
      <c r="X93" s="16">
        <v>136628</v>
      </c>
      <c r="Y93" s="17"/>
    </row>
  </sheetData>
  <mergeCells count="12">
    <mergeCell ref="A76:C76"/>
    <mergeCell ref="A79:L79"/>
    <mergeCell ref="N79:Y79"/>
    <mergeCell ref="A1:C1"/>
    <mergeCell ref="A3:L3"/>
    <mergeCell ref="N3:Y3"/>
    <mergeCell ref="A56:C56"/>
    <mergeCell ref="A60:L60"/>
    <mergeCell ref="N60:Y60"/>
    <mergeCell ref="N1:P1"/>
    <mergeCell ref="N56:P56"/>
    <mergeCell ref="N75:P75"/>
  </mergeCells>
  <hyperlinks>
    <hyperlink ref="F5" r:id="rId1" display="https://www.nseindia.com/get-quotes/derivatives?symbol=NIFTY&amp;identifier=OPTIDXNIFTY26-06-2025CE17000.00" xr:uid="{C1A46E40-8A2B-406C-A5E1-10C7029B5CC7}"/>
    <hyperlink ref="M5" r:id="rId2" display="javascript:;" xr:uid="{CAB84230-42C8-47EF-82C4-04E84DADAA70}"/>
    <hyperlink ref="T5" r:id="rId3" display="https://www.nseindia.com/get-quotes/derivatives?symbol=NIFTY&amp;identifier=OPTIDXNIFTY26-06-2025PE17000.00" xr:uid="{280A7838-64F8-405F-ADB1-E167F85261A1}"/>
    <hyperlink ref="F6" r:id="rId4" display="https://www.nseindia.com/get-quotes/derivatives?symbol=NIFTY&amp;identifier=OPTIDXNIFTY26-06-2025CE18000.00" xr:uid="{E47517A0-D8E1-4C28-B69A-AA355582EFE6}"/>
    <hyperlink ref="M6" r:id="rId5" display="javascript:;" xr:uid="{64F6BAD4-D844-49DE-8DC4-B2ABEA618186}"/>
    <hyperlink ref="T6" r:id="rId6" display="https://www.nseindia.com/get-quotes/derivatives?symbol=NIFTY&amp;identifier=OPTIDXNIFTY26-06-2025PE18000.00" xr:uid="{7D79321F-F7A5-47C8-ADC5-BE7753CC3B91}"/>
    <hyperlink ref="F7" r:id="rId7" display="https://www.nseindia.com/get-quotes/derivatives?symbol=NIFTY&amp;identifier=OPTIDXNIFTY26-06-2025CE19000.00" xr:uid="{24AC442A-8063-4179-B1B0-786B766D67C5}"/>
    <hyperlink ref="M7" r:id="rId8" display="javascript:;" xr:uid="{D00EA675-3B68-4F9B-A2C9-9CE55AB44EC2}"/>
    <hyperlink ref="T7" r:id="rId9" display="https://www.nseindia.com/get-quotes/derivatives?symbol=NIFTY&amp;identifier=OPTIDXNIFTY26-06-2025PE19000.00" xr:uid="{58F5061D-BA55-4CA2-9536-0B67BE0AB8CF}"/>
    <hyperlink ref="F8" r:id="rId10" display="https://www.nseindia.com/get-quotes/derivatives?symbol=NIFTY&amp;identifier=OPTIDXNIFTY26-06-2025CE20000.00" xr:uid="{E8716D96-7562-40A4-B46E-D5E29133A0F9}"/>
    <hyperlink ref="M8" r:id="rId11" display="javascript:;" xr:uid="{C8A842DE-43E2-4079-9814-812EE3A6E9AE}"/>
    <hyperlink ref="T8" r:id="rId12" display="https://www.nseindia.com/get-quotes/derivatives?symbol=NIFTY&amp;identifier=OPTIDXNIFTY26-06-2025PE20000.00" xr:uid="{B777EBA9-ABE2-43C6-9F9F-DB43ABB36250}"/>
    <hyperlink ref="F9" r:id="rId13" display="https://www.nseindia.com/get-quotes/derivatives?symbol=NIFTY&amp;identifier=OPTIDXNIFTY26-06-2025CE20400.00" xr:uid="{38FC1C3F-8D10-4D9C-A0A5-863E71E97A4E}"/>
    <hyperlink ref="M9" r:id="rId14" display="javascript:;" xr:uid="{996DA1DF-DEE2-450B-8582-326AB5F8EA1B}"/>
    <hyperlink ref="T9" r:id="rId15" display="https://www.nseindia.com/get-quotes/derivatives?symbol=NIFTY&amp;identifier=OPTIDXNIFTY26-06-2025PE20400.00" xr:uid="{9BBD5B15-FF34-4B4F-BA91-770ABDEE6253}"/>
    <hyperlink ref="F10" r:id="rId16" display="https://www.nseindia.com/get-quotes/derivatives?symbol=NIFTY&amp;identifier=OPTIDXNIFTY26-06-2025CE20450.00" xr:uid="{613A7776-1066-4636-8DDA-CE18B9FE364C}"/>
    <hyperlink ref="M10" r:id="rId17" display="javascript:;" xr:uid="{502A8EB2-4B67-4CAB-8EA1-8233985EA3D0}"/>
    <hyperlink ref="T10" r:id="rId18" display="https://www.nseindia.com/get-quotes/derivatives?symbol=NIFTY&amp;identifier=OPTIDXNIFTY26-06-2025PE20450.00" xr:uid="{0AD6B62D-B546-4E33-A7CF-054FF8618AD8}"/>
    <hyperlink ref="F11" r:id="rId19" display="https://www.nseindia.com/get-quotes/derivatives?symbol=NIFTY&amp;identifier=OPTIDXNIFTY26-06-2025CE20500.00" xr:uid="{F52E132A-F5DB-48E3-ACEA-D532D006096B}"/>
    <hyperlink ref="M11" r:id="rId20" display="javascript:;" xr:uid="{BBE1829F-78DD-48C6-B91A-BB46E2D496CA}"/>
    <hyperlink ref="T11" r:id="rId21" display="https://www.nseindia.com/get-quotes/derivatives?symbol=NIFTY&amp;identifier=OPTIDXNIFTY26-06-2025PE20500.00" xr:uid="{5C737666-6280-4C40-8173-9B78018F108A}"/>
    <hyperlink ref="F12" r:id="rId22" display="https://www.nseindia.com/get-quotes/derivatives?symbol=NIFTY&amp;identifier=OPTIDXNIFTY26-06-2025CE20550.00" xr:uid="{15E0CCFE-7E33-463D-A827-B8ED61444B2B}"/>
    <hyperlink ref="M12" r:id="rId23" display="javascript:;" xr:uid="{557079B4-6417-42A0-8B2B-BE0664FD7814}"/>
    <hyperlink ref="T12" r:id="rId24" display="https://www.nseindia.com/get-quotes/derivatives?symbol=NIFTY&amp;identifier=OPTIDXNIFTY26-06-2025PE20550.00" xr:uid="{90600E75-757E-4004-A1F7-CD8637D14D45}"/>
    <hyperlink ref="F13" r:id="rId25" display="https://www.nseindia.com/get-quotes/derivatives?symbol=NIFTY&amp;identifier=OPTIDXNIFTY26-06-2025CE20600.00" xr:uid="{B2FF233F-2BA2-41CC-8B71-EC49BEC330CC}"/>
    <hyperlink ref="M13" r:id="rId26" display="javascript:;" xr:uid="{BCE9FBFC-E6AE-4792-82E3-315AD14963E8}"/>
    <hyperlink ref="T13" r:id="rId27" display="https://www.nseindia.com/get-quotes/derivatives?symbol=NIFTY&amp;identifier=OPTIDXNIFTY26-06-2025PE20600.00" xr:uid="{9C16C959-5C00-4826-9DD5-51200863F556}"/>
    <hyperlink ref="F14" r:id="rId28" display="https://www.nseindia.com/get-quotes/derivatives?symbol=NIFTY&amp;identifier=OPTIDXNIFTY26-06-2025CE20650.00" xr:uid="{0E7AB833-D9A0-4D8F-9965-EB8BDB9D5701}"/>
    <hyperlink ref="M14" r:id="rId29" display="javascript:;" xr:uid="{EEA45D0A-5010-4883-9449-FB15293D1355}"/>
    <hyperlink ref="T14" r:id="rId30" display="https://www.nseindia.com/get-quotes/derivatives?symbol=NIFTY&amp;identifier=OPTIDXNIFTY26-06-2025PE20650.00" xr:uid="{EB184896-FB1E-4DA8-A3F8-8E5FD8BE9066}"/>
    <hyperlink ref="F15" r:id="rId31" display="https://www.nseindia.com/get-quotes/derivatives?symbol=NIFTY&amp;identifier=OPTIDXNIFTY26-06-2025CE20700.00" xr:uid="{00177B97-F1FF-409B-B238-2820CBAA4DD7}"/>
    <hyperlink ref="M15" r:id="rId32" display="javascript:;" xr:uid="{86239AFD-FF18-4D67-8FEC-D74F363C61BF}"/>
    <hyperlink ref="T15" r:id="rId33" display="https://www.nseindia.com/get-quotes/derivatives?symbol=NIFTY&amp;identifier=OPTIDXNIFTY26-06-2025PE20700.00" xr:uid="{47EEA5D7-5AC9-4976-9C0F-F50452135CFE}"/>
    <hyperlink ref="F16" r:id="rId34" display="https://www.nseindia.com/get-quotes/derivatives?symbol=NIFTY&amp;identifier=OPTIDXNIFTY26-06-2025CE20750.00" xr:uid="{35164176-F44B-40CB-95C5-C7636EC75F75}"/>
    <hyperlink ref="M16" r:id="rId35" display="javascript:;" xr:uid="{95B8585B-CE8A-4A5C-AFFA-ECD606B760D0}"/>
    <hyperlink ref="T16" r:id="rId36" display="https://www.nseindia.com/get-quotes/derivatives?symbol=NIFTY&amp;identifier=OPTIDXNIFTY26-06-2025PE20750.00" xr:uid="{7E92734E-5DB5-442C-92C7-31ECB2C49D19}"/>
    <hyperlink ref="F17" r:id="rId37" display="https://www.nseindia.com/get-quotes/derivatives?symbol=NIFTY&amp;identifier=OPTIDXNIFTY26-06-2025CE20800.00" xr:uid="{402939B7-C04C-4635-90F9-1C3B6E2A25F6}"/>
    <hyperlink ref="M17" r:id="rId38" display="javascript:;" xr:uid="{9EBD2780-7457-4168-8D7C-4B57DC9632AA}"/>
    <hyperlink ref="T17" r:id="rId39" display="https://www.nseindia.com/get-quotes/derivatives?symbol=NIFTY&amp;identifier=OPTIDXNIFTY26-06-2025PE20800.00" xr:uid="{DB7C1391-507B-4128-83EA-7BB21B3569D8}"/>
    <hyperlink ref="F18" r:id="rId40" display="https://www.nseindia.com/get-quotes/derivatives?symbol=NIFTY&amp;identifier=OPTIDXNIFTY26-06-2025CE20850.00" xr:uid="{502AFA19-2925-41D5-ABE1-E2459CE33079}"/>
    <hyperlink ref="M18" r:id="rId41" display="javascript:;" xr:uid="{72AAF684-F24C-459E-916C-B7E9047FCB4F}"/>
    <hyperlink ref="T18" r:id="rId42" display="https://www.nseindia.com/get-quotes/derivatives?symbol=NIFTY&amp;identifier=OPTIDXNIFTY26-06-2025PE20850.00" xr:uid="{821A0930-13ED-4698-A6BA-0A64D1C08690}"/>
    <hyperlink ref="F19" r:id="rId43" display="https://www.nseindia.com/get-quotes/derivatives?symbol=NIFTY&amp;identifier=OPTIDXNIFTY26-06-2025CE20900.00" xr:uid="{159D9C9A-EC51-49C0-B7D2-91B26DFCB5F5}"/>
    <hyperlink ref="M19" r:id="rId44" display="javascript:;" xr:uid="{7639FF66-31B7-4741-886E-2E386660BDE7}"/>
    <hyperlink ref="T19" r:id="rId45" display="https://www.nseindia.com/get-quotes/derivatives?symbol=NIFTY&amp;identifier=OPTIDXNIFTY26-06-2025PE20900.00" xr:uid="{BC551DE0-A7BC-4894-A391-11924721AACC}"/>
    <hyperlink ref="F20" r:id="rId46" display="https://www.nseindia.com/get-quotes/derivatives?symbol=NIFTY&amp;identifier=OPTIDXNIFTY26-06-2025CE20950.00" xr:uid="{C179C1A5-3388-4462-B81A-50F86F85468A}"/>
    <hyperlink ref="M20" r:id="rId47" display="javascript:;" xr:uid="{A4444A03-B88B-4E32-84B3-C84B281ACCCF}"/>
    <hyperlink ref="T20" r:id="rId48" display="https://www.nseindia.com/get-quotes/derivatives?symbol=NIFTY&amp;identifier=OPTIDXNIFTY26-06-2025PE20950.00" xr:uid="{528837A7-CC46-4004-981D-2EA3A5FF21A1}"/>
    <hyperlink ref="F21" r:id="rId49" display="https://www.nseindia.com/get-quotes/derivatives?symbol=NIFTY&amp;identifier=OPTIDXNIFTY26-06-2025CE21000.00" xr:uid="{7D296B4E-68E6-4C28-ABCB-16CC561EBED9}"/>
    <hyperlink ref="M21" r:id="rId50" display="javascript:;" xr:uid="{BC7C3765-E6C3-4B0D-B3F4-3E65BDE51B6B}"/>
    <hyperlink ref="T21" r:id="rId51" display="https://www.nseindia.com/get-quotes/derivatives?symbol=NIFTY&amp;identifier=OPTIDXNIFTY26-06-2025PE21000.00" xr:uid="{DBE61B4B-52B0-452A-BB45-B741A48F9593}"/>
    <hyperlink ref="F22" r:id="rId52" display="https://www.nseindia.com/get-quotes/derivatives?symbol=NIFTY&amp;identifier=OPTIDXNIFTY26-06-2025CE21050.00" xr:uid="{F76707A5-FEF3-4351-BCD7-87502E062BE9}"/>
    <hyperlink ref="M22" r:id="rId53" display="javascript:;" xr:uid="{C12D3DBC-B4EF-49CA-B9D7-D87502CF31F1}"/>
    <hyperlink ref="T22" r:id="rId54" display="https://www.nseindia.com/get-quotes/derivatives?symbol=NIFTY&amp;identifier=OPTIDXNIFTY26-06-2025PE21050.00" xr:uid="{EFED51B2-26D8-4D60-9641-C014DEDFC61C}"/>
    <hyperlink ref="F23" r:id="rId55" display="https://www.nseindia.com/get-quotes/derivatives?symbol=NIFTY&amp;identifier=OPTIDXNIFTY26-06-2025CE21100.00" xr:uid="{BF222900-F560-47C7-83B0-94F256FC864B}"/>
    <hyperlink ref="M23" r:id="rId56" display="javascript:;" xr:uid="{0A6AA248-6FC1-4DA6-9EB7-49BE4B3D699D}"/>
    <hyperlink ref="T23" r:id="rId57" display="https://www.nseindia.com/get-quotes/derivatives?symbol=NIFTY&amp;identifier=OPTIDXNIFTY26-06-2025PE21100.00" xr:uid="{F289D1B8-A7F0-47DD-87A1-92A8E7FC9315}"/>
    <hyperlink ref="F24" r:id="rId58" display="https://www.nseindia.com/get-quotes/derivatives?symbol=NIFTY&amp;identifier=OPTIDXNIFTY26-06-2025CE21150.00" xr:uid="{B428D0C0-8141-466A-A9D7-CC78A5CC3B4B}"/>
    <hyperlink ref="M24" r:id="rId59" display="javascript:;" xr:uid="{2E6EC8E4-73FB-41A2-8522-EEB969A739B3}"/>
    <hyperlink ref="T24" r:id="rId60" display="https://www.nseindia.com/get-quotes/derivatives?symbol=NIFTY&amp;identifier=OPTIDXNIFTY26-06-2025PE21150.00" xr:uid="{5176BBD4-8D3C-4B14-8ECA-67FFC7E0BF61}"/>
    <hyperlink ref="F25" r:id="rId61" display="https://www.nseindia.com/get-quotes/derivatives?symbol=NIFTY&amp;identifier=OPTIDXNIFTY26-06-2025CE21200.00" xr:uid="{6876223F-CBF4-4D34-A675-EC145C35B6D1}"/>
    <hyperlink ref="M25" r:id="rId62" display="javascript:;" xr:uid="{701794AC-354C-4DBE-A656-21EBE9C94F67}"/>
    <hyperlink ref="T25" r:id="rId63" display="https://www.nseindia.com/get-quotes/derivatives?symbol=NIFTY&amp;identifier=OPTIDXNIFTY26-06-2025PE21200.00" xr:uid="{89BDC644-5D6D-43B0-8DDC-A63E169F6932}"/>
    <hyperlink ref="F26" r:id="rId64" display="https://www.nseindia.com/get-quotes/derivatives?symbol=NIFTY&amp;identifier=OPTIDXNIFTY26-06-2025CE21250.00" xr:uid="{42BF1A02-DA40-451D-A77A-7041F189E880}"/>
    <hyperlink ref="M26" r:id="rId65" display="javascript:;" xr:uid="{A7BD80CF-E35A-4EE3-926B-D9DBC05128CE}"/>
    <hyperlink ref="T26" r:id="rId66" display="https://www.nseindia.com/get-quotes/derivatives?symbol=NIFTY&amp;identifier=OPTIDXNIFTY26-06-2025PE21250.00" xr:uid="{204CD54C-4AA8-4368-8A20-5694DB484572}"/>
    <hyperlink ref="F27" r:id="rId67" display="https://www.nseindia.com/get-quotes/derivatives?symbol=NIFTY&amp;identifier=OPTIDXNIFTY26-06-2025CE21300.00" xr:uid="{2206EC11-996F-4095-BB27-8799A175250A}"/>
    <hyperlink ref="M27" r:id="rId68" display="javascript:;" xr:uid="{49DC09C8-C71F-48C1-9A3C-004B4998B047}"/>
    <hyperlink ref="T27" r:id="rId69" display="https://www.nseindia.com/get-quotes/derivatives?symbol=NIFTY&amp;identifier=OPTIDXNIFTY26-06-2025PE21300.00" xr:uid="{0EC0F0AE-961E-4081-97B4-54464426E5BA}"/>
    <hyperlink ref="F28" r:id="rId70" display="https://www.nseindia.com/get-quotes/derivatives?symbol=NIFTY&amp;identifier=OPTIDXNIFTY26-06-2025CE21350.00" xr:uid="{CE9EB70C-5C38-4719-898A-D90BD1290BA6}"/>
    <hyperlink ref="M28" r:id="rId71" display="javascript:;" xr:uid="{5F353789-EDDD-4D45-BAE2-19072C3A2E59}"/>
    <hyperlink ref="T28" r:id="rId72" display="https://www.nseindia.com/get-quotes/derivatives?symbol=NIFTY&amp;identifier=OPTIDXNIFTY26-06-2025PE21350.00" xr:uid="{2B9B7295-C3F9-4DBE-AD9D-CD9BA3213A11}"/>
    <hyperlink ref="F29" r:id="rId73" display="https://www.nseindia.com/get-quotes/derivatives?symbol=NIFTY&amp;identifier=OPTIDXNIFTY26-06-2025CE21400.00" xr:uid="{A2A43FCE-17C4-4D06-B443-3DD640C3DD57}"/>
    <hyperlink ref="M29" r:id="rId74" display="javascript:;" xr:uid="{FFBCE90C-BBF3-4F25-9110-001D51725CD3}"/>
    <hyperlink ref="T29" r:id="rId75" display="https://www.nseindia.com/get-quotes/derivatives?symbol=NIFTY&amp;identifier=OPTIDXNIFTY26-06-2025PE21400.00" xr:uid="{AA9453BE-B24E-4EF1-84AF-7547B7B5A9C4}"/>
    <hyperlink ref="F30" r:id="rId76" display="https://www.nseindia.com/get-quotes/derivatives?symbol=NIFTY&amp;identifier=OPTIDXNIFTY26-06-2025CE21450.00" xr:uid="{98D19C31-3B7F-4E8A-920B-E2A2EF86AFF2}"/>
    <hyperlink ref="M30" r:id="rId77" display="javascript:;" xr:uid="{79DDF718-139B-42AB-B5CA-22CDD9648A06}"/>
    <hyperlink ref="T30" r:id="rId78" display="https://www.nseindia.com/get-quotes/derivatives?symbol=NIFTY&amp;identifier=OPTIDXNIFTY26-06-2025PE21450.00" xr:uid="{D10D8E41-2E06-40EA-9D03-A27324367559}"/>
    <hyperlink ref="F31" r:id="rId79" display="https://www.nseindia.com/get-quotes/derivatives?symbol=NIFTY&amp;identifier=OPTIDXNIFTY26-06-2025CE21500.00" xr:uid="{7BBBE831-926F-4D52-91ED-A9F95E0619CB}"/>
    <hyperlink ref="M31" r:id="rId80" display="javascript:;" xr:uid="{8A8A9D42-9A56-4680-AAA0-77D51E7081EF}"/>
    <hyperlink ref="T31" r:id="rId81" display="https://www.nseindia.com/get-quotes/derivatives?symbol=NIFTY&amp;identifier=OPTIDXNIFTY26-06-2025PE21500.00" xr:uid="{DD2B036C-E03A-4796-8A7C-456EAD0E7E67}"/>
    <hyperlink ref="F32" r:id="rId82" display="https://www.nseindia.com/get-quotes/derivatives?symbol=NIFTY&amp;identifier=OPTIDXNIFTY26-06-2025CE21550.00" xr:uid="{7602AC66-B958-40CA-8196-FB75A93AF918}"/>
    <hyperlink ref="M32" r:id="rId83" display="javascript:;" xr:uid="{870A07D5-535D-43B5-964D-4411B5047CCA}"/>
    <hyperlink ref="T32" r:id="rId84" display="https://www.nseindia.com/get-quotes/derivatives?symbol=NIFTY&amp;identifier=OPTIDXNIFTY26-06-2025PE21550.00" xr:uid="{8C5C048B-A6BF-4D9D-8324-ABC21D25ABDD}"/>
    <hyperlink ref="F33" r:id="rId85" display="https://www.nseindia.com/get-quotes/derivatives?symbol=NIFTY&amp;identifier=OPTIDXNIFTY26-06-2025CE21600.00" xr:uid="{13D1D37C-54B3-42FF-B476-F5F15D2A97F1}"/>
    <hyperlink ref="M33" r:id="rId86" display="javascript:;" xr:uid="{89AF00F5-63E6-4EFD-A598-73478850DE84}"/>
    <hyperlink ref="T33" r:id="rId87" display="https://www.nseindia.com/get-quotes/derivatives?symbol=NIFTY&amp;identifier=OPTIDXNIFTY26-06-2025PE21600.00" xr:uid="{B6BB5357-B0CB-443D-A968-AF2CFFE7CC3D}"/>
    <hyperlink ref="F34" r:id="rId88" display="https://www.nseindia.com/get-quotes/derivatives?symbol=NIFTY&amp;identifier=OPTIDXNIFTY26-06-2025CE21650.00" xr:uid="{41A97146-412F-422F-BF8B-BA76C2D967BE}"/>
    <hyperlink ref="M34" r:id="rId89" display="javascript:;" xr:uid="{999F301F-084C-4066-9988-BB8D28B9800A}"/>
    <hyperlink ref="T34" r:id="rId90" display="https://www.nseindia.com/get-quotes/derivatives?symbol=NIFTY&amp;identifier=OPTIDXNIFTY26-06-2025PE21650.00" xr:uid="{EBE4DF1A-2F2A-4E30-9213-D95B85DBE757}"/>
    <hyperlink ref="F35" r:id="rId91" display="https://www.nseindia.com/get-quotes/derivatives?symbol=NIFTY&amp;identifier=OPTIDXNIFTY26-06-2025CE21700.00" xr:uid="{C9C19E06-946E-427D-8910-5941E37718A6}"/>
    <hyperlink ref="M35" r:id="rId92" display="javascript:;" xr:uid="{B745A76B-8972-4B75-BE31-57AD21A2E1BD}"/>
    <hyperlink ref="T35" r:id="rId93" display="https://www.nseindia.com/get-quotes/derivatives?symbol=NIFTY&amp;identifier=OPTIDXNIFTY26-06-2025PE21700.00" xr:uid="{C5CA6C2C-AF76-4F51-9889-84BC40061124}"/>
    <hyperlink ref="F36" r:id="rId94" display="https://www.nseindia.com/get-quotes/derivatives?symbol=NIFTY&amp;identifier=OPTIDXNIFTY26-06-2025CE21750.00" xr:uid="{4F27E8D7-0982-434F-80D5-66BD078FB29C}"/>
    <hyperlink ref="M36" r:id="rId95" display="javascript:;" xr:uid="{983EB954-52AC-4B52-BD70-84422E787591}"/>
    <hyperlink ref="T36" r:id="rId96" display="https://www.nseindia.com/get-quotes/derivatives?symbol=NIFTY&amp;identifier=OPTIDXNIFTY26-06-2025PE21750.00" xr:uid="{B2B55F3D-FC03-4E6A-9085-9D3984B0EC1F}"/>
    <hyperlink ref="F37" r:id="rId97" display="https://www.nseindia.com/get-quotes/derivatives?symbol=NIFTY&amp;identifier=OPTIDXNIFTY26-06-2025CE21800.00" xr:uid="{66503887-E668-4C36-90E3-9ACE731782D1}"/>
    <hyperlink ref="M37" r:id="rId98" display="javascript:;" xr:uid="{BABBD2DB-FB4B-4841-9DD3-C46C069D3010}"/>
    <hyperlink ref="T37" r:id="rId99" display="https://www.nseindia.com/get-quotes/derivatives?symbol=NIFTY&amp;identifier=OPTIDXNIFTY26-06-2025PE21800.00" xr:uid="{57FC7B0B-8348-42DC-8587-E276AD4B6CA4}"/>
    <hyperlink ref="F38" r:id="rId100" display="https://www.nseindia.com/get-quotes/derivatives?symbol=NIFTY&amp;identifier=OPTIDXNIFTY26-06-2025CE21850.00" xr:uid="{BC46F565-CD3E-4486-8DC0-85A886CC1F71}"/>
    <hyperlink ref="M38" r:id="rId101" display="javascript:;" xr:uid="{79EAF68D-5421-4040-B3C1-4D3F2CFD432C}"/>
    <hyperlink ref="T38" r:id="rId102" display="https://www.nseindia.com/get-quotes/derivatives?symbol=NIFTY&amp;identifier=OPTIDXNIFTY26-06-2025PE21850.00" xr:uid="{73BFC72A-ABA0-4E16-9895-B888A465E3AF}"/>
    <hyperlink ref="F39" r:id="rId103" display="https://www.nseindia.com/get-quotes/derivatives?symbol=NIFTY&amp;identifier=OPTIDXNIFTY26-06-2025CE21900.00" xr:uid="{30C6E62F-04A2-4A3A-B437-D51065860C2E}"/>
    <hyperlink ref="M39" r:id="rId104" display="javascript:;" xr:uid="{B36772DE-63B8-4E83-9910-18E2298C0ECA}"/>
    <hyperlink ref="T39" r:id="rId105" display="https://www.nseindia.com/get-quotes/derivatives?symbol=NIFTY&amp;identifier=OPTIDXNIFTY26-06-2025PE21900.00" xr:uid="{E7D5F366-3A85-4225-8C1E-E137D2EE23D5}"/>
    <hyperlink ref="F40" r:id="rId106" display="https://www.nseindia.com/get-quotes/derivatives?symbol=NIFTY&amp;identifier=OPTIDXNIFTY26-06-2025CE21950.00" xr:uid="{0BAF58A4-153A-485F-9A7C-7DEC3CE39521}"/>
    <hyperlink ref="M40" r:id="rId107" display="javascript:;" xr:uid="{B2F4A1ED-FB11-4704-B4D6-9A781C2F6EF2}"/>
    <hyperlink ref="T40" r:id="rId108" display="https://www.nseindia.com/get-quotes/derivatives?symbol=NIFTY&amp;identifier=OPTIDXNIFTY26-06-2025PE21950.00" xr:uid="{D53D78B0-947F-4F08-A977-43A6374FAAC8}"/>
    <hyperlink ref="F41" r:id="rId109" display="https://www.nseindia.com/get-quotes/derivatives?symbol=NIFTY&amp;identifier=OPTIDXNIFTY26-06-2025CE22000.00" xr:uid="{3A0CF989-1569-4338-99EE-425CD52E4F48}"/>
    <hyperlink ref="M41" r:id="rId110" display="javascript:;" xr:uid="{546576BA-668B-4581-BEB9-3180BBD1AF0D}"/>
    <hyperlink ref="T41" r:id="rId111" display="https://www.nseindia.com/get-quotes/derivatives?symbol=NIFTY&amp;identifier=OPTIDXNIFTY26-06-2025PE22000.00" xr:uid="{3EE3D389-44E8-4E85-AC16-78D9F04A2B02}"/>
    <hyperlink ref="F42" r:id="rId112" display="https://www.nseindia.com/get-quotes/derivatives?symbol=NIFTY&amp;identifier=OPTIDXNIFTY26-06-2025CE22050.00" xr:uid="{A2F19DB5-9A8E-4E97-BE84-6892B34E9962}"/>
    <hyperlink ref="M42" r:id="rId113" display="javascript:;" xr:uid="{F8752294-8AAE-4AE7-81CA-87EB78C3F578}"/>
    <hyperlink ref="T42" r:id="rId114" display="https://www.nseindia.com/get-quotes/derivatives?symbol=NIFTY&amp;identifier=OPTIDXNIFTY26-06-2025PE22050.00" xr:uid="{3F9CBE72-D2A0-49B6-BEE8-28F69365B13F}"/>
    <hyperlink ref="F43" r:id="rId115" display="https://www.nseindia.com/get-quotes/derivatives?symbol=NIFTY&amp;identifier=OPTIDXNIFTY26-06-2025CE22100.00" xr:uid="{AAD92038-D9D6-4C58-AF3C-D657A402CFD2}"/>
    <hyperlink ref="M43" r:id="rId116" display="javascript:;" xr:uid="{3EF574E6-9DDC-48B5-80D3-18AF14D0ECD6}"/>
    <hyperlink ref="T43" r:id="rId117" display="https://www.nseindia.com/get-quotes/derivatives?symbol=NIFTY&amp;identifier=OPTIDXNIFTY26-06-2025PE22100.00" xr:uid="{43F9B4E4-B0DB-4D77-8210-071A1B9AF1AA}"/>
    <hyperlink ref="F44" r:id="rId118" display="https://www.nseindia.com/get-quotes/derivatives?symbol=NIFTY&amp;identifier=OPTIDXNIFTY26-06-2025CE22150.00" xr:uid="{2FAA6653-F33A-42CC-88BD-76C14C128BB0}"/>
    <hyperlink ref="M44" r:id="rId119" display="javascript:;" xr:uid="{86779D07-251B-4C82-87C0-0DC2D693E749}"/>
    <hyperlink ref="T44" r:id="rId120" display="https://www.nseindia.com/get-quotes/derivatives?symbol=NIFTY&amp;identifier=OPTIDXNIFTY26-06-2025PE22150.00" xr:uid="{961EE278-91A3-49D0-B636-DFF6F6395B66}"/>
    <hyperlink ref="F45" r:id="rId121" display="https://www.nseindia.com/get-quotes/derivatives?symbol=NIFTY&amp;identifier=OPTIDXNIFTY26-06-2025CE22200.00" xr:uid="{A5BF4E92-D4C4-42DF-9CDC-C01442BDF210}"/>
    <hyperlink ref="M45" r:id="rId122" display="javascript:;" xr:uid="{DBDC8FF3-ADC0-4CEE-A32B-0C0BF452ED23}"/>
    <hyperlink ref="T45" r:id="rId123" display="https://www.nseindia.com/get-quotes/derivatives?symbol=NIFTY&amp;identifier=OPTIDXNIFTY26-06-2025PE22200.00" xr:uid="{ED047F1F-B3D8-4AF2-BFF7-011C633FDAB5}"/>
    <hyperlink ref="F46" r:id="rId124" display="https://www.nseindia.com/get-quotes/derivatives?symbol=NIFTY&amp;identifier=OPTIDXNIFTY26-06-2025CE22250.00" xr:uid="{24581675-167C-4580-9F1A-766545611D97}"/>
    <hyperlink ref="M46" r:id="rId125" display="javascript:;" xr:uid="{6DF21173-4C8B-4281-9E10-0B838307A0B6}"/>
    <hyperlink ref="T46" r:id="rId126" display="https://www.nseindia.com/get-quotes/derivatives?symbol=NIFTY&amp;identifier=OPTIDXNIFTY26-06-2025PE22250.00" xr:uid="{5B3EEFCC-15D1-4FE4-8D8C-44D806775226}"/>
    <hyperlink ref="F47" r:id="rId127" display="https://www.nseindia.com/get-quotes/derivatives?symbol=NIFTY&amp;identifier=OPTIDXNIFTY26-06-2025CE22300.00" xr:uid="{25CB96BE-4268-4589-897C-F181EC65ED14}"/>
    <hyperlink ref="M47" r:id="rId128" display="javascript:;" xr:uid="{FC14F4E5-3965-4A6C-A4F7-97E0162EB2D2}"/>
    <hyperlink ref="T47" r:id="rId129" display="https://www.nseindia.com/get-quotes/derivatives?symbol=NIFTY&amp;identifier=OPTIDXNIFTY26-06-2025PE22300.00" xr:uid="{7621E7ED-A364-4595-BB52-F72E849A3339}"/>
    <hyperlink ref="F48" r:id="rId130" display="https://www.nseindia.com/get-quotes/derivatives?symbol=NIFTY&amp;identifier=OPTIDXNIFTY26-06-2025CE22350.00" xr:uid="{06F92E27-AA75-4B44-BF0E-26AB268044A7}"/>
    <hyperlink ref="M48" r:id="rId131" display="javascript:;" xr:uid="{7B3960F9-3965-46D9-92B3-03F5D8F0B4AF}"/>
    <hyperlink ref="T48" r:id="rId132" display="https://www.nseindia.com/get-quotes/derivatives?symbol=NIFTY&amp;identifier=OPTIDXNIFTY26-06-2025PE22350.00" xr:uid="{B6E6EC4D-A12B-4944-B2FB-57193BBFBCDC}"/>
    <hyperlink ref="F49" r:id="rId133" display="https://www.nseindia.com/get-quotes/derivatives?symbol=NIFTY&amp;identifier=OPTIDXNIFTY26-06-2025CE22400.00" xr:uid="{5F5C64C6-72E5-4E3D-BC8B-80323CF68451}"/>
    <hyperlink ref="M49" r:id="rId134" display="javascript:;" xr:uid="{BE2E04A9-8B14-4EE8-B726-2D56CA1D6D34}"/>
    <hyperlink ref="T49" r:id="rId135" display="https://www.nseindia.com/get-quotes/derivatives?symbol=NIFTY&amp;identifier=OPTIDXNIFTY26-06-2025PE22400.00" xr:uid="{EF8D1306-EBA3-4015-9096-D38685AF3F97}"/>
    <hyperlink ref="F50" r:id="rId136" display="https://www.nseindia.com/get-quotes/derivatives?symbol=NIFTY&amp;identifier=OPTIDXNIFTY26-06-2025CE22450.00" xr:uid="{A47F056E-BA1C-4B28-92D9-35A26FAC6BDC}"/>
    <hyperlink ref="M50" r:id="rId137" display="javascript:;" xr:uid="{888C94DB-073C-4F5C-A1C5-3D73ADE725B3}"/>
    <hyperlink ref="T50" r:id="rId138" display="https://www.nseindia.com/get-quotes/derivatives?symbol=NIFTY&amp;identifier=OPTIDXNIFTY26-06-2025PE22450.00" xr:uid="{5F8F01B0-BE57-4598-AB44-8FFCC2A01A8C}"/>
    <hyperlink ref="F51" r:id="rId139" display="https://www.nseindia.com/get-quotes/derivatives?symbol=NIFTY&amp;identifier=OPTIDXNIFTY26-06-2025CE22500.00" xr:uid="{0865E13F-B4EA-4D67-B52F-252B4C3EA51A}"/>
    <hyperlink ref="M51" r:id="rId140" display="javascript:;" xr:uid="{B7370EAF-EC61-4D06-B3F3-DD8FEC2818E3}"/>
    <hyperlink ref="T51" r:id="rId141" display="https://www.nseindia.com/get-quotes/derivatives?symbol=NIFTY&amp;identifier=OPTIDXNIFTY26-06-2025PE22500.00" xr:uid="{710F8FF9-6622-41DE-AEA5-32D5D5E9BC38}"/>
    <hyperlink ref="F52" r:id="rId142" display="https://www.nseindia.com/get-quotes/derivatives?symbol=NIFTY&amp;identifier=OPTIDXNIFTY26-06-2025CE22550.00" xr:uid="{70A60F2F-BBCC-45F4-92FF-48F148238070}"/>
    <hyperlink ref="M52" r:id="rId143" display="javascript:;" xr:uid="{112A25D0-2B27-4AB8-9F83-31B893E46F92}"/>
    <hyperlink ref="T52" r:id="rId144" display="https://www.nseindia.com/get-quotes/derivatives?symbol=NIFTY&amp;identifier=OPTIDXNIFTY26-06-2025PE22550.00" xr:uid="{004E20C2-2CF8-47C9-8E7A-4CF6C49E8622}"/>
    <hyperlink ref="F62" r:id="rId145" display="https://www.nseindia.com/get-quotes/derivatives?symbol=NIFTY&amp;identifier=OPTIDXNIFTY25-09-2025CE20000.00" xr:uid="{59EEF388-0DCC-452A-B817-D9F8B1F147B1}"/>
    <hyperlink ref="M62" r:id="rId146" display="javascript:;" xr:uid="{8F404ADE-5D73-4418-90E2-9AD20CC477EB}"/>
    <hyperlink ref="T62" r:id="rId147" display="https://www.nseindia.com/get-quotes/derivatives?symbol=NIFTY&amp;identifier=OPTIDXNIFTY25-09-2025PE20000.00" xr:uid="{06C0ED2C-5AFD-49CF-88C6-693D84696DD6}"/>
    <hyperlink ref="F63" r:id="rId148" display="https://www.nseindia.com/get-quotes/derivatives?symbol=NIFTY&amp;identifier=OPTIDXNIFTY25-09-2025CE21000.00" xr:uid="{06B9AF19-C17D-4041-BB23-25DC671E0838}"/>
    <hyperlink ref="M63" r:id="rId149" display="javascript:;" xr:uid="{E1966429-D7EB-45DB-85E0-EC91F0BB8C1F}"/>
    <hyperlink ref="T63" r:id="rId150" display="https://www.nseindia.com/get-quotes/derivatives?symbol=NIFTY&amp;identifier=OPTIDXNIFTY25-09-2025PE21000.00" xr:uid="{B3001716-BE34-4906-AC5A-9B75862F4902}"/>
    <hyperlink ref="F64" r:id="rId151" display="https://www.nseindia.com/get-quotes/derivatives?symbol=NIFTY&amp;identifier=OPTIDXNIFTY25-09-2025CE22000.00" xr:uid="{D9114A53-EB57-4EF2-9079-07F4029FADE2}"/>
    <hyperlink ref="M64" r:id="rId152" display="javascript:;" xr:uid="{9FC15B0F-0A8F-46EA-97DB-739D8315DB91}"/>
    <hyperlink ref="T64" r:id="rId153" display="https://www.nseindia.com/get-quotes/derivatives?symbol=NIFTY&amp;identifier=OPTIDXNIFTY25-09-2025PE22000.00" xr:uid="{9EDC85CF-C668-4B8D-B4A4-815CF0972CF2}"/>
    <hyperlink ref="F65" r:id="rId154" display="https://www.nseindia.com/get-quotes/derivatives?symbol=NIFTY&amp;identifier=OPTIDXNIFTY25-09-2025CE23000.00" xr:uid="{E588A4C8-00A3-45B4-B33A-7FD0B7961693}"/>
    <hyperlink ref="M65" r:id="rId155" display="javascript:;" xr:uid="{F3ECDE80-7174-418A-9006-FCAD4D2C26DF}"/>
    <hyperlink ref="T65" r:id="rId156" display="https://www.nseindia.com/get-quotes/derivatives?symbol=NIFTY&amp;identifier=OPTIDXNIFTY25-09-2025PE23000.00" xr:uid="{8805E41D-BB1A-454F-9D1D-4392FA91BED7}"/>
    <hyperlink ref="F66" r:id="rId157" display="https://www.nseindia.com/get-quotes/derivatives?symbol=NIFTY&amp;identifier=OPTIDXNIFTY25-09-2025CE24000.00" xr:uid="{E43758D8-F018-4EA1-8EE6-EF3AE2E845E6}"/>
    <hyperlink ref="M66" r:id="rId158" display="javascript:;" xr:uid="{E011C33E-F871-443D-9495-2646D8981049}"/>
    <hyperlink ref="T66" r:id="rId159" display="https://www.nseindia.com/get-quotes/derivatives?symbol=NIFTY&amp;identifier=OPTIDXNIFTY25-09-2025PE24000.00" xr:uid="{CA9A6211-711A-4D8E-8D02-7B50A4CAAFFC}"/>
    <hyperlink ref="F67" r:id="rId160" display="https://www.nseindia.com/get-quotes/derivatives?symbol=NIFTY&amp;identifier=OPTIDXNIFTY25-09-2025CE25000.00" xr:uid="{51BB3518-BCB1-408C-82D2-EADEA326706A}"/>
    <hyperlink ref="M67" r:id="rId161" display="javascript:;" xr:uid="{C8AABD12-4036-4FB5-B26A-9BB68FF5ED3A}"/>
    <hyperlink ref="T67" r:id="rId162" display="https://www.nseindia.com/get-quotes/derivatives?symbol=NIFTY&amp;identifier=OPTIDXNIFTY25-09-2025PE25000.00" xr:uid="{48B67E2A-5DDD-4779-B795-3D6A7C295191}"/>
    <hyperlink ref="F68" r:id="rId163" display="https://www.nseindia.com/get-quotes/derivatives?symbol=NIFTY&amp;identifier=OPTIDXNIFTY25-09-2025CE26000.00" xr:uid="{90C6A60F-9A33-4988-AEEC-91E0B53586A4}"/>
    <hyperlink ref="M68" r:id="rId164" display="javascript:;" xr:uid="{75BB766E-0037-41FA-BD78-D5A06A264705}"/>
    <hyperlink ref="T68" r:id="rId165" display="https://www.nseindia.com/get-quotes/derivatives?symbol=NIFTY&amp;identifier=OPTIDXNIFTY25-09-2025PE26000.00" xr:uid="{F7A83FA8-1696-4408-9613-3D3C5C52B710}"/>
    <hyperlink ref="F69" r:id="rId166" display="https://www.nseindia.com/get-quotes/derivatives?symbol=NIFTY&amp;identifier=OPTIDXNIFTY25-09-2025CE27000.00" xr:uid="{8E4DD9E6-1344-4DAA-9B8B-99F58F4A9BF2}"/>
    <hyperlink ref="M69" r:id="rId167" display="javascript:;" xr:uid="{A4164F04-06E2-4DAA-AC85-23E4C2AB6D58}"/>
    <hyperlink ref="T69" r:id="rId168" display="https://www.nseindia.com/get-quotes/derivatives?symbol=NIFTY&amp;identifier=OPTIDXNIFTY25-09-2025PE27000.00" xr:uid="{C67CE02B-0D95-46BC-9C09-0BEE9CF46BCA}"/>
    <hyperlink ref="F70" r:id="rId169" display="https://www.nseindia.com/get-quotes/derivatives?symbol=NIFTY&amp;identifier=OPTIDXNIFTY25-09-2025CE28000.00" xr:uid="{49019F0F-D13D-495E-8CE8-F0080990F25E}"/>
    <hyperlink ref="M70" r:id="rId170" display="javascript:;" xr:uid="{CA087E7B-8214-4E00-8D78-B8B43FABC14A}"/>
    <hyperlink ref="T70" r:id="rId171" display="https://www.nseindia.com/get-quotes/derivatives?symbol=NIFTY&amp;identifier=OPTIDXNIFTY25-09-2025PE28000.00" xr:uid="{0750B080-50D7-4F70-A7A9-D263BC360B78}"/>
    <hyperlink ref="F71" r:id="rId172" display="https://www.nseindia.com/get-quotes/derivatives?symbol=NIFTY&amp;identifier=OPTIDXNIFTY25-09-2025CE29000.00" xr:uid="{D7D0CF07-249C-43BB-BB96-BE56E35914B6}"/>
    <hyperlink ref="M71" r:id="rId173" display="javascript:;" xr:uid="{23D53CD8-AF8E-4318-9697-7E4B594BB470}"/>
    <hyperlink ref="T71" r:id="rId174" display="https://www.nseindia.com/get-quotes/derivatives?symbol=null&amp;identifier=null" xr:uid="{0EC99D41-259F-46B9-8E77-F775B7C6C3A6}"/>
    <hyperlink ref="F72" r:id="rId175" display="https://www.nseindia.com/get-quotes/derivatives?symbol=NIFTY&amp;identifier=OPTIDXNIFTY25-09-2025CE30000.00" xr:uid="{9FCA69E1-5A15-4CEC-BB78-15287B923714}"/>
    <hyperlink ref="M72" r:id="rId176" display="javascript:;" xr:uid="{D5AC5A77-5B77-43CB-8508-01031F4035CB}"/>
    <hyperlink ref="T72" r:id="rId177" display="https://www.nseindia.com/get-quotes/derivatives?symbol=null&amp;identifier=null" xr:uid="{EDB2641B-A5CD-4AE2-9E67-0BAC96476120}"/>
    <hyperlink ref="F81" r:id="rId178" display="https://www.nseindia.com/get-quotes/derivatives?symbol=NIFTY&amp;identifier=OPTIDXNIFTY24-12-2025CE20000.00" xr:uid="{F09F9C49-15A7-4350-B2B5-7904FB46D2C5}"/>
    <hyperlink ref="M81" r:id="rId179" display="javascript:;" xr:uid="{7659805C-AD01-4CC3-973E-712050D99D8E}"/>
    <hyperlink ref="T81" r:id="rId180" display="https://www.nseindia.com/get-quotes/derivatives?symbol=NIFTY&amp;identifier=OPTIDXNIFTY24-12-2025PE20000.00" xr:uid="{C07DB5AE-85D1-44B5-B44E-2C8377704E9E}"/>
    <hyperlink ref="F82" r:id="rId181" display="https://www.nseindia.com/get-quotes/derivatives?symbol=NIFTY&amp;identifier=OPTIDXNIFTY24-12-2025CE21000.00" xr:uid="{D71C7428-993E-41B8-AF1F-A2F8A42D3C09}"/>
    <hyperlink ref="M82" r:id="rId182" display="javascript:;" xr:uid="{ECECF563-335A-4440-84F1-86F29562C1A6}"/>
    <hyperlink ref="T82" r:id="rId183" display="https://www.nseindia.com/get-quotes/derivatives?symbol=NIFTY&amp;identifier=OPTIDXNIFTY24-12-2025PE21000.00" xr:uid="{D95975E0-2B6A-4CF3-A27B-22426B019569}"/>
    <hyperlink ref="F83" r:id="rId184" display="https://www.nseindia.com/get-quotes/derivatives?symbol=NIFTY&amp;identifier=OPTIDXNIFTY24-12-2025CE22000.00" xr:uid="{98126D1E-8866-459E-8083-73AFA50B7186}"/>
    <hyperlink ref="M83" r:id="rId185" display="javascript:;" xr:uid="{2EB9EF19-09A4-46F6-A374-29679E05AD87}"/>
    <hyperlink ref="T83" r:id="rId186" display="https://www.nseindia.com/get-quotes/derivatives?symbol=NIFTY&amp;identifier=OPTIDXNIFTY24-12-2025PE22000.00" xr:uid="{149A3648-B58D-4FEB-B784-198FF8A449C8}"/>
    <hyperlink ref="F84" r:id="rId187" display="https://www.nseindia.com/get-quotes/derivatives?symbol=NIFTY&amp;identifier=OPTIDXNIFTY24-12-2025CE23000.00" xr:uid="{F5B8ADF1-8A26-4017-9BC6-19025349B5F7}"/>
    <hyperlink ref="M84" r:id="rId188" display="javascript:;" xr:uid="{A0B20C02-50A3-4A03-8D48-2B8F2D556CE5}"/>
    <hyperlink ref="T84" r:id="rId189" display="https://www.nseindia.com/get-quotes/derivatives?symbol=NIFTY&amp;identifier=OPTIDXNIFTY24-12-2025PE23000.00" xr:uid="{619C7206-2190-4417-A8E2-E024ECB1AA47}"/>
    <hyperlink ref="F85" r:id="rId190" display="https://www.nseindia.com/get-quotes/derivatives?symbol=NIFTY&amp;identifier=OPTIDXNIFTY24-12-2025CE24000.00" xr:uid="{1DE1C3C7-DCDB-484A-9C51-EA4FFB6DFA98}"/>
    <hyperlink ref="M85" r:id="rId191" display="javascript:;" xr:uid="{D5351C35-2E3D-4C7E-B02D-253F2DE33306}"/>
    <hyperlink ref="T85" r:id="rId192" display="https://www.nseindia.com/get-quotes/derivatives?symbol=NIFTY&amp;identifier=OPTIDXNIFTY24-12-2025PE24000.00" xr:uid="{CEEB1C8B-83C4-417C-80FD-84DFBEF51AF9}"/>
    <hyperlink ref="F86" r:id="rId193" display="https://www.nseindia.com/get-quotes/derivatives?symbol=NIFTY&amp;identifier=OPTIDXNIFTY24-12-2025CE25000.00" xr:uid="{DE2AEF6C-5E3D-4B17-BB35-E96332CE47FF}"/>
    <hyperlink ref="M86" r:id="rId194" display="javascript:;" xr:uid="{B0C32225-B14F-4CD0-ACFE-0A0798CD1116}"/>
    <hyperlink ref="T86" r:id="rId195" display="https://www.nseindia.com/get-quotes/derivatives?symbol=NIFTY&amp;identifier=OPTIDXNIFTY24-12-2025PE25000.00" xr:uid="{01962C1F-8D13-4D72-ADF6-A09313E43125}"/>
    <hyperlink ref="F87" r:id="rId196" display="https://www.nseindia.com/get-quotes/derivatives?symbol=NIFTY&amp;identifier=OPTIDXNIFTY24-12-2025CE26000.00" xr:uid="{C828F191-0280-4592-804B-C874867EDC1F}"/>
    <hyperlink ref="M87" r:id="rId197" display="javascript:;" xr:uid="{704C9B42-5817-4B98-8320-E7D882CE0C84}"/>
    <hyperlink ref="T87" r:id="rId198" display="https://www.nseindia.com/get-quotes/derivatives?symbol=NIFTY&amp;identifier=OPTIDXNIFTY24-12-2025PE26000.00" xr:uid="{2BA01DA5-F7C1-44BC-8DEC-909BEE1B1E01}"/>
    <hyperlink ref="F88" r:id="rId199" display="https://www.nseindia.com/get-quotes/derivatives?symbol=NIFTY&amp;identifier=OPTIDXNIFTY24-12-2025CE27000.00" xr:uid="{88143482-82C5-4032-B6CC-E2726CB52D9F}"/>
    <hyperlink ref="M88" r:id="rId200" display="javascript:;" xr:uid="{F7E9E7B6-6CA8-43AA-B1DD-2087B6F42B9A}"/>
    <hyperlink ref="T88" r:id="rId201" display="https://www.nseindia.com/get-quotes/derivatives?symbol=NIFTY&amp;identifier=OPTIDXNIFTY24-12-2025PE27000.00" xr:uid="{6A98D60A-73FB-419A-947B-B05E6DDF52DA}"/>
    <hyperlink ref="F89" r:id="rId202" display="https://www.nseindia.com/get-quotes/derivatives?symbol=NIFTY&amp;identifier=OPTIDXNIFTY24-12-2025CE28000.00" xr:uid="{9D54594E-7735-483D-95A4-57CB4C649E8D}"/>
    <hyperlink ref="M89" r:id="rId203" display="javascript:;" xr:uid="{E9E9C33A-08B8-4569-81A4-B9285F1C8C06}"/>
    <hyperlink ref="T89" r:id="rId204" display="https://www.nseindia.com/get-quotes/derivatives?symbol=NIFTY&amp;identifier=OPTIDXNIFTY24-12-2025PE28000.00" xr:uid="{CF1DCE93-EE64-4EC6-BBE6-C829F064A267}"/>
    <hyperlink ref="F90" r:id="rId205" display="https://www.nseindia.com/get-quotes/derivatives?symbol=NIFTY&amp;identifier=OPTIDXNIFTY24-12-2025CE29000.00" xr:uid="{A39544C9-21FA-4B4A-AB1E-0F101AAFC502}"/>
    <hyperlink ref="M90" r:id="rId206" display="javascript:;" xr:uid="{FC27D165-7BC3-44D9-9F4F-82CB46709EBD}"/>
    <hyperlink ref="T90" r:id="rId207" display="https://www.nseindia.com/get-quotes/derivatives?symbol=NIFTY&amp;identifier=OPTIDXNIFTY24-12-2025PE29000.00" xr:uid="{AEEE5391-89E6-45B1-AF26-9EAFB5625F88}"/>
    <hyperlink ref="F91" r:id="rId208" display="https://www.nseindia.com/get-quotes/derivatives?symbol=NIFTY&amp;identifier=OPTIDXNIFTY24-12-2025CE30000.00" xr:uid="{5AF65C51-5B6F-442C-8CD9-880C2DE5ECB6}"/>
    <hyperlink ref="M91" r:id="rId209" display="javascript:;" xr:uid="{376F9114-3426-4867-8BD1-BBFEB25A19D0}"/>
    <hyperlink ref="T91" r:id="rId210" display="https://www.nseindia.com/get-quotes/derivatives?symbol=NIFTY&amp;identifier=OPTIDXNIFTY24-12-2025PE30000.00" xr:uid="{770DEF72-A063-4873-B08A-59DCC3E3F450}"/>
    <hyperlink ref="F92" r:id="rId211" display="https://www.nseindia.com/get-quotes/derivatives?symbol=NIFTY&amp;identifier=OPTIDXNIFTY24-12-2025CE31000.00" xr:uid="{A1123706-DF91-481B-84F4-953CA6CEFF89}"/>
    <hyperlink ref="M92" r:id="rId212" display="javascript:;" xr:uid="{550E6A61-790D-4D93-B697-26AB84E44AB3}"/>
    <hyperlink ref="T92" r:id="rId213" display="https://www.nseindia.com/get-quotes/derivatives?symbol=null&amp;identifier=null" xr:uid="{95744882-9B8A-4AC1-83A9-082A6DC3C042}"/>
  </hyperlinks>
  <pageMargins left="0.7" right="0.7" top="0.75" bottom="0.75" header="0.3" footer="0.3"/>
  <drawing r:id="rId2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422-F47F-4EA3-95E1-C70FB618E8A8}">
  <sheetPr>
    <tabColor theme="6" tint="0.59999389629810485"/>
  </sheetPr>
  <dimension ref="A1:O11"/>
  <sheetViews>
    <sheetView workbookViewId="0">
      <selection activeCell="H20" sqref="H20"/>
    </sheetView>
  </sheetViews>
  <sheetFormatPr defaultRowHeight="12.5"/>
  <cols>
    <col min="1" max="2" width="10.08984375" bestFit="1" customWidth="1"/>
    <col min="3" max="3" width="4.453125" bestFit="1" customWidth="1"/>
    <col min="4" max="4" width="12" bestFit="1" customWidth="1"/>
    <col min="5" max="5" width="8.90625" bestFit="1" customWidth="1"/>
    <col min="6" max="6" width="7.81640625" bestFit="1" customWidth="1"/>
    <col min="7" max="7" width="10.90625" bestFit="1" customWidth="1"/>
    <col min="8" max="8" width="6.81640625" bestFit="1" customWidth="1"/>
    <col min="9" max="9" width="8.81640625" bestFit="1" customWidth="1"/>
    <col min="10" max="10" width="5.81640625" bestFit="1" customWidth="1"/>
    <col min="11" max="11" width="16.08984375" bestFit="1" customWidth="1"/>
    <col min="12" max="13" width="12.453125" bestFit="1" customWidth="1"/>
    <col min="14" max="14" width="11.81640625" bestFit="1" customWidth="1"/>
    <col min="15" max="15" width="17.54296875" bestFit="1" customWidth="1"/>
  </cols>
  <sheetData>
    <row r="1" spans="1:15" ht="13">
      <c r="A1" s="25" t="s">
        <v>20</v>
      </c>
      <c r="B1" s="25" t="s">
        <v>21</v>
      </c>
      <c r="C1" s="25" t="s">
        <v>22</v>
      </c>
      <c r="D1" s="25" t="s">
        <v>131</v>
      </c>
      <c r="E1" s="25" t="s">
        <v>14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5</v>
      </c>
      <c r="K1" s="25" t="s">
        <v>130</v>
      </c>
      <c r="L1" s="25" t="s">
        <v>132</v>
      </c>
      <c r="M1" s="25" t="s">
        <v>133</v>
      </c>
      <c r="N1" s="25" t="s">
        <v>134</v>
      </c>
      <c r="O1" s="25" t="s">
        <v>135</v>
      </c>
    </row>
    <row r="2" spans="1:15">
      <c r="A2" s="20">
        <v>45807</v>
      </c>
      <c r="B2" s="20">
        <v>45986</v>
      </c>
      <c r="C2" s="19">
        <v>180</v>
      </c>
      <c r="D2" s="19">
        <f>C2/365</f>
        <v>0.49315068493150682</v>
      </c>
      <c r="E2" s="22">
        <v>20000</v>
      </c>
      <c r="F2" s="19">
        <v>24833.599999999999</v>
      </c>
      <c r="G2" s="18" t="s">
        <v>1</v>
      </c>
      <c r="H2" s="19">
        <v>0.20420000000000002</v>
      </c>
      <c r="I2" s="19">
        <v>5498.7</v>
      </c>
      <c r="J2" s="19">
        <v>1302</v>
      </c>
      <c r="K2" s="45">
        <v>0.06</v>
      </c>
      <c r="L2" s="19">
        <f t="shared" ref="L2:L11" si="0">(LN(F2/E2) + (K2 + (O2^2)/2)*D2) / (O2*SQRT(D2))</f>
        <v>0.70768184193212058</v>
      </c>
      <c r="M2" s="19">
        <f t="shared" ref="M2:M11" si="1" xml:space="preserve"> L2 - O2*SQRT(D2)</f>
        <v>9.3300077637021639E-2</v>
      </c>
      <c r="N2" s="19">
        <f xml:space="preserve"> F2 * _xlfn.NORM.S.DIST(L2, TRUE) - E2 * EXP(-K2*D2) * _xlfn.NORM.S.DIST(M2, TRUE)</f>
        <v>8454.059145787227</v>
      </c>
      <c r="O2" s="45">
        <v>0.87488001586535291</v>
      </c>
    </row>
    <row r="3" spans="1:15">
      <c r="A3" s="20">
        <v>45807</v>
      </c>
      <c r="B3" s="20">
        <v>45986</v>
      </c>
      <c r="C3" s="19">
        <v>180</v>
      </c>
      <c r="D3" s="19">
        <f t="shared" ref="D3:D11" si="2">C3/365</f>
        <v>0.49315068493150682</v>
      </c>
      <c r="E3" s="22">
        <v>21000</v>
      </c>
      <c r="F3" s="19">
        <v>24833.599999999999</v>
      </c>
      <c r="G3" s="18" t="s">
        <v>1</v>
      </c>
      <c r="H3" s="19">
        <v>0.19420000000000001</v>
      </c>
      <c r="I3" s="19">
        <v>4621.25</v>
      </c>
      <c r="J3" s="19">
        <v>1483</v>
      </c>
      <c r="K3" s="45">
        <v>0.06</v>
      </c>
      <c r="L3" s="19">
        <f t="shared" si="0"/>
        <v>0.69286769845940821</v>
      </c>
      <c r="M3" s="19">
        <f t="shared" si="1"/>
        <v>-0.29246758964701869</v>
      </c>
      <c r="N3" s="19">
        <f xml:space="preserve"> F3 * _xlfn.NORM.S.DIST(L3, TRUE) - E3 * EXP(-K3*D3) * _xlfn.NORM.S.DIST(M3, TRUE)</f>
        <v>10920.772145359402</v>
      </c>
      <c r="O3" s="45">
        <v>1.40311806532914</v>
      </c>
    </row>
    <row r="4" spans="1:15">
      <c r="A4" s="20">
        <v>45807</v>
      </c>
      <c r="B4" s="20">
        <v>45986</v>
      </c>
      <c r="C4" s="19">
        <v>180</v>
      </c>
      <c r="D4" s="19">
        <f t="shared" si="2"/>
        <v>0.49315068493150682</v>
      </c>
      <c r="E4" s="22">
        <v>22000</v>
      </c>
      <c r="F4" s="19">
        <v>24833.599999999999</v>
      </c>
      <c r="G4" s="18" t="s">
        <v>1</v>
      </c>
      <c r="H4" s="19">
        <v>0.18359999999999999</v>
      </c>
      <c r="I4" s="19">
        <v>3744.375</v>
      </c>
      <c r="J4" s="19">
        <v>3829</v>
      </c>
      <c r="K4" s="45">
        <v>0.06</v>
      </c>
      <c r="L4" s="19">
        <f t="shared" si="0"/>
        <v>0.56961300807671333</v>
      </c>
      <c r="M4" s="19">
        <f t="shared" si="1"/>
        <v>-0.15156072599947035</v>
      </c>
      <c r="N4" s="19">
        <f xml:space="preserve"> F4 * _xlfn.NORM.S.DIST(L4, TRUE) - E4 * EXP(-K4*D4) * _xlfn.NORM.S.DIST(M4, TRUE)</f>
        <v>8376.3920398967948</v>
      </c>
      <c r="O4" s="45">
        <v>1.026951847495257</v>
      </c>
    </row>
    <row r="5" spans="1:15">
      <c r="A5" s="20">
        <v>45807</v>
      </c>
      <c r="B5" s="20">
        <v>45986</v>
      </c>
      <c r="C5" s="19">
        <v>180</v>
      </c>
      <c r="D5" s="19">
        <f t="shared" si="2"/>
        <v>0.49315068493150682</v>
      </c>
      <c r="E5" s="22">
        <v>23000</v>
      </c>
      <c r="F5" s="19">
        <v>24833.599999999999</v>
      </c>
      <c r="G5" s="18" t="s">
        <v>1</v>
      </c>
      <c r="H5" s="19">
        <v>9.4700000000000006E-2</v>
      </c>
      <c r="I5" s="19">
        <v>2919.4749999999999</v>
      </c>
      <c r="J5" s="19">
        <v>5544</v>
      </c>
      <c r="K5" s="45">
        <v>0.06</v>
      </c>
      <c r="L5" s="19">
        <f t="shared" si="0"/>
        <v>0.46124184359437576</v>
      </c>
      <c r="M5" s="19">
        <f t="shared" si="1"/>
        <v>-1.2618958724515683E-2</v>
      </c>
      <c r="N5" s="19">
        <f xml:space="preserve"> F5 * _xlfn.NORM.S.DIST(L5, TRUE) - E5 * EXP(-K5*D5) * _xlfn.NORM.S.DIST(M5, TRUE)</f>
        <v>5777.1166772750785</v>
      </c>
      <c r="O5" s="45">
        <v>0.67477807829529646</v>
      </c>
    </row>
    <row r="6" spans="1:15">
      <c r="A6" s="20">
        <v>45807</v>
      </c>
      <c r="B6" s="20">
        <v>45986</v>
      </c>
      <c r="C6" s="19">
        <v>180</v>
      </c>
      <c r="D6" s="19">
        <f t="shared" si="2"/>
        <v>0.49315068493150682</v>
      </c>
      <c r="E6" s="22">
        <v>24000</v>
      </c>
      <c r="F6" s="19">
        <v>24833.599999999999</v>
      </c>
      <c r="G6" s="18" t="s">
        <v>1</v>
      </c>
      <c r="H6" s="19">
        <v>0.10289999999999999</v>
      </c>
      <c r="I6" s="19">
        <v>2156.9499999999998</v>
      </c>
      <c r="J6" s="19">
        <v>11663</v>
      </c>
      <c r="K6" s="45">
        <v>0.06</v>
      </c>
      <c r="L6" s="19">
        <f t="shared" si="0"/>
        <v>0.36602967169080919</v>
      </c>
      <c r="M6" s="19">
        <f t="shared" si="1"/>
        <v>-8.0697888650360594E-2</v>
      </c>
      <c r="N6" s="19">
        <f xml:space="preserve"> F6 * _xlfn.NORM.S.DIST(L6, TRUE) - E6 * EXP(-K6*D6) * _xlfn.NORM.S.DIST(M6, TRUE)</f>
        <v>5062.9242494081282</v>
      </c>
      <c r="O6" s="45">
        <v>0.63614032478191962</v>
      </c>
    </row>
    <row r="7" spans="1:15">
      <c r="A7" s="20">
        <v>45807</v>
      </c>
      <c r="B7" s="20">
        <v>45986</v>
      </c>
      <c r="C7" s="19">
        <v>180</v>
      </c>
      <c r="D7" s="19">
        <f t="shared" si="2"/>
        <v>0.49315068493150682</v>
      </c>
      <c r="E7" s="22">
        <v>28000</v>
      </c>
      <c r="F7" s="19">
        <v>24833.599999999999</v>
      </c>
      <c r="G7" s="18" t="s">
        <v>2</v>
      </c>
      <c r="H7" s="19">
        <v>0.1173</v>
      </c>
      <c r="I7" s="19">
        <v>265.45000000000005</v>
      </c>
      <c r="J7" s="19">
        <v>10114</v>
      </c>
      <c r="K7" s="45">
        <v>0.06</v>
      </c>
      <c r="L7" s="19">
        <f t="shared" si="0"/>
        <v>-4.3071408661003521E-3</v>
      </c>
      <c r="M7" s="19">
        <f t="shared" si="1"/>
        <v>-0.42526972592873513</v>
      </c>
      <c r="N7" s="19">
        <f xml:space="preserve"> E7 * EXP(-K7*D7) * _xlfn.NORM.S.DIST(-M7, TRUE) - F7 * _xlfn.NORM.S.DIST(-L7, TRUE)</f>
        <v>5608.9522210717405</v>
      </c>
      <c r="O7" s="45">
        <v>0.59945098390228357</v>
      </c>
    </row>
    <row r="8" spans="1:15">
      <c r="A8" s="20">
        <v>45807</v>
      </c>
      <c r="B8" s="20">
        <v>45986</v>
      </c>
      <c r="C8" s="19">
        <v>180</v>
      </c>
      <c r="D8" s="19">
        <f t="shared" si="2"/>
        <v>0.49315068493150682</v>
      </c>
      <c r="E8" s="22">
        <v>29000</v>
      </c>
      <c r="F8" s="19">
        <v>24833.599999999999</v>
      </c>
      <c r="G8" s="18" t="s">
        <v>2</v>
      </c>
      <c r="H8" s="19">
        <v>0.12590000000000001</v>
      </c>
      <c r="I8" s="19">
        <v>133.77500000000001</v>
      </c>
      <c r="J8" s="19">
        <v>3935</v>
      </c>
      <c r="K8" s="45">
        <v>0.06</v>
      </c>
      <c r="L8" s="19">
        <f t="shared" si="0"/>
        <v>0.27029397487010182</v>
      </c>
      <c r="M8" s="19">
        <f t="shared" si="1"/>
        <v>-0.56927784148224192</v>
      </c>
      <c r="N8" s="19">
        <f xml:space="preserve"> E8 * EXP(-K8*D8) * _xlfn.NORM.S.DIST(-M8, TRUE) - F8 * _xlfn.NORM.S.DIST(-L8, TRUE)</f>
        <v>10370.973765097102</v>
      </c>
      <c r="O8" s="45">
        <v>1.1955507905629112</v>
      </c>
    </row>
    <row r="9" spans="1:15">
      <c r="A9" s="20">
        <v>45807</v>
      </c>
      <c r="B9" s="20">
        <v>45986</v>
      </c>
      <c r="C9" s="19">
        <v>180</v>
      </c>
      <c r="D9" s="19">
        <f t="shared" si="2"/>
        <v>0.49315068493150682</v>
      </c>
      <c r="E9" s="22">
        <v>20000</v>
      </c>
      <c r="F9" s="19">
        <v>24833.599999999999</v>
      </c>
      <c r="G9" s="18" t="s">
        <v>2</v>
      </c>
      <c r="H9" s="19">
        <v>0.21780000000000002</v>
      </c>
      <c r="I9" s="19">
        <v>71.400000000000006</v>
      </c>
      <c r="J9" s="19">
        <v>9085</v>
      </c>
      <c r="K9" s="45">
        <v>0.06</v>
      </c>
      <c r="L9" s="19">
        <f t="shared" si="0"/>
        <v>0.73676067959578806</v>
      </c>
      <c r="M9" s="19">
        <f t="shared" si="1"/>
        <v>0.22518351201871489</v>
      </c>
      <c r="N9" s="19">
        <f xml:space="preserve"> E9 * EXP(-K9*D9) * _xlfn.NORM.S.DIST(-M9, TRUE) - F9 * _xlfn.NORM.S.DIST(-L9, TRUE)</f>
        <v>2251.2827794158466</v>
      </c>
      <c r="O9" s="45">
        <v>0.72848620596624114</v>
      </c>
    </row>
    <row r="10" spans="1:15">
      <c r="A10" s="20">
        <v>45807</v>
      </c>
      <c r="B10" s="20">
        <v>45986</v>
      </c>
      <c r="C10" s="19">
        <v>180</v>
      </c>
      <c r="D10" s="19">
        <f t="shared" si="2"/>
        <v>0.49315068493150682</v>
      </c>
      <c r="E10" s="22">
        <v>21000</v>
      </c>
      <c r="F10" s="19">
        <v>24833.599999999999</v>
      </c>
      <c r="G10" s="18" t="s">
        <v>2</v>
      </c>
      <c r="H10" s="19">
        <v>0.20420000000000002</v>
      </c>
      <c r="I10" s="19">
        <v>112.75</v>
      </c>
      <c r="J10" s="19">
        <v>8155</v>
      </c>
      <c r="K10" s="45">
        <v>0.06</v>
      </c>
      <c r="L10" s="19">
        <f t="shared" si="0"/>
        <v>0.63198707011954347</v>
      </c>
      <c r="M10" s="19">
        <f t="shared" si="1"/>
        <v>-6.9851987973028162E-2</v>
      </c>
      <c r="N10" s="19">
        <f xml:space="preserve"> E10 * EXP(-K10*D10) * _xlfn.NORM.S.DIST(-M10, TRUE) - F10 * _xlfn.NORM.S.DIST(-L10, TRUE)</f>
        <v>4212.9856789480127</v>
      </c>
      <c r="O10" s="45">
        <v>0.99941925682551003</v>
      </c>
    </row>
    <row r="11" spans="1:15">
      <c r="A11" s="20">
        <v>45807</v>
      </c>
      <c r="B11" s="20">
        <v>45986</v>
      </c>
      <c r="C11" s="19">
        <v>180</v>
      </c>
      <c r="D11" s="19">
        <f t="shared" si="2"/>
        <v>0.49315068493150682</v>
      </c>
      <c r="E11" s="22">
        <v>22000</v>
      </c>
      <c r="F11" s="19">
        <v>24833.599999999999</v>
      </c>
      <c r="G11" s="18" t="s">
        <v>2</v>
      </c>
      <c r="H11" s="19">
        <v>0.19420000000000001</v>
      </c>
      <c r="I11" s="19">
        <v>182</v>
      </c>
      <c r="J11" s="19">
        <v>15830</v>
      </c>
      <c r="K11" s="45">
        <v>0.06</v>
      </c>
      <c r="L11" s="19">
        <f t="shared" si="0"/>
        <v>0.55676463578974966</v>
      </c>
      <c r="M11" s="19">
        <f t="shared" si="1"/>
        <v>-9.2187495688826782E-2</v>
      </c>
      <c r="N11" s="19">
        <f xml:space="preserve"> E11 * EXP(-K11*D11) * _xlfn.NORM.S.DIST(-M11, TRUE) - F11 * _xlfn.NORM.S.DIST(-L11, TRUE)</f>
        <v>4290.6529261431142</v>
      </c>
      <c r="O11" s="45">
        <v>0.92410824031412531</v>
      </c>
    </row>
  </sheetData>
  <hyperlinks>
    <hyperlink ref="E2" r:id="rId1" display="javascript:;" xr:uid="{87BE1281-E41E-45D9-AB6E-33DBA0C97139}"/>
    <hyperlink ref="E3" r:id="rId2" display="javascript:;" xr:uid="{9784005F-DEEC-477E-8E9E-957DDF7BDE13}"/>
    <hyperlink ref="E4" r:id="rId3" display="javascript:;" xr:uid="{4B9F8C31-FA96-4D6B-B778-7BA000AD4A61}"/>
    <hyperlink ref="E5" r:id="rId4" display="javascript:;" xr:uid="{461EBB0C-96C5-487E-A9B8-35C4E8446DA7}"/>
    <hyperlink ref="E6" r:id="rId5" display="javascript:;" xr:uid="{8976E151-907B-4DDB-B2D1-B7D364697956}"/>
    <hyperlink ref="E7" r:id="rId6" display="javascript:;" xr:uid="{2D16D561-21DF-4BF5-8DED-6CFE0C99D602}"/>
    <hyperlink ref="E8" r:id="rId7" display="javascript:;" xr:uid="{B1664A9D-5DCF-44BF-B05B-3ED2A599134A}"/>
    <hyperlink ref="E9" r:id="rId8" display="javascript:;" xr:uid="{63197BA6-656E-4DFE-9132-CC4FC4D20606}"/>
    <hyperlink ref="E10" r:id="rId9" display="javascript:;" xr:uid="{92354A38-CF5C-4BD9-B946-9D913FD86594}"/>
    <hyperlink ref="E11" r:id="rId10" display="javascript:;" xr:uid="{B42471D7-B8BA-4918-8DF0-2516DBF77A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7137-C305-4326-971D-1429B0EA96D2}">
  <sheetPr>
    <tabColor theme="9" tint="0.39997558519241921"/>
  </sheetPr>
  <dimension ref="A1:M17"/>
  <sheetViews>
    <sheetView workbookViewId="0">
      <selection activeCell="O13" sqref="O13"/>
    </sheetView>
  </sheetViews>
  <sheetFormatPr defaultRowHeight="12.5"/>
  <sheetData>
    <row r="1" spans="1:13" ht="56" customHeight="1">
      <c r="A1" s="64" t="s">
        <v>137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3" spans="1:13" ht="13">
      <c r="A3" s="51" t="s">
        <v>138</v>
      </c>
    </row>
    <row r="5" spans="1:13">
      <c r="A5" s="27" t="s">
        <v>139</v>
      </c>
    </row>
    <row r="12" spans="1:13">
      <c r="A12" s="27"/>
    </row>
    <row r="13" spans="1:13">
      <c r="A13" s="36"/>
    </row>
    <row r="14" spans="1:13">
      <c r="A14" s="36"/>
    </row>
    <row r="15" spans="1:13">
      <c r="A15" s="36"/>
    </row>
    <row r="16" spans="1:13">
      <c r="A16" s="36"/>
    </row>
    <row r="17" spans="1:1">
      <c r="A17" s="36"/>
    </row>
  </sheetData>
  <mergeCells count="1">
    <mergeCell ref="A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027E-46E9-4CDE-B3EE-9BD3AE809E9F}">
  <sheetPr>
    <tabColor theme="9" tint="0.39997558519241921"/>
  </sheetPr>
  <dimension ref="A1:M83"/>
  <sheetViews>
    <sheetView workbookViewId="0">
      <selection sqref="A1:C1048576"/>
    </sheetView>
  </sheetViews>
  <sheetFormatPr defaultRowHeight="12.5"/>
  <cols>
    <col min="1" max="1" width="10.08984375" bestFit="1" customWidth="1"/>
    <col min="2" max="2" width="7.81640625" bestFit="1" customWidth="1"/>
    <col min="3" max="3" width="12.453125" bestFit="1" customWidth="1"/>
    <col min="4" max="4" width="20.6328125" bestFit="1" customWidth="1"/>
    <col min="5" max="5" width="16.26953125" bestFit="1" customWidth="1"/>
    <col min="6" max="6" width="15.36328125" bestFit="1" customWidth="1"/>
    <col min="7" max="7" width="22.54296875" bestFit="1" customWidth="1"/>
    <col min="8" max="8" width="16.26953125" bestFit="1" customWidth="1"/>
    <col min="9" max="9" width="15.36328125" bestFit="1" customWidth="1"/>
    <col min="10" max="10" width="16.26953125" bestFit="1" customWidth="1"/>
    <col min="11" max="11" width="15.36328125" bestFit="1" customWidth="1"/>
    <col min="12" max="12" width="16.26953125" bestFit="1" customWidth="1"/>
    <col min="13" max="13" width="15.36328125" bestFit="1" customWidth="1"/>
  </cols>
  <sheetData>
    <row r="1" spans="1:13" ht="14">
      <c r="A1" s="52" t="s">
        <v>140</v>
      </c>
      <c r="B1" s="52" t="s">
        <v>141</v>
      </c>
      <c r="C1" s="52" t="s">
        <v>142</v>
      </c>
      <c r="D1" s="52" t="s">
        <v>143</v>
      </c>
      <c r="E1" s="52" t="s">
        <v>144</v>
      </c>
      <c r="F1" s="52" t="s">
        <v>145</v>
      </c>
      <c r="G1" s="52" t="s">
        <v>146</v>
      </c>
      <c r="H1" s="52" t="s">
        <v>144</v>
      </c>
      <c r="I1" s="52" t="s">
        <v>145</v>
      </c>
      <c r="J1" s="52" t="s">
        <v>144</v>
      </c>
      <c r="K1" s="52" t="s">
        <v>145</v>
      </c>
      <c r="L1" s="52" t="s">
        <v>144</v>
      </c>
      <c r="M1" s="52" t="s">
        <v>145</v>
      </c>
    </row>
    <row r="2" spans="1:13">
      <c r="A2" s="20">
        <v>43347</v>
      </c>
      <c r="B2" s="19">
        <v>104.419</v>
      </c>
      <c r="E2">
        <v>0.94</v>
      </c>
      <c r="H2">
        <v>0.95</v>
      </c>
      <c r="J2">
        <v>0.96</v>
      </c>
      <c r="L2">
        <v>0.97</v>
      </c>
    </row>
    <row r="3" spans="1:13">
      <c r="A3" s="20">
        <v>43348</v>
      </c>
      <c r="B3" s="19">
        <v>101.40900000000001</v>
      </c>
      <c r="C3">
        <f>LN(B3/B2)</f>
        <v>-2.92498066122788E-2</v>
      </c>
      <c r="D3">
        <f>C3^2</f>
        <v>8.5555118685570861E-4</v>
      </c>
    </row>
    <row r="4" spans="1:13">
      <c r="A4" s="20">
        <v>43349</v>
      </c>
      <c r="B4" s="19">
        <v>101.643</v>
      </c>
      <c r="C4">
        <f t="shared" ref="C4:C67" si="0">LN(B4/B3)</f>
        <v>2.3048293401555487E-3</v>
      </c>
      <c r="D4">
        <f t="shared" ref="D4:D67" si="1">C4^2</f>
        <v>5.312238287241862E-6</v>
      </c>
    </row>
    <row r="5" spans="1:13">
      <c r="A5" s="20">
        <v>43350</v>
      </c>
      <c r="B5" s="19">
        <v>101.14700000000001</v>
      </c>
      <c r="C5">
        <f t="shared" si="0"/>
        <v>-4.8917697034559626E-3</v>
      </c>
      <c r="D5">
        <f t="shared" si="1"/>
        <v>2.3929410831649635E-5</v>
      </c>
    </row>
    <row r="6" spans="1:13">
      <c r="A6" s="20">
        <v>43353</v>
      </c>
      <c r="B6" s="19">
        <v>102.241</v>
      </c>
      <c r="C6">
        <f t="shared" si="0"/>
        <v>1.0757867237532654E-2</v>
      </c>
      <c r="D6">
        <f t="shared" si="1"/>
        <v>1.1573170750037845E-4</v>
      </c>
    </row>
    <row r="7" spans="1:13">
      <c r="A7" s="20">
        <v>43354</v>
      </c>
      <c r="B7" s="19">
        <v>103.979</v>
      </c>
      <c r="C7">
        <f t="shared" si="0"/>
        <v>1.6856184186180182E-2</v>
      </c>
      <c r="D7">
        <f t="shared" si="1"/>
        <v>2.8413094531843085E-4</v>
      </c>
    </row>
    <row r="8" spans="1:13">
      <c r="A8" s="20">
        <v>43355</v>
      </c>
      <c r="B8" s="19">
        <v>104.419</v>
      </c>
      <c r="C8">
        <f t="shared" si="0"/>
        <v>4.2226955518664139E-3</v>
      </c>
      <c r="D8">
        <f t="shared" si="1"/>
        <v>1.78311577237524E-5</v>
      </c>
    </row>
    <row r="9" spans="1:13">
      <c r="A9" s="20">
        <v>43356</v>
      </c>
      <c r="B9" s="19">
        <v>105.54</v>
      </c>
      <c r="C9">
        <f t="shared" si="0"/>
        <v>1.0678376750415206E-2</v>
      </c>
      <c r="D9">
        <f t="shared" si="1"/>
        <v>1.14027730023808E-4</v>
      </c>
    </row>
    <row r="10" spans="1:13">
      <c r="A10" s="20">
        <v>43357</v>
      </c>
      <c r="B10" s="19">
        <v>105.97</v>
      </c>
      <c r="C10">
        <f t="shared" si="0"/>
        <v>4.0660072092227016E-3</v>
      </c>
      <c r="D10">
        <f t="shared" si="1"/>
        <v>1.6532414625450981E-5</v>
      </c>
    </row>
    <row r="11" spans="1:13">
      <c r="A11" s="20">
        <v>43360</v>
      </c>
      <c r="B11" s="19">
        <v>104.821</v>
      </c>
      <c r="C11">
        <f t="shared" si="0"/>
        <v>-1.0901901694140728E-2</v>
      </c>
      <c r="D11">
        <f t="shared" si="1"/>
        <v>1.1885146054870847E-4</v>
      </c>
    </row>
    <row r="12" spans="1:13">
      <c r="A12" s="20">
        <v>43361</v>
      </c>
      <c r="B12" s="19">
        <v>105.821</v>
      </c>
      <c r="C12">
        <f t="shared" si="0"/>
        <v>9.4948539481806028E-3</v>
      </c>
      <c r="D12">
        <f t="shared" si="1"/>
        <v>9.0152251497280778E-5</v>
      </c>
      <c r="E12">
        <f>AVERAGE(D3:D12)</f>
        <v>1.6420505032124099E-4</v>
      </c>
      <c r="F12">
        <f>SQRT(E12)</f>
        <v>1.2814251843991556E-2</v>
      </c>
      <c r="G12">
        <f>F12*SQRT(252)</f>
        <v>0.20341994169931504</v>
      </c>
      <c r="H12">
        <f>AVERAGE(D3:D12)</f>
        <v>1.6420505032124099E-4</v>
      </c>
      <c r="I12">
        <f>SQRT(H12)</f>
        <v>1.2814251843991556E-2</v>
      </c>
      <c r="J12">
        <f>AVERAGE(D3:D12)</f>
        <v>1.6420505032124099E-4</v>
      </c>
      <c r="K12">
        <f>SQRT(J12)</f>
        <v>1.2814251843991556E-2</v>
      </c>
      <c r="L12">
        <f>AVERAGE(D3:D12)</f>
        <v>1.6420505032124099E-4</v>
      </c>
      <c r="M12">
        <f>SQRT(L12)</f>
        <v>1.2814251843991556E-2</v>
      </c>
    </row>
    <row r="13" spans="1:13">
      <c r="A13" s="20">
        <v>43362</v>
      </c>
      <c r="B13" s="19">
        <v>104.40900000000001</v>
      </c>
      <c r="C13">
        <f t="shared" si="0"/>
        <v>-1.3433108811295395E-2</v>
      </c>
      <c r="D13">
        <f t="shared" si="1"/>
        <v>1.8044841233610197E-4</v>
      </c>
      <c r="E13">
        <f>$E$2*E12+(1-$E$2)*D12</f>
        <v>1.5976188239180339E-4</v>
      </c>
      <c r="F13">
        <f t="shared" ref="F13:F76" si="2">SQRT(E13)</f>
        <v>1.2639694711178881E-2</v>
      </c>
      <c r="G13">
        <f t="shared" ref="G13:G76" si="3">F13*SQRT(252)</f>
        <v>0.20064893312134618</v>
      </c>
      <c r="H13">
        <f>$E$2*H12+(1-$E$2)*D12</f>
        <v>1.5976188239180339E-4</v>
      </c>
      <c r="I13">
        <f t="shared" ref="I13:I76" si="4">SQRT(H13)</f>
        <v>1.2639694711178881E-2</v>
      </c>
      <c r="J13">
        <f>$E$2*J12+(1-$E$2)*D12</f>
        <v>1.5976188239180339E-4</v>
      </c>
      <c r="K13">
        <f t="shared" ref="K13:M76" si="5">SQRT(J13)</f>
        <v>1.2639694711178881E-2</v>
      </c>
      <c r="L13">
        <f>$E$2*L12+(1-$E$2)*D12</f>
        <v>1.5976188239180339E-4</v>
      </c>
      <c r="M13">
        <f t="shared" si="5"/>
        <v>1.2639694711178881E-2</v>
      </c>
    </row>
    <row r="14" spans="1:13">
      <c r="A14" s="20">
        <v>43363</v>
      </c>
      <c r="B14" s="19">
        <v>106.157</v>
      </c>
      <c r="C14">
        <f t="shared" si="0"/>
        <v>1.6603251763814469E-2</v>
      </c>
      <c r="D14">
        <f t="shared" si="1"/>
        <v>2.7566796913260831E-4</v>
      </c>
      <c r="E14">
        <f t="shared" ref="E14:E77" si="6">$E$2*E13+(1-$E$2)*D13</f>
        <v>1.6100307418846131E-4</v>
      </c>
      <c r="F14">
        <f t="shared" si="2"/>
        <v>1.2688698679867109E-2</v>
      </c>
      <c r="G14">
        <f t="shared" si="3"/>
        <v>0.20142684700777166</v>
      </c>
      <c r="H14">
        <f>$E$2*H13+(1-$E$2)*D13</f>
        <v>1.6100307418846131E-4</v>
      </c>
      <c r="I14">
        <f t="shared" si="4"/>
        <v>1.2688698679867109E-2</v>
      </c>
      <c r="J14">
        <f t="shared" ref="J14:J77" si="7">$E$2*J13+(1-$E$2)*D13</f>
        <v>1.6100307418846131E-4</v>
      </c>
      <c r="K14">
        <f t="shared" si="5"/>
        <v>1.2688698679867109E-2</v>
      </c>
      <c r="L14">
        <f t="shared" ref="L14:L77" si="8">$E$2*L13+(1-$E$2)*D13</f>
        <v>1.6100307418846131E-4</v>
      </c>
      <c r="M14">
        <f t="shared" si="5"/>
        <v>1.2688698679867109E-2</v>
      </c>
    </row>
    <row r="15" spans="1:13">
      <c r="A15" s="20">
        <v>43364</v>
      </c>
      <c r="B15" s="19">
        <v>106.80200000000001</v>
      </c>
      <c r="C15">
        <f t="shared" si="0"/>
        <v>6.0575225492109095E-3</v>
      </c>
      <c r="D15">
        <f t="shared" si="1"/>
        <v>3.6693579434198636E-5</v>
      </c>
      <c r="E15">
        <f t="shared" si="6"/>
        <v>1.6788296788511014E-4</v>
      </c>
      <c r="F15">
        <f t="shared" si="2"/>
        <v>1.2956965998454658E-2</v>
      </c>
      <c r="G15">
        <f t="shared" si="3"/>
        <v>0.20568545866698443</v>
      </c>
      <c r="H15">
        <f t="shared" ref="H15:H78" si="9">$E$2*H14+(1-$E$2)*D14</f>
        <v>1.6788296788511014E-4</v>
      </c>
      <c r="I15">
        <f t="shared" si="4"/>
        <v>1.2956965998454658E-2</v>
      </c>
      <c r="J15">
        <f t="shared" si="7"/>
        <v>1.6788296788511014E-4</v>
      </c>
      <c r="K15">
        <f t="shared" si="5"/>
        <v>1.2956965998454658E-2</v>
      </c>
      <c r="L15">
        <f t="shared" si="8"/>
        <v>1.6788296788511014E-4</v>
      </c>
      <c r="M15">
        <f t="shared" si="5"/>
        <v>1.2956965998454658E-2</v>
      </c>
    </row>
    <row r="16" spans="1:13">
      <c r="A16" s="20">
        <v>43367</v>
      </c>
      <c r="B16" s="19">
        <v>107.185</v>
      </c>
      <c r="C16">
        <f t="shared" si="0"/>
        <v>3.5796605305846449E-3</v>
      </c>
      <c r="D16">
        <f t="shared" si="1"/>
        <v>1.2813969514225542E-5</v>
      </c>
      <c r="E16">
        <f t="shared" si="6"/>
        <v>1.6001160457805542E-4</v>
      </c>
      <c r="F16">
        <f t="shared" si="2"/>
        <v>1.2649569343580651E-2</v>
      </c>
      <c r="G16">
        <f t="shared" si="3"/>
        <v>0.20080568805108578</v>
      </c>
      <c r="H16">
        <f t="shared" si="9"/>
        <v>1.6001160457805542E-4</v>
      </c>
      <c r="I16">
        <f t="shared" si="4"/>
        <v>1.2649569343580651E-2</v>
      </c>
      <c r="J16">
        <f t="shared" si="7"/>
        <v>1.6001160457805542E-4</v>
      </c>
      <c r="K16">
        <f t="shared" si="5"/>
        <v>1.2649569343580651E-2</v>
      </c>
      <c r="L16">
        <f t="shared" si="8"/>
        <v>1.6001160457805542E-4</v>
      </c>
      <c r="M16">
        <f t="shared" si="5"/>
        <v>1.2649569343580651E-2</v>
      </c>
    </row>
    <row r="17" spans="1:13">
      <c r="A17" s="20">
        <v>43368</v>
      </c>
      <c r="B17" s="19">
        <v>106.98</v>
      </c>
      <c r="C17">
        <f t="shared" si="0"/>
        <v>-1.9144123699949131E-3</v>
      </c>
      <c r="D17">
        <f t="shared" si="1"/>
        <v>3.6649747223895399E-6</v>
      </c>
      <c r="E17">
        <f t="shared" si="6"/>
        <v>1.5117974647422562E-4</v>
      </c>
      <c r="F17">
        <f t="shared" si="2"/>
        <v>1.2295517332516987E-2</v>
      </c>
      <c r="G17">
        <f t="shared" si="3"/>
        <v>0.19518528661634529</v>
      </c>
      <c r="H17">
        <f t="shared" si="9"/>
        <v>1.5117974647422562E-4</v>
      </c>
      <c r="I17">
        <f t="shared" si="4"/>
        <v>1.2295517332516987E-2</v>
      </c>
      <c r="J17">
        <f t="shared" si="7"/>
        <v>1.5117974647422562E-4</v>
      </c>
      <c r="K17">
        <f t="shared" si="5"/>
        <v>1.2295517332516987E-2</v>
      </c>
      <c r="L17">
        <f t="shared" si="8"/>
        <v>1.5117974647422562E-4</v>
      </c>
      <c r="M17">
        <f t="shared" si="5"/>
        <v>1.2295517332516987E-2</v>
      </c>
    </row>
    <row r="18" spans="1:13">
      <c r="A18" s="20">
        <v>43369</v>
      </c>
      <c r="B18" s="19">
        <v>106.541</v>
      </c>
      <c r="C18">
        <f t="shared" si="0"/>
        <v>-4.1120135122521958E-3</v>
      </c>
      <c r="D18">
        <f t="shared" si="1"/>
        <v>1.6908655124944641E-5</v>
      </c>
      <c r="E18">
        <f t="shared" si="6"/>
        <v>1.4232886016911546E-4</v>
      </c>
      <c r="F18">
        <f t="shared" si="2"/>
        <v>1.1930165974080807E-2</v>
      </c>
      <c r="G18">
        <f t="shared" si="3"/>
        <v>0.1893855136028548</v>
      </c>
      <c r="H18">
        <f t="shared" si="9"/>
        <v>1.4232886016911546E-4</v>
      </c>
      <c r="I18">
        <f t="shared" si="4"/>
        <v>1.1930165974080807E-2</v>
      </c>
      <c r="J18">
        <f t="shared" si="7"/>
        <v>1.4232886016911546E-4</v>
      </c>
      <c r="K18">
        <f t="shared" si="5"/>
        <v>1.1930165974080807E-2</v>
      </c>
      <c r="L18">
        <f t="shared" si="8"/>
        <v>1.4232886016911546E-4</v>
      </c>
      <c r="M18">
        <f t="shared" si="5"/>
        <v>1.1930165974080807E-2</v>
      </c>
    </row>
    <row r="19" spans="1:13">
      <c r="A19" s="20">
        <v>43370</v>
      </c>
      <c r="B19" s="19">
        <v>106.94199999999999</v>
      </c>
      <c r="C19">
        <f t="shared" si="0"/>
        <v>3.756743830782235E-3</v>
      </c>
      <c r="D19">
        <f t="shared" si="1"/>
        <v>1.4113124210120381E-5</v>
      </c>
      <c r="E19">
        <f t="shared" si="6"/>
        <v>1.3480364786646522E-4</v>
      </c>
      <c r="F19">
        <f t="shared" si="2"/>
        <v>1.1610497313485983E-2</v>
      </c>
      <c r="G19">
        <f t="shared" si="3"/>
        <v>0.18431093093560469</v>
      </c>
      <c r="H19">
        <f t="shared" si="9"/>
        <v>1.3480364786646522E-4</v>
      </c>
      <c r="I19">
        <f t="shared" si="4"/>
        <v>1.1610497313485983E-2</v>
      </c>
      <c r="J19">
        <f t="shared" si="7"/>
        <v>1.3480364786646522E-4</v>
      </c>
      <c r="K19">
        <f t="shared" si="5"/>
        <v>1.1610497313485983E-2</v>
      </c>
      <c r="L19">
        <f t="shared" si="8"/>
        <v>1.3480364786646522E-4</v>
      </c>
      <c r="M19">
        <f t="shared" si="5"/>
        <v>1.1610497313485983E-2</v>
      </c>
    </row>
    <row r="20" spans="1:13">
      <c r="A20" s="20">
        <v>43371</v>
      </c>
      <c r="B20" s="19">
        <v>106.905</v>
      </c>
      <c r="C20">
        <f t="shared" si="0"/>
        <v>-3.4604179969052772E-4</v>
      </c>
      <c r="D20">
        <f t="shared" si="1"/>
        <v>1.1974492713305931E-7</v>
      </c>
      <c r="E20">
        <f t="shared" si="6"/>
        <v>1.2756221644708452E-4</v>
      </c>
      <c r="F20">
        <f t="shared" si="2"/>
        <v>1.1294344445211706E-2</v>
      </c>
      <c r="G20">
        <f t="shared" si="3"/>
        <v>0.17929215974120369</v>
      </c>
      <c r="H20">
        <f t="shared" si="9"/>
        <v>1.2756221644708452E-4</v>
      </c>
      <c r="I20">
        <f t="shared" si="4"/>
        <v>1.1294344445211706E-2</v>
      </c>
      <c r="J20">
        <f t="shared" si="7"/>
        <v>1.2756221644708452E-4</v>
      </c>
      <c r="K20">
        <f t="shared" si="5"/>
        <v>1.1294344445211706E-2</v>
      </c>
      <c r="L20">
        <f t="shared" si="8"/>
        <v>1.2756221644708452E-4</v>
      </c>
      <c r="M20">
        <f t="shared" si="5"/>
        <v>1.1294344445211706E-2</v>
      </c>
    </row>
    <row r="21" spans="1:13">
      <c r="A21" s="20">
        <v>43374</v>
      </c>
      <c r="B21" s="19">
        <v>108.06399999999999</v>
      </c>
      <c r="C21">
        <f t="shared" si="0"/>
        <v>1.0783054581213397E-2</v>
      </c>
      <c r="D21">
        <f t="shared" si="1"/>
        <v>1.1627426610142723E-4</v>
      </c>
      <c r="E21">
        <f t="shared" si="6"/>
        <v>1.1991566815588744E-4</v>
      </c>
      <c r="F21">
        <f t="shared" si="2"/>
        <v>1.0950601269148989E-2</v>
      </c>
      <c r="G21">
        <f t="shared" si="3"/>
        <v>0.17383540598877906</v>
      </c>
      <c r="H21">
        <f t="shared" si="9"/>
        <v>1.1991566815588744E-4</v>
      </c>
      <c r="I21">
        <f t="shared" si="4"/>
        <v>1.0950601269148989E-2</v>
      </c>
      <c r="J21">
        <f t="shared" si="7"/>
        <v>1.1991566815588744E-4</v>
      </c>
      <c r="K21">
        <f t="shared" si="5"/>
        <v>1.0950601269148989E-2</v>
      </c>
      <c r="L21">
        <f t="shared" si="8"/>
        <v>1.1991566815588744E-4</v>
      </c>
      <c r="M21">
        <f t="shared" si="5"/>
        <v>1.0950601269148989E-2</v>
      </c>
    </row>
    <row r="22" spans="1:13">
      <c r="A22" s="20">
        <v>43375</v>
      </c>
      <c r="B22" s="19">
        <v>107.634</v>
      </c>
      <c r="C22">
        <f t="shared" si="0"/>
        <v>-3.9870612581485729E-3</v>
      </c>
      <c r="D22">
        <f t="shared" si="1"/>
        <v>1.5896657476229281E-5</v>
      </c>
      <c r="E22">
        <f t="shared" si="6"/>
        <v>1.1969718403261982E-4</v>
      </c>
      <c r="F22">
        <f t="shared" si="2"/>
        <v>1.0940620824826159E-2</v>
      </c>
      <c r="G22">
        <f t="shared" si="3"/>
        <v>0.17367697134686624</v>
      </c>
      <c r="H22">
        <f t="shared" si="9"/>
        <v>1.1969718403261982E-4</v>
      </c>
      <c r="I22">
        <f t="shared" si="4"/>
        <v>1.0940620824826159E-2</v>
      </c>
      <c r="J22">
        <f t="shared" si="7"/>
        <v>1.1969718403261982E-4</v>
      </c>
      <c r="K22">
        <f t="shared" si="5"/>
        <v>1.0940620824826159E-2</v>
      </c>
      <c r="L22">
        <f t="shared" si="8"/>
        <v>1.1969718403261982E-4</v>
      </c>
      <c r="M22">
        <f t="shared" si="5"/>
        <v>1.0940620824826159E-2</v>
      </c>
    </row>
    <row r="23" spans="1:13">
      <c r="A23" s="20">
        <v>43376</v>
      </c>
      <c r="B23" s="19">
        <v>107.65300000000001</v>
      </c>
      <c r="C23">
        <f t="shared" si="0"/>
        <v>1.7650856809127763E-4</v>
      </c>
      <c r="D23">
        <f t="shared" si="1"/>
        <v>3.1155274609633195E-8</v>
      </c>
      <c r="E23">
        <f t="shared" si="6"/>
        <v>1.1346915243923639E-4</v>
      </c>
      <c r="F23">
        <f t="shared" si="2"/>
        <v>1.0652190030187988E-2</v>
      </c>
      <c r="G23">
        <f t="shared" si="3"/>
        <v>0.16909827442847419</v>
      </c>
      <c r="H23">
        <f t="shared" si="9"/>
        <v>1.1346915243923639E-4</v>
      </c>
      <c r="I23">
        <f t="shared" si="4"/>
        <v>1.0652190030187988E-2</v>
      </c>
      <c r="J23">
        <f t="shared" si="7"/>
        <v>1.1346915243923639E-4</v>
      </c>
      <c r="K23">
        <f t="shared" si="5"/>
        <v>1.0652190030187988E-2</v>
      </c>
      <c r="L23">
        <f t="shared" si="8"/>
        <v>1.1346915243923639E-4</v>
      </c>
      <c r="M23">
        <f t="shared" si="5"/>
        <v>1.0652190030187988E-2</v>
      </c>
    </row>
    <row r="24" spans="1:13">
      <c r="A24" s="20">
        <v>43377</v>
      </c>
      <c r="B24" s="19">
        <v>105.428</v>
      </c>
      <c r="C24">
        <f t="shared" si="0"/>
        <v>-2.088483603682972E-2</v>
      </c>
      <c r="D24">
        <f t="shared" si="1"/>
        <v>4.3617637628526134E-4</v>
      </c>
      <c r="E24">
        <f t="shared" si="6"/>
        <v>1.0666287260935877E-4</v>
      </c>
      <c r="F24">
        <f t="shared" si="2"/>
        <v>1.0327771909243482E-2</v>
      </c>
      <c r="G24">
        <f t="shared" si="3"/>
        <v>0.16394829641554196</v>
      </c>
      <c r="H24">
        <f t="shared" si="9"/>
        <v>1.0666287260935877E-4</v>
      </c>
      <c r="I24">
        <f t="shared" si="4"/>
        <v>1.0327771909243482E-2</v>
      </c>
      <c r="J24">
        <f t="shared" si="7"/>
        <v>1.0666287260935877E-4</v>
      </c>
      <c r="K24">
        <f t="shared" si="5"/>
        <v>1.0327771909243482E-2</v>
      </c>
      <c r="L24">
        <f t="shared" si="8"/>
        <v>1.0666287260935877E-4</v>
      </c>
      <c r="M24">
        <f t="shared" si="5"/>
        <v>1.0327771909243482E-2</v>
      </c>
    </row>
    <row r="25" spans="1:13">
      <c r="A25" s="20">
        <v>43378</v>
      </c>
      <c r="B25" s="19">
        <v>104.81100000000001</v>
      </c>
      <c r="C25">
        <f t="shared" si="0"/>
        <v>-5.8695272653747892E-3</v>
      </c>
      <c r="D25">
        <f t="shared" si="1"/>
        <v>3.4451350318978049E-5</v>
      </c>
      <c r="E25">
        <f t="shared" si="6"/>
        <v>1.2643368282991293E-4</v>
      </c>
      <c r="F25">
        <f t="shared" si="2"/>
        <v>1.1244273334898655E-2</v>
      </c>
      <c r="G25">
        <f t="shared" si="3"/>
        <v>0.1784973055066604</v>
      </c>
      <c r="H25">
        <f t="shared" si="9"/>
        <v>1.2643368282991293E-4</v>
      </c>
      <c r="I25">
        <f t="shared" si="4"/>
        <v>1.1244273334898655E-2</v>
      </c>
      <c r="J25">
        <f t="shared" si="7"/>
        <v>1.2643368282991293E-4</v>
      </c>
      <c r="K25">
        <f t="shared" si="5"/>
        <v>1.1244273334898655E-2</v>
      </c>
      <c r="L25">
        <f t="shared" si="8"/>
        <v>1.2643368282991293E-4</v>
      </c>
      <c r="M25">
        <f t="shared" si="5"/>
        <v>1.1244273334898655E-2</v>
      </c>
    </row>
    <row r="26" spans="1:13">
      <c r="A26" s="20">
        <v>43381</v>
      </c>
      <c r="B26" s="19">
        <v>103.61499999999999</v>
      </c>
      <c r="C26">
        <f t="shared" si="0"/>
        <v>-1.1476621221444359E-2</v>
      </c>
      <c r="D26">
        <f t="shared" si="1"/>
        <v>1.31712834660507E-4</v>
      </c>
      <c r="E26">
        <f t="shared" si="6"/>
        <v>1.2091474287925684E-4</v>
      </c>
      <c r="F26">
        <f t="shared" si="2"/>
        <v>1.099612399344682E-2</v>
      </c>
      <c r="G26">
        <f t="shared" si="3"/>
        <v>0.17455805683374437</v>
      </c>
      <c r="H26">
        <f t="shared" si="9"/>
        <v>1.2091474287925684E-4</v>
      </c>
      <c r="I26">
        <f t="shared" si="4"/>
        <v>1.099612399344682E-2</v>
      </c>
      <c r="J26">
        <f t="shared" si="7"/>
        <v>1.2091474287925684E-4</v>
      </c>
      <c r="K26">
        <f t="shared" si="5"/>
        <v>1.099612399344682E-2</v>
      </c>
      <c r="L26">
        <f t="shared" si="8"/>
        <v>1.2091474287925684E-4</v>
      </c>
      <c r="M26">
        <f t="shared" si="5"/>
        <v>1.099612399344682E-2</v>
      </c>
    </row>
    <row r="27" spans="1:13">
      <c r="A27" s="20">
        <v>43382</v>
      </c>
      <c r="B27" s="19">
        <v>104.93300000000001</v>
      </c>
      <c r="C27">
        <f t="shared" si="0"/>
        <v>1.263994426056605E-2</v>
      </c>
      <c r="D27">
        <f t="shared" si="1"/>
        <v>1.5976819091021664E-4</v>
      </c>
      <c r="E27">
        <f t="shared" si="6"/>
        <v>1.2156262838613185E-4</v>
      </c>
      <c r="F27">
        <f t="shared" si="2"/>
        <v>1.1025544357814351E-2</v>
      </c>
      <c r="G27">
        <f t="shared" si="3"/>
        <v>0.17502509063932872</v>
      </c>
      <c r="H27">
        <f t="shared" si="9"/>
        <v>1.2156262838613185E-4</v>
      </c>
      <c r="I27">
        <f t="shared" si="4"/>
        <v>1.1025544357814351E-2</v>
      </c>
      <c r="J27">
        <f t="shared" si="7"/>
        <v>1.2156262838613185E-4</v>
      </c>
      <c r="K27">
        <f t="shared" si="5"/>
        <v>1.1025544357814351E-2</v>
      </c>
      <c r="L27">
        <f t="shared" si="8"/>
        <v>1.2156262838613185E-4</v>
      </c>
      <c r="M27">
        <f t="shared" si="5"/>
        <v>1.1025544357814351E-2</v>
      </c>
    </row>
    <row r="28" spans="1:13">
      <c r="A28" s="20">
        <v>43383</v>
      </c>
      <c r="B28" s="19">
        <v>99.230999999999995</v>
      </c>
      <c r="C28">
        <f t="shared" si="0"/>
        <v>-5.5871585777144656E-2</v>
      </c>
      <c r="D28">
        <f t="shared" si="1"/>
        <v>3.1216340972528328E-3</v>
      </c>
      <c r="E28">
        <f t="shared" si="6"/>
        <v>1.2385496213757692E-4</v>
      </c>
      <c r="F28">
        <f t="shared" si="2"/>
        <v>1.112901442795259E-2</v>
      </c>
      <c r="G28">
        <f t="shared" si="3"/>
        <v>0.17666762708167386</v>
      </c>
      <c r="H28">
        <f t="shared" si="9"/>
        <v>1.2385496213757692E-4</v>
      </c>
      <c r="I28">
        <f t="shared" si="4"/>
        <v>1.112901442795259E-2</v>
      </c>
      <c r="J28">
        <f t="shared" si="7"/>
        <v>1.2385496213757692E-4</v>
      </c>
      <c r="K28">
        <f t="shared" si="5"/>
        <v>1.112901442795259E-2</v>
      </c>
      <c r="L28">
        <f t="shared" si="8"/>
        <v>1.2385496213757692E-4</v>
      </c>
      <c r="M28">
        <f t="shared" si="5"/>
        <v>1.112901442795259E-2</v>
      </c>
    </row>
    <row r="29" spans="1:13">
      <c r="A29" s="20">
        <v>43384</v>
      </c>
      <c r="B29" s="19">
        <v>98.997</v>
      </c>
      <c r="C29">
        <f t="shared" si="0"/>
        <v>-2.3609188277313549E-3</v>
      </c>
      <c r="D29">
        <f t="shared" si="1"/>
        <v>5.5739377111363945E-6</v>
      </c>
      <c r="E29">
        <f t="shared" si="6"/>
        <v>3.0372171024449241E-4</v>
      </c>
      <c r="F29">
        <f t="shared" si="2"/>
        <v>1.7427613440872861E-2</v>
      </c>
      <c r="G29">
        <f t="shared" si="3"/>
        <v>0.2766547866594975</v>
      </c>
      <c r="H29">
        <f t="shared" si="9"/>
        <v>3.0372171024449241E-4</v>
      </c>
      <c r="I29">
        <f t="shared" si="4"/>
        <v>1.7427613440872861E-2</v>
      </c>
      <c r="J29">
        <f t="shared" si="7"/>
        <v>3.0372171024449241E-4</v>
      </c>
      <c r="K29">
        <f t="shared" si="5"/>
        <v>1.7427613440872861E-2</v>
      </c>
      <c r="L29">
        <f t="shared" si="8"/>
        <v>3.0372171024449241E-4</v>
      </c>
      <c r="M29">
        <f t="shared" si="5"/>
        <v>1.7427613440872861E-2</v>
      </c>
    </row>
    <row r="30" spans="1:13">
      <c r="A30" s="20">
        <v>43385</v>
      </c>
      <c r="B30" s="19">
        <v>102.41800000000001</v>
      </c>
      <c r="C30">
        <f t="shared" si="0"/>
        <v>3.3972931762553053E-2</v>
      </c>
      <c r="D30">
        <f t="shared" si="1"/>
        <v>1.154160092543086E-3</v>
      </c>
      <c r="E30">
        <f t="shared" si="6"/>
        <v>2.8583284389249107E-4</v>
      </c>
      <c r="F30">
        <f t="shared" si="2"/>
        <v>1.6906591729041399E-2</v>
      </c>
      <c r="G30">
        <f t="shared" si="3"/>
        <v>0.26838382339647027</v>
      </c>
      <c r="H30">
        <f t="shared" si="9"/>
        <v>2.8583284389249107E-4</v>
      </c>
      <c r="I30">
        <f t="shared" si="4"/>
        <v>1.6906591729041399E-2</v>
      </c>
      <c r="J30">
        <f t="shared" si="7"/>
        <v>2.8583284389249107E-4</v>
      </c>
      <c r="K30">
        <f t="shared" si="5"/>
        <v>1.6906591729041399E-2</v>
      </c>
      <c r="L30">
        <f t="shared" si="8"/>
        <v>2.8583284389249107E-4</v>
      </c>
      <c r="M30">
        <f t="shared" si="5"/>
        <v>1.6906591729041399E-2</v>
      </c>
    </row>
    <row r="31" spans="1:13">
      <c r="A31" s="20">
        <v>43388</v>
      </c>
      <c r="B31" s="19">
        <v>100.577</v>
      </c>
      <c r="C31">
        <f t="shared" si="0"/>
        <v>-1.8138875112089413E-2</v>
      </c>
      <c r="D31">
        <f t="shared" si="1"/>
        <v>3.2901879033197672E-4</v>
      </c>
      <c r="E31">
        <f t="shared" si="6"/>
        <v>3.3793247881152677E-4</v>
      </c>
      <c r="F31">
        <f t="shared" si="2"/>
        <v>1.8382939884891283E-2</v>
      </c>
      <c r="G31">
        <f t="shared" si="3"/>
        <v>0.29182012381003603</v>
      </c>
      <c r="H31">
        <f t="shared" si="9"/>
        <v>3.3793247881152677E-4</v>
      </c>
      <c r="I31">
        <f t="shared" si="4"/>
        <v>1.8382939884891283E-2</v>
      </c>
      <c r="J31">
        <f t="shared" si="7"/>
        <v>3.3793247881152677E-4</v>
      </c>
      <c r="K31">
        <f t="shared" si="5"/>
        <v>1.8382939884891283E-2</v>
      </c>
      <c r="L31">
        <f t="shared" si="8"/>
        <v>3.3793247881152677E-4</v>
      </c>
      <c r="M31">
        <f t="shared" si="5"/>
        <v>1.8382939884891283E-2</v>
      </c>
    </row>
    <row r="32" spans="1:13">
      <c r="A32" s="20">
        <v>43389</v>
      </c>
      <c r="B32" s="19">
        <v>103.755</v>
      </c>
      <c r="C32">
        <f t="shared" si="0"/>
        <v>3.1108747425053398E-2</v>
      </c>
      <c r="D32">
        <f t="shared" si="1"/>
        <v>9.6775416635576643E-4</v>
      </c>
      <c r="E32">
        <f t="shared" si="6"/>
        <v>3.3739765750275376E-4</v>
      </c>
      <c r="F32">
        <f t="shared" si="2"/>
        <v>1.8368387449712448E-2</v>
      </c>
      <c r="G32">
        <f t="shared" si="3"/>
        <v>0.29158911106331448</v>
      </c>
      <c r="H32">
        <f t="shared" si="9"/>
        <v>3.3739765750275376E-4</v>
      </c>
      <c r="I32">
        <f t="shared" si="4"/>
        <v>1.8368387449712448E-2</v>
      </c>
      <c r="J32">
        <f t="shared" si="7"/>
        <v>3.3739765750275376E-4</v>
      </c>
      <c r="K32">
        <f t="shared" si="5"/>
        <v>1.8368387449712448E-2</v>
      </c>
      <c r="L32">
        <f t="shared" si="8"/>
        <v>3.3739765750275376E-4</v>
      </c>
      <c r="M32">
        <f t="shared" si="5"/>
        <v>1.8368387449712448E-2</v>
      </c>
    </row>
    <row r="33" spans="1:13">
      <c r="A33" s="20">
        <v>43390</v>
      </c>
      <c r="B33" s="19">
        <v>103.48399999999999</v>
      </c>
      <c r="C33">
        <f t="shared" si="0"/>
        <v>-2.6153393373832402E-3</v>
      </c>
      <c r="D33">
        <f t="shared" si="1"/>
        <v>6.8399998496642063E-6</v>
      </c>
      <c r="E33">
        <f t="shared" si="6"/>
        <v>3.7521904803393456E-4</v>
      </c>
      <c r="F33">
        <f t="shared" si="2"/>
        <v>1.9370571701267224E-2</v>
      </c>
      <c r="G33">
        <f t="shared" si="3"/>
        <v>0.30749829284819052</v>
      </c>
      <c r="H33">
        <f t="shared" si="9"/>
        <v>3.7521904803393456E-4</v>
      </c>
      <c r="I33">
        <f t="shared" si="4"/>
        <v>1.9370571701267224E-2</v>
      </c>
      <c r="J33">
        <f t="shared" si="7"/>
        <v>3.7521904803393456E-4</v>
      </c>
      <c r="K33">
        <f t="shared" si="5"/>
        <v>1.9370571701267224E-2</v>
      </c>
      <c r="L33">
        <f t="shared" si="8"/>
        <v>3.7521904803393456E-4</v>
      </c>
      <c r="M33">
        <f t="shared" si="5"/>
        <v>1.9370571701267224E-2</v>
      </c>
    </row>
    <row r="34" spans="1:13">
      <c r="A34" s="20">
        <v>43391</v>
      </c>
      <c r="B34" s="19">
        <v>101.41800000000001</v>
      </c>
      <c r="C34">
        <f t="shared" si="0"/>
        <v>-2.0166421187178672E-2</v>
      </c>
      <c r="D34">
        <f t="shared" si="1"/>
        <v>4.0668454349868886E-4</v>
      </c>
      <c r="E34">
        <f t="shared" si="6"/>
        <v>3.531163051428783E-4</v>
      </c>
      <c r="F34">
        <f t="shared" si="2"/>
        <v>1.8791389122225059E-2</v>
      </c>
      <c r="G34">
        <f t="shared" si="3"/>
        <v>0.29830405444111102</v>
      </c>
      <c r="H34">
        <f t="shared" si="9"/>
        <v>3.531163051428783E-4</v>
      </c>
      <c r="I34">
        <f t="shared" si="4"/>
        <v>1.8791389122225059E-2</v>
      </c>
      <c r="J34">
        <f t="shared" si="7"/>
        <v>3.531163051428783E-4</v>
      </c>
      <c r="K34">
        <f t="shared" si="5"/>
        <v>1.8791389122225059E-2</v>
      </c>
      <c r="L34">
        <f t="shared" si="8"/>
        <v>3.531163051428783E-4</v>
      </c>
      <c r="M34">
        <f t="shared" si="5"/>
        <v>1.8791389122225059E-2</v>
      </c>
    </row>
    <row r="35" spans="1:13">
      <c r="A35" s="20">
        <v>43392</v>
      </c>
      <c r="B35" s="19">
        <v>101.568</v>
      </c>
      <c r="C35">
        <f t="shared" si="0"/>
        <v>1.4779347078481282E-3</v>
      </c>
      <c r="D35">
        <f t="shared" si="1"/>
        <v>2.184291000662132E-6</v>
      </c>
      <c r="E35">
        <f t="shared" si="6"/>
        <v>3.5633039944422691E-4</v>
      </c>
      <c r="F35">
        <f t="shared" si="2"/>
        <v>1.8876715801331198E-2</v>
      </c>
      <c r="G35">
        <f t="shared" si="3"/>
        <v>0.29965857347979419</v>
      </c>
      <c r="H35">
        <f t="shared" si="9"/>
        <v>3.5633039944422691E-4</v>
      </c>
      <c r="I35">
        <f t="shared" si="4"/>
        <v>1.8876715801331198E-2</v>
      </c>
      <c r="J35">
        <f t="shared" si="7"/>
        <v>3.5633039944422691E-4</v>
      </c>
      <c r="K35">
        <f t="shared" si="5"/>
        <v>1.8876715801331198E-2</v>
      </c>
      <c r="L35">
        <f t="shared" si="8"/>
        <v>3.5633039944422691E-4</v>
      </c>
      <c r="M35">
        <f t="shared" si="5"/>
        <v>1.8876715801331198E-2</v>
      </c>
    </row>
    <row r="36" spans="1:13">
      <c r="A36" s="20">
        <v>43395</v>
      </c>
      <c r="B36" s="19">
        <v>102.474</v>
      </c>
      <c r="C36">
        <f t="shared" si="0"/>
        <v>8.8805829611656398E-3</v>
      </c>
      <c r="D36">
        <f t="shared" si="1"/>
        <v>7.8864753730145486E-5</v>
      </c>
      <c r="E36">
        <f t="shared" si="6"/>
        <v>3.3508163293761301E-4</v>
      </c>
      <c r="F36">
        <f t="shared" si="2"/>
        <v>1.8305235123800324E-2</v>
      </c>
      <c r="G36">
        <f t="shared" si="3"/>
        <v>0.29058659896884181</v>
      </c>
      <c r="H36">
        <f t="shared" si="9"/>
        <v>3.3508163293761301E-4</v>
      </c>
      <c r="I36">
        <f t="shared" si="4"/>
        <v>1.8305235123800324E-2</v>
      </c>
      <c r="J36">
        <f t="shared" si="7"/>
        <v>3.3508163293761301E-4</v>
      </c>
      <c r="K36">
        <f t="shared" si="5"/>
        <v>1.8305235123800324E-2</v>
      </c>
      <c r="L36">
        <f t="shared" si="8"/>
        <v>3.3508163293761301E-4</v>
      </c>
      <c r="M36">
        <f t="shared" si="5"/>
        <v>1.8305235123800324E-2</v>
      </c>
    </row>
    <row r="37" spans="1:13">
      <c r="A37" s="20">
        <v>43396</v>
      </c>
      <c r="B37" s="19">
        <v>101.044</v>
      </c>
      <c r="C37">
        <f t="shared" si="0"/>
        <v>-1.4053042324600657E-2</v>
      </c>
      <c r="D37">
        <f t="shared" si="1"/>
        <v>1.9748799857701745E-4</v>
      </c>
      <c r="E37">
        <f t="shared" si="6"/>
        <v>3.1970862018516498E-4</v>
      </c>
      <c r="F37">
        <f t="shared" si="2"/>
        <v>1.788039765176281E-2</v>
      </c>
      <c r="G37">
        <f t="shared" si="3"/>
        <v>0.28384251317704612</v>
      </c>
      <c r="H37">
        <f t="shared" si="9"/>
        <v>3.1970862018516498E-4</v>
      </c>
      <c r="I37">
        <f t="shared" si="4"/>
        <v>1.788039765176281E-2</v>
      </c>
      <c r="J37">
        <f t="shared" si="7"/>
        <v>3.1970862018516498E-4</v>
      </c>
      <c r="K37">
        <f t="shared" si="5"/>
        <v>1.788039765176281E-2</v>
      </c>
      <c r="L37">
        <f t="shared" si="8"/>
        <v>3.1970862018516498E-4</v>
      </c>
      <c r="M37">
        <f t="shared" si="5"/>
        <v>1.788039765176281E-2</v>
      </c>
    </row>
    <row r="38" spans="1:13">
      <c r="A38" s="20">
        <v>43397</v>
      </c>
      <c r="B38" s="19">
        <v>95.641999999999996</v>
      </c>
      <c r="C38">
        <f t="shared" si="0"/>
        <v>-5.4944011416627705E-2</v>
      </c>
      <c r="D38">
        <f t="shared" si="1"/>
        <v>3.0188443905505157E-3</v>
      </c>
      <c r="E38">
        <f t="shared" si="6"/>
        <v>3.1237538288867616E-4</v>
      </c>
      <c r="F38">
        <f t="shared" si="2"/>
        <v>1.7674144474024087E-2</v>
      </c>
      <c r="G38">
        <f t="shared" si="3"/>
        <v>0.28056834548456533</v>
      </c>
      <c r="H38">
        <f t="shared" si="9"/>
        <v>3.1237538288867616E-4</v>
      </c>
      <c r="I38">
        <f t="shared" si="4"/>
        <v>1.7674144474024087E-2</v>
      </c>
      <c r="J38">
        <f t="shared" si="7"/>
        <v>3.1237538288867616E-4</v>
      </c>
      <c r="K38">
        <f t="shared" si="5"/>
        <v>1.7674144474024087E-2</v>
      </c>
      <c r="L38">
        <f t="shared" si="8"/>
        <v>3.1237538288867616E-4</v>
      </c>
      <c r="M38">
        <f t="shared" si="5"/>
        <v>1.7674144474024087E-2</v>
      </c>
    </row>
    <row r="39" spans="1:13">
      <c r="A39" s="20">
        <v>43398</v>
      </c>
      <c r="B39" s="19">
        <v>101.23099999999999</v>
      </c>
      <c r="C39">
        <f t="shared" si="0"/>
        <v>5.6792979932504567E-2</v>
      </c>
      <c r="D39">
        <f t="shared" si="1"/>
        <v>3.2254425696138663E-3</v>
      </c>
      <c r="E39">
        <f t="shared" si="6"/>
        <v>4.7476352334838666E-4</v>
      </c>
      <c r="F39">
        <f t="shared" si="2"/>
        <v>2.1789068895856627E-2</v>
      </c>
      <c r="G39">
        <f t="shared" si="3"/>
        <v>0.34589074558853616</v>
      </c>
      <c r="H39">
        <f t="shared" si="9"/>
        <v>4.7476352334838666E-4</v>
      </c>
      <c r="I39">
        <f t="shared" si="4"/>
        <v>2.1789068895856627E-2</v>
      </c>
      <c r="J39">
        <f t="shared" si="7"/>
        <v>4.7476352334838666E-4</v>
      </c>
      <c r="K39">
        <f t="shared" si="5"/>
        <v>2.1789068895856627E-2</v>
      </c>
      <c r="L39">
        <f t="shared" si="8"/>
        <v>4.7476352334838666E-4</v>
      </c>
      <c r="M39">
        <f t="shared" si="5"/>
        <v>2.1789068895856627E-2</v>
      </c>
    </row>
    <row r="40" spans="1:13">
      <c r="A40" s="20">
        <v>43399</v>
      </c>
      <c r="B40" s="19">
        <v>99.978999999999999</v>
      </c>
      <c r="C40">
        <f t="shared" si="0"/>
        <v>-1.2444870121381821E-2</v>
      </c>
      <c r="D40">
        <f t="shared" si="1"/>
        <v>1.5487479233806199E-4</v>
      </c>
      <c r="E40">
        <f t="shared" si="6"/>
        <v>6.3980426612431562E-4</v>
      </c>
      <c r="F40">
        <f t="shared" si="2"/>
        <v>2.5294352455129496E-2</v>
      </c>
      <c r="G40">
        <f t="shared" si="3"/>
        <v>0.40153539702413227</v>
      </c>
      <c r="H40">
        <f t="shared" si="9"/>
        <v>6.3980426612431562E-4</v>
      </c>
      <c r="I40">
        <f t="shared" si="4"/>
        <v>2.5294352455129496E-2</v>
      </c>
      <c r="J40">
        <f t="shared" si="7"/>
        <v>6.3980426612431562E-4</v>
      </c>
      <c r="K40">
        <f t="shared" si="5"/>
        <v>2.5294352455129496E-2</v>
      </c>
      <c r="L40">
        <f t="shared" si="8"/>
        <v>6.3980426612431562E-4</v>
      </c>
      <c r="M40">
        <f t="shared" si="5"/>
        <v>2.5294352455129496E-2</v>
      </c>
    </row>
    <row r="41" spans="1:13">
      <c r="A41" s="20">
        <v>43402</v>
      </c>
      <c r="B41" s="19">
        <v>97.072000000000003</v>
      </c>
      <c r="C41">
        <f t="shared" si="0"/>
        <v>-2.9507192735061763E-2</v>
      </c>
      <c r="D41">
        <f t="shared" si="1"/>
        <v>8.7067442310408171E-4</v>
      </c>
      <c r="E41">
        <f t="shared" si="6"/>
        <v>6.1070849769714029E-4</v>
      </c>
      <c r="F41">
        <f t="shared" si="2"/>
        <v>2.4712517024721305E-2</v>
      </c>
      <c r="G41">
        <f t="shared" si="3"/>
        <v>0.39229904590717446</v>
      </c>
      <c r="H41">
        <f t="shared" si="9"/>
        <v>6.1070849769714029E-4</v>
      </c>
      <c r="I41">
        <f t="shared" si="4"/>
        <v>2.4712517024721305E-2</v>
      </c>
      <c r="J41">
        <f t="shared" si="7"/>
        <v>6.1070849769714029E-4</v>
      </c>
      <c r="K41">
        <f t="shared" si="5"/>
        <v>2.4712517024721305E-2</v>
      </c>
      <c r="L41">
        <f t="shared" si="8"/>
        <v>6.1070849769714029E-4</v>
      </c>
      <c r="M41">
        <f t="shared" si="5"/>
        <v>2.4712517024721305E-2</v>
      </c>
    </row>
    <row r="42" spans="1:13">
      <c r="A42" s="20">
        <v>43403</v>
      </c>
      <c r="B42" s="19">
        <v>96.96</v>
      </c>
      <c r="C42">
        <f t="shared" si="0"/>
        <v>-1.154448878937742E-3</v>
      </c>
      <c r="D42">
        <f t="shared" si="1"/>
        <v>1.3327522140806092E-6</v>
      </c>
      <c r="E42">
        <f t="shared" si="6"/>
        <v>6.2630645322155672E-4</v>
      </c>
      <c r="F42">
        <f t="shared" si="2"/>
        <v>2.5026115424123592E-2</v>
      </c>
      <c r="G42">
        <f t="shared" si="3"/>
        <v>0.39727726616537262</v>
      </c>
      <c r="H42">
        <f t="shared" si="9"/>
        <v>6.2630645322155672E-4</v>
      </c>
      <c r="I42">
        <f t="shared" si="4"/>
        <v>2.5026115424123592E-2</v>
      </c>
      <c r="J42">
        <f t="shared" si="7"/>
        <v>6.2630645322155672E-4</v>
      </c>
      <c r="K42">
        <f t="shared" si="5"/>
        <v>2.5026115424123592E-2</v>
      </c>
      <c r="L42">
        <f t="shared" si="8"/>
        <v>6.2630645322155672E-4</v>
      </c>
      <c r="M42">
        <f t="shared" si="5"/>
        <v>2.5026115424123592E-2</v>
      </c>
    </row>
    <row r="43" spans="1:13">
      <c r="A43" s="20">
        <v>43404</v>
      </c>
      <c r="B43" s="19">
        <v>99.837999999999994</v>
      </c>
      <c r="C43">
        <f t="shared" si="0"/>
        <v>2.9250350048186907E-2</v>
      </c>
      <c r="D43">
        <f t="shared" si="1"/>
        <v>8.5558297794146785E-4</v>
      </c>
      <c r="E43">
        <f t="shared" si="6"/>
        <v>5.8880803116110811E-4</v>
      </c>
      <c r="F43">
        <f t="shared" si="2"/>
        <v>2.4265366907613578E-2</v>
      </c>
      <c r="G43">
        <f t="shared" si="3"/>
        <v>0.38520075785569174</v>
      </c>
      <c r="H43">
        <f t="shared" si="9"/>
        <v>5.8880803116110811E-4</v>
      </c>
      <c r="I43">
        <f t="shared" si="4"/>
        <v>2.4265366907613578E-2</v>
      </c>
      <c r="J43">
        <f t="shared" si="7"/>
        <v>5.8880803116110811E-4</v>
      </c>
      <c r="K43">
        <f t="shared" si="5"/>
        <v>2.4265366907613578E-2</v>
      </c>
      <c r="L43">
        <f t="shared" si="8"/>
        <v>5.8880803116110811E-4</v>
      </c>
      <c r="M43">
        <f t="shared" si="5"/>
        <v>2.4265366907613578E-2</v>
      </c>
    </row>
    <row r="44" spans="1:13">
      <c r="A44" s="20">
        <v>43405</v>
      </c>
      <c r="B44" s="19">
        <v>99.007000000000005</v>
      </c>
      <c r="C44">
        <f t="shared" si="0"/>
        <v>-8.358317663521235E-3</v>
      </c>
      <c r="D44">
        <f t="shared" si="1"/>
        <v>6.9861474164331077E-5</v>
      </c>
      <c r="E44">
        <f t="shared" si="6"/>
        <v>6.0481452796792975E-4</v>
      </c>
      <c r="F44">
        <f t="shared" si="2"/>
        <v>2.4592977208299317E-2</v>
      </c>
      <c r="G44">
        <f t="shared" si="3"/>
        <v>0.39040141015103708</v>
      </c>
      <c r="H44">
        <f t="shared" si="9"/>
        <v>6.0481452796792975E-4</v>
      </c>
      <c r="I44">
        <f t="shared" si="4"/>
        <v>2.4592977208299317E-2</v>
      </c>
      <c r="J44">
        <f t="shared" si="7"/>
        <v>6.0481452796792975E-4</v>
      </c>
      <c r="K44">
        <f t="shared" si="5"/>
        <v>2.4592977208299317E-2</v>
      </c>
      <c r="L44">
        <f t="shared" si="8"/>
        <v>6.0481452796792975E-4</v>
      </c>
      <c r="M44">
        <f t="shared" si="5"/>
        <v>2.4592977208299317E-2</v>
      </c>
    </row>
    <row r="45" spans="1:13">
      <c r="A45" s="20">
        <v>43406</v>
      </c>
      <c r="B45" s="19">
        <v>99.230999999999995</v>
      </c>
      <c r="C45">
        <f t="shared" si="0"/>
        <v>2.2599107672022127E-3</v>
      </c>
      <c r="D45">
        <f t="shared" si="1"/>
        <v>5.1071966757164941E-6</v>
      </c>
      <c r="E45">
        <f t="shared" si="6"/>
        <v>5.7271734473971381E-4</v>
      </c>
      <c r="F45">
        <f t="shared" si="2"/>
        <v>2.3931513632441091E-2</v>
      </c>
      <c r="G45">
        <f t="shared" si="3"/>
        <v>0.37990100141274685</v>
      </c>
      <c r="H45">
        <f t="shared" si="9"/>
        <v>5.7271734473971381E-4</v>
      </c>
      <c r="I45">
        <f t="shared" si="4"/>
        <v>2.3931513632441091E-2</v>
      </c>
      <c r="J45">
        <f t="shared" si="7"/>
        <v>5.7271734473971381E-4</v>
      </c>
      <c r="K45">
        <f t="shared" si="5"/>
        <v>2.3931513632441091E-2</v>
      </c>
      <c r="L45">
        <f t="shared" si="8"/>
        <v>5.7271734473971381E-4</v>
      </c>
      <c r="M45">
        <f t="shared" si="5"/>
        <v>2.3931513632441091E-2</v>
      </c>
    </row>
    <row r="46" spans="1:13">
      <c r="A46" s="20">
        <v>43409</v>
      </c>
      <c r="B46" s="19">
        <v>100.49299999999999</v>
      </c>
      <c r="C46">
        <f t="shared" si="0"/>
        <v>1.2637607859169394E-2</v>
      </c>
      <c r="D46">
        <f t="shared" si="1"/>
        <v>1.5970913240214004E-4</v>
      </c>
      <c r="E46">
        <f t="shared" si="6"/>
        <v>5.386607358558739E-4</v>
      </c>
      <c r="F46">
        <f t="shared" si="2"/>
        <v>2.3209065811787295E-2</v>
      </c>
      <c r="G46">
        <f t="shared" si="3"/>
        <v>0.36843249780072362</v>
      </c>
      <c r="H46">
        <f t="shared" si="9"/>
        <v>5.386607358558739E-4</v>
      </c>
      <c r="I46">
        <f t="shared" si="4"/>
        <v>2.3209065811787295E-2</v>
      </c>
      <c r="J46">
        <f t="shared" si="7"/>
        <v>5.386607358558739E-4</v>
      </c>
      <c r="K46">
        <f t="shared" si="5"/>
        <v>2.3209065811787295E-2</v>
      </c>
      <c r="L46">
        <f t="shared" si="8"/>
        <v>5.386607358558739E-4</v>
      </c>
      <c r="M46">
        <f t="shared" si="5"/>
        <v>2.3209065811787295E-2</v>
      </c>
    </row>
    <row r="47" spans="1:13">
      <c r="A47" s="20">
        <v>43410</v>
      </c>
      <c r="B47" s="19">
        <v>100.68899999999999</v>
      </c>
      <c r="C47">
        <f t="shared" si="0"/>
        <v>1.9484850733270493E-3</v>
      </c>
      <c r="D47">
        <f t="shared" si="1"/>
        <v>3.7965940809783166E-6</v>
      </c>
      <c r="E47">
        <f t="shared" si="6"/>
        <v>5.1592363964864986E-4</v>
      </c>
      <c r="F47">
        <f t="shared" si="2"/>
        <v>2.2713952532499707E-2</v>
      </c>
      <c r="G47">
        <f t="shared" si="3"/>
        <v>0.36057281815391989</v>
      </c>
      <c r="H47">
        <f t="shared" si="9"/>
        <v>5.1592363964864986E-4</v>
      </c>
      <c r="I47">
        <f t="shared" si="4"/>
        <v>2.2713952532499707E-2</v>
      </c>
      <c r="J47">
        <f t="shared" si="7"/>
        <v>5.1592363964864986E-4</v>
      </c>
      <c r="K47">
        <f t="shared" si="5"/>
        <v>2.2713952532499707E-2</v>
      </c>
      <c r="L47">
        <f t="shared" si="8"/>
        <v>5.1592363964864986E-4</v>
      </c>
      <c r="M47">
        <f t="shared" si="5"/>
        <v>2.2713952532499707E-2</v>
      </c>
    </row>
    <row r="48" spans="1:13">
      <c r="A48" s="20">
        <v>43411</v>
      </c>
      <c r="B48" s="19">
        <v>104.652</v>
      </c>
      <c r="C48">
        <f t="shared" si="0"/>
        <v>3.8604001627480282E-2</v>
      </c>
      <c r="D48">
        <f t="shared" si="1"/>
        <v>1.4902689416545004E-3</v>
      </c>
      <c r="E48">
        <f t="shared" si="6"/>
        <v>4.8519601691458954E-4</v>
      </c>
      <c r="F48">
        <f t="shared" si="2"/>
        <v>2.2027165430771829E-2</v>
      </c>
      <c r="G48">
        <f t="shared" si="3"/>
        <v>0.34967041090500717</v>
      </c>
      <c r="H48">
        <f t="shared" si="9"/>
        <v>4.8519601691458954E-4</v>
      </c>
      <c r="I48">
        <f t="shared" si="4"/>
        <v>2.2027165430771829E-2</v>
      </c>
      <c r="J48">
        <f t="shared" si="7"/>
        <v>4.8519601691458954E-4</v>
      </c>
      <c r="K48">
        <f t="shared" si="5"/>
        <v>2.2027165430771829E-2</v>
      </c>
      <c r="L48">
        <f t="shared" si="8"/>
        <v>4.8519601691458954E-4</v>
      </c>
      <c r="M48">
        <f t="shared" si="5"/>
        <v>2.2027165430771829E-2</v>
      </c>
    </row>
    <row r="49" spans="1:13">
      <c r="A49" s="20">
        <v>43412</v>
      </c>
      <c r="B49" s="19">
        <v>104.456</v>
      </c>
      <c r="C49">
        <f t="shared" si="0"/>
        <v>-1.8746299271114053E-3</v>
      </c>
      <c r="D49">
        <f t="shared" si="1"/>
        <v>3.5142373636217127E-6</v>
      </c>
      <c r="E49">
        <f t="shared" si="6"/>
        <v>5.4550039239898416E-4</v>
      </c>
      <c r="F49">
        <f t="shared" si="2"/>
        <v>2.3355949828662164E-2</v>
      </c>
      <c r="G49">
        <f t="shared" si="3"/>
        <v>0.37076420928205034</v>
      </c>
      <c r="H49">
        <f t="shared" si="9"/>
        <v>5.4550039239898416E-4</v>
      </c>
      <c r="I49">
        <f t="shared" si="4"/>
        <v>2.3355949828662164E-2</v>
      </c>
      <c r="J49">
        <f t="shared" si="7"/>
        <v>5.4550039239898416E-4</v>
      </c>
      <c r="K49">
        <f t="shared" si="5"/>
        <v>2.3355949828662164E-2</v>
      </c>
      <c r="L49">
        <f t="shared" si="8"/>
        <v>5.4550039239898416E-4</v>
      </c>
      <c r="M49">
        <f t="shared" si="5"/>
        <v>2.3355949828662164E-2</v>
      </c>
    </row>
    <row r="50" spans="1:13">
      <c r="A50" s="20">
        <v>43413</v>
      </c>
      <c r="B50" s="19">
        <v>102.41800000000001</v>
      </c>
      <c r="C50">
        <f t="shared" si="0"/>
        <v>-1.97034516980437E-2</v>
      </c>
      <c r="D50">
        <f t="shared" si="1"/>
        <v>3.8822600881714117E-4</v>
      </c>
      <c r="E50">
        <f t="shared" si="6"/>
        <v>5.1298122309686241E-4</v>
      </c>
      <c r="F50">
        <f t="shared" si="2"/>
        <v>2.2649088791756335E-2</v>
      </c>
      <c r="G50">
        <f t="shared" si="3"/>
        <v>0.35954313819124589</v>
      </c>
      <c r="H50">
        <f t="shared" si="9"/>
        <v>5.1298122309686241E-4</v>
      </c>
      <c r="I50">
        <f t="shared" si="4"/>
        <v>2.2649088791756335E-2</v>
      </c>
      <c r="J50">
        <f t="shared" si="7"/>
        <v>5.1298122309686241E-4</v>
      </c>
      <c r="K50">
        <f t="shared" si="5"/>
        <v>2.2649088791756335E-2</v>
      </c>
      <c r="L50">
        <f t="shared" si="8"/>
        <v>5.1298122309686241E-4</v>
      </c>
      <c r="M50">
        <f t="shared" si="5"/>
        <v>2.2649088791756335E-2</v>
      </c>
    </row>
    <row r="51" spans="1:13">
      <c r="A51" s="20">
        <v>43416</v>
      </c>
      <c r="B51" s="19">
        <v>99.894999999999996</v>
      </c>
      <c r="C51">
        <f t="shared" si="0"/>
        <v>-2.4942844055781621E-2</v>
      </c>
      <c r="D51">
        <f t="shared" si="1"/>
        <v>6.2214546959104059E-4</v>
      </c>
      <c r="E51">
        <f t="shared" si="6"/>
        <v>5.0549591024007918E-4</v>
      </c>
      <c r="F51">
        <f t="shared" si="2"/>
        <v>2.2483236204783312E-2</v>
      </c>
      <c r="G51">
        <f t="shared" si="3"/>
        <v>0.35691030999468193</v>
      </c>
      <c r="H51">
        <f t="shared" si="9"/>
        <v>5.0549591024007918E-4</v>
      </c>
      <c r="I51">
        <f t="shared" si="4"/>
        <v>2.2483236204783312E-2</v>
      </c>
      <c r="J51">
        <f t="shared" si="7"/>
        <v>5.0549591024007918E-4</v>
      </c>
      <c r="K51">
        <f t="shared" si="5"/>
        <v>2.2483236204783312E-2</v>
      </c>
      <c r="L51">
        <f t="shared" si="8"/>
        <v>5.0549591024007918E-4</v>
      </c>
      <c r="M51">
        <f t="shared" si="5"/>
        <v>2.2483236204783312E-2</v>
      </c>
    </row>
    <row r="52" spans="1:13">
      <c r="A52" s="20">
        <v>43417</v>
      </c>
      <c r="B52" s="19">
        <v>99.96</v>
      </c>
      <c r="C52">
        <f t="shared" si="0"/>
        <v>6.5047161483941681E-4</v>
      </c>
      <c r="D52">
        <f t="shared" si="1"/>
        <v>4.2311332171179859E-7</v>
      </c>
      <c r="E52">
        <f t="shared" si="6"/>
        <v>5.1249488380113693E-4</v>
      </c>
      <c r="F52">
        <f t="shared" si="2"/>
        <v>2.2638349847131901E-2</v>
      </c>
      <c r="G52">
        <f t="shared" si="3"/>
        <v>0.35937266273032864</v>
      </c>
      <c r="H52">
        <f t="shared" si="9"/>
        <v>5.1249488380113693E-4</v>
      </c>
      <c r="I52">
        <f t="shared" si="4"/>
        <v>2.2638349847131901E-2</v>
      </c>
      <c r="J52">
        <f t="shared" si="7"/>
        <v>5.1249488380113693E-4</v>
      </c>
      <c r="K52">
        <f t="shared" si="5"/>
        <v>2.2638349847131901E-2</v>
      </c>
      <c r="L52">
        <f t="shared" si="8"/>
        <v>5.1249488380113693E-4</v>
      </c>
      <c r="M52">
        <f t="shared" si="5"/>
        <v>2.2638349847131901E-2</v>
      </c>
    </row>
    <row r="53" spans="1:13">
      <c r="A53" s="20">
        <v>43418</v>
      </c>
      <c r="B53" s="19">
        <v>98.549000000000007</v>
      </c>
      <c r="C53">
        <f t="shared" si="0"/>
        <v>-1.4216219552939587E-2</v>
      </c>
      <c r="D53">
        <f t="shared" si="1"/>
        <v>2.0210089837738182E-4</v>
      </c>
      <c r="E53">
        <f t="shared" si="6"/>
        <v>4.817705775723714E-4</v>
      </c>
      <c r="F53">
        <f t="shared" si="2"/>
        <v>2.1949272825594279E-2</v>
      </c>
      <c r="G53">
        <f t="shared" si="3"/>
        <v>0.34843390413138275</v>
      </c>
      <c r="H53">
        <f t="shared" si="9"/>
        <v>4.817705775723714E-4</v>
      </c>
      <c r="I53">
        <f t="shared" si="4"/>
        <v>2.1949272825594279E-2</v>
      </c>
      <c r="J53">
        <f t="shared" si="7"/>
        <v>4.817705775723714E-4</v>
      </c>
      <c r="K53">
        <f t="shared" si="5"/>
        <v>2.1949272825594279E-2</v>
      </c>
      <c r="L53">
        <f t="shared" si="8"/>
        <v>4.817705775723714E-4</v>
      </c>
      <c r="M53">
        <f t="shared" si="5"/>
        <v>2.1949272825594279E-2</v>
      </c>
    </row>
    <row r="54" spans="1:13">
      <c r="A54" s="20">
        <v>43419</v>
      </c>
      <c r="B54" s="19">
        <v>100.717</v>
      </c>
      <c r="C54">
        <f t="shared" si="0"/>
        <v>2.1760717334599007E-2</v>
      </c>
      <c r="D54">
        <f t="shared" si="1"/>
        <v>4.735288189163177E-4</v>
      </c>
      <c r="E54">
        <f t="shared" si="6"/>
        <v>4.64990396820672E-4</v>
      </c>
      <c r="F54">
        <f t="shared" si="2"/>
        <v>2.156363598330931E-2</v>
      </c>
      <c r="G54">
        <f t="shared" si="3"/>
        <v>0.34231210904496118</v>
      </c>
      <c r="H54">
        <f t="shared" si="9"/>
        <v>4.64990396820672E-4</v>
      </c>
      <c r="I54">
        <f t="shared" si="4"/>
        <v>2.156363598330931E-2</v>
      </c>
      <c r="J54">
        <f t="shared" si="7"/>
        <v>4.64990396820672E-4</v>
      </c>
      <c r="K54">
        <f t="shared" si="5"/>
        <v>2.156363598330931E-2</v>
      </c>
      <c r="L54">
        <f t="shared" si="8"/>
        <v>4.64990396820672E-4</v>
      </c>
      <c r="M54">
        <f t="shared" si="5"/>
        <v>2.156363598330931E-2</v>
      </c>
    </row>
    <row r="55" spans="1:13">
      <c r="A55" s="20">
        <v>43420</v>
      </c>
      <c r="B55" s="19">
        <v>101.66500000000001</v>
      </c>
      <c r="C55">
        <f t="shared" si="0"/>
        <v>9.3684906138940052E-3</v>
      </c>
      <c r="D55">
        <f t="shared" si="1"/>
        <v>8.7768616382620079E-5</v>
      </c>
      <c r="E55">
        <f t="shared" si="6"/>
        <v>4.655027021464108E-4</v>
      </c>
      <c r="F55">
        <f t="shared" si="2"/>
        <v>2.1575511631162093E-2</v>
      </c>
      <c r="G55">
        <f t="shared" si="3"/>
        <v>0.34250062911021861</v>
      </c>
      <c r="H55">
        <f t="shared" si="9"/>
        <v>4.655027021464108E-4</v>
      </c>
      <c r="I55">
        <f t="shared" si="4"/>
        <v>2.1575511631162093E-2</v>
      </c>
      <c r="J55">
        <f t="shared" si="7"/>
        <v>4.655027021464108E-4</v>
      </c>
      <c r="K55">
        <f t="shared" si="5"/>
        <v>2.1575511631162093E-2</v>
      </c>
      <c r="L55">
        <f t="shared" si="8"/>
        <v>4.655027021464108E-4</v>
      </c>
      <c r="M55">
        <f t="shared" si="5"/>
        <v>2.1575511631162093E-2</v>
      </c>
    </row>
    <row r="56" spans="1:13">
      <c r="A56" s="20">
        <v>43423</v>
      </c>
      <c r="B56" s="19">
        <v>98.22</v>
      </c>
      <c r="C56">
        <f t="shared" si="0"/>
        <v>-3.4473233751206547E-2</v>
      </c>
      <c r="D56">
        <f t="shared" si="1"/>
        <v>1.1884038452653263E-3</v>
      </c>
      <c r="E56">
        <f t="shared" si="6"/>
        <v>4.4283865700058331E-4</v>
      </c>
      <c r="F56">
        <f t="shared" si="2"/>
        <v>2.1043732012183184E-2</v>
      </c>
      <c r="G56">
        <f t="shared" si="3"/>
        <v>0.33405888936555334</v>
      </c>
      <c r="H56">
        <f t="shared" si="9"/>
        <v>4.4283865700058331E-4</v>
      </c>
      <c r="I56">
        <f t="shared" si="4"/>
        <v>2.1043732012183184E-2</v>
      </c>
      <c r="J56">
        <f t="shared" si="7"/>
        <v>4.4283865700058331E-4</v>
      </c>
      <c r="K56">
        <f t="shared" si="5"/>
        <v>2.1043732012183184E-2</v>
      </c>
      <c r="L56">
        <f t="shared" si="8"/>
        <v>4.4283865700058331E-4</v>
      </c>
      <c r="M56">
        <f t="shared" si="5"/>
        <v>2.1043732012183184E-2</v>
      </c>
    </row>
    <row r="57" spans="1:13">
      <c r="A57" s="20">
        <v>43424</v>
      </c>
      <c r="B57" s="19">
        <v>95.488</v>
      </c>
      <c r="C57">
        <f t="shared" si="0"/>
        <v>-2.820927546985762E-2</v>
      </c>
      <c r="D57">
        <f t="shared" si="1"/>
        <v>7.9576322253431086E-4</v>
      </c>
      <c r="E57">
        <f t="shared" si="6"/>
        <v>4.8757256829646791E-4</v>
      </c>
      <c r="F57">
        <f t="shared" si="2"/>
        <v>2.2081045452977718E-2</v>
      </c>
      <c r="G57">
        <f t="shared" si="3"/>
        <v>0.35052572974135571</v>
      </c>
      <c r="H57">
        <f t="shared" si="9"/>
        <v>4.8757256829646791E-4</v>
      </c>
      <c r="I57">
        <f t="shared" si="4"/>
        <v>2.2081045452977718E-2</v>
      </c>
      <c r="J57">
        <f t="shared" si="7"/>
        <v>4.8757256829646791E-4</v>
      </c>
      <c r="K57">
        <f t="shared" si="5"/>
        <v>2.2081045452977718E-2</v>
      </c>
      <c r="L57">
        <f t="shared" si="8"/>
        <v>4.8757256829646791E-4</v>
      </c>
      <c r="M57">
        <f t="shared" si="5"/>
        <v>2.2081045452977718E-2</v>
      </c>
    </row>
    <row r="58" spans="1:13">
      <c r="A58" s="20">
        <v>43425</v>
      </c>
      <c r="B58" s="19">
        <v>96.802000000000007</v>
      </c>
      <c r="C58">
        <f t="shared" si="0"/>
        <v>1.3667070084876394E-2</v>
      </c>
      <c r="D58">
        <f t="shared" si="1"/>
        <v>1.8678880470492324E-4</v>
      </c>
      <c r="E58">
        <f t="shared" si="6"/>
        <v>5.0606400755073854E-4</v>
      </c>
      <c r="F58">
        <f t="shared" si="2"/>
        <v>2.2495866454767609E-2</v>
      </c>
      <c r="G58">
        <f t="shared" si="3"/>
        <v>0.3571108089974121</v>
      </c>
      <c r="H58">
        <f t="shared" si="9"/>
        <v>5.0606400755073854E-4</v>
      </c>
      <c r="I58">
        <f t="shared" si="4"/>
        <v>2.2495866454767609E-2</v>
      </c>
      <c r="J58">
        <f t="shared" si="7"/>
        <v>5.0606400755073854E-4</v>
      </c>
      <c r="K58">
        <f t="shared" si="5"/>
        <v>2.2495866454767609E-2</v>
      </c>
      <c r="L58">
        <f t="shared" si="8"/>
        <v>5.0606400755073854E-4</v>
      </c>
      <c r="M58">
        <f t="shared" si="5"/>
        <v>2.2495866454767609E-2</v>
      </c>
    </row>
    <row r="59" spans="1:13">
      <c r="A59" s="20">
        <v>43427</v>
      </c>
      <c r="B59" s="19">
        <v>96.765000000000001</v>
      </c>
      <c r="C59">
        <f t="shared" si="0"/>
        <v>-3.8229657380274437E-4</v>
      </c>
      <c r="D59">
        <f t="shared" si="1"/>
        <v>1.4615067034131718E-7</v>
      </c>
      <c r="E59">
        <f t="shared" si="6"/>
        <v>4.869074953799896E-4</v>
      </c>
      <c r="F59">
        <f t="shared" si="2"/>
        <v>2.2065980498948819E-2</v>
      </c>
      <c r="G59">
        <f t="shared" si="3"/>
        <v>0.35028658101011717</v>
      </c>
      <c r="H59">
        <f t="shared" si="9"/>
        <v>4.869074953799896E-4</v>
      </c>
      <c r="I59">
        <f t="shared" si="4"/>
        <v>2.2065980498948819E-2</v>
      </c>
      <c r="J59">
        <f t="shared" si="7"/>
        <v>4.869074953799896E-4</v>
      </c>
      <c r="K59">
        <f t="shared" si="5"/>
        <v>2.2065980498948819E-2</v>
      </c>
      <c r="L59">
        <f t="shared" si="8"/>
        <v>4.869074953799896E-4</v>
      </c>
      <c r="M59">
        <f t="shared" si="5"/>
        <v>2.2065980498948819E-2</v>
      </c>
    </row>
    <row r="60" spans="1:13">
      <c r="A60" s="20">
        <v>43430</v>
      </c>
      <c r="B60" s="19">
        <v>99.956999999999994</v>
      </c>
      <c r="C60">
        <f t="shared" si="0"/>
        <v>3.2454734859265706E-2</v>
      </c>
      <c r="D60">
        <f t="shared" si="1"/>
        <v>1.0533098147852366E-3</v>
      </c>
      <c r="E60">
        <f t="shared" si="6"/>
        <v>4.5770181469741064E-4</v>
      </c>
      <c r="F60">
        <f t="shared" si="2"/>
        <v>2.139396678265652E-2</v>
      </c>
      <c r="G60">
        <f t="shared" si="3"/>
        <v>0.33961869398451472</v>
      </c>
      <c r="H60">
        <f t="shared" si="9"/>
        <v>4.5770181469741064E-4</v>
      </c>
      <c r="I60">
        <f t="shared" si="4"/>
        <v>2.139396678265652E-2</v>
      </c>
      <c r="J60">
        <f t="shared" si="7"/>
        <v>4.5770181469741064E-4</v>
      </c>
      <c r="K60">
        <f t="shared" si="5"/>
        <v>2.139396678265652E-2</v>
      </c>
      <c r="L60">
        <f t="shared" si="8"/>
        <v>4.5770181469741064E-4</v>
      </c>
      <c r="M60">
        <f t="shared" si="5"/>
        <v>2.139396678265652E-2</v>
      </c>
    </row>
    <row r="61" spans="1:13">
      <c r="A61" s="20">
        <v>43431</v>
      </c>
      <c r="B61" s="19">
        <v>100.586</v>
      </c>
      <c r="C61">
        <f t="shared" si="0"/>
        <v>6.2729894597695615E-3</v>
      </c>
      <c r="D61">
        <f t="shared" si="1"/>
        <v>3.9350396762380018E-5</v>
      </c>
      <c r="E61">
        <f t="shared" si="6"/>
        <v>4.9343829470268024E-4</v>
      </c>
      <c r="F61">
        <f t="shared" si="2"/>
        <v>2.2213471018791283E-2</v>
      </c>
      <c r="G61">
        <f t="shared" si="3"/>
        <v>0.35262792042757396</v>
      </c>
      <c r="H61">
        <f t="shared" si="9"/>
        <v>4.9343829470268024E-4</v>
      </c>
      <c r="I61">
        <f t="shared" si="4"/>
        <v>2.2213471018791283E-2</v>
      </c>
      <c r="J61">
        <f t="shared" si="7"/>
        <v>4.9343829470268024E-4</v>
      </c>
      <c r="K61">
        <f t="shared" si="5"/>
        <v>2.2213471018791283E-2</v>
      </c>
      <c r="L61">
        <f t="shared" si="8"/>
        <v>4.9343829470268024E-4</v>
      </c>
      <c r="M61">
        <f t="shared" si="5"/>
        <v>2.2213471018791283E-2</v>
      </c>
    </row>
    <row r="62" spans="1:13">
      <c r="A62" s="20">
        <v>43432</v>
      </c>
      <c r="B62" s="19">
        <v>104.322</v>
      </c>
      <c r="C62">
        <f t="shared" si="0"/>
        <v>3.6469186802357847E-2</v>
      </c>
      <c r="D62">
        <f t="shared" si="1"/>
        <v>1.3300015860252719E-3</v>
      </c>
      <c r="E62">
        <f t="shared" si="6"/>
        <v>4.6619302082626221E-4</v>
      </c>
      <c r="F62">
        <f t="shared" si="2"/>
        <v>2.1591503440619001E-2</v>
      </c>
      <c r="G62">
        <f t="shared" si="3"/>
        <v>0.34275449121524004</v>
      </c>
      <c r="H62">
        <f t="shared" si="9"/>
        <v>4.6619302082626221E-4</v>
      </c>
      <c r="I62">
        <f t="shared" si="4"/>
        <v>2.1591503440619001E-2</v>
      </c>
      <c r="J62">
        <f t="shared" si="7"/>
        <v>4.6619302082626221E-4</v>
      </c>
      <c r="K62">
        <f t="shared" si="5"/>
        <v>2.1591503440619001E-2</v>
      </c>
      <c r="L62">
        <f t="shared" si="8"/>
        <v>4.6619302082626221E-4</v>
      </c>
      <c r="M62">
        <f t="shared" si="5"/>
        <v>2.1591503440619001E-2</v>
      </c>
    </row>
    <row r="63" spans="1:13">
      <c r="A63" s="20">
        <v>43433</v>
      </c>
      <c r="B63" s="19">
        <v>103.449</v>
      </c>
      <c r="C63">
        <f t="shared" si="0"/>
        <v>-8.4035321344349614E-3</v>
      </c>
      <c r="D63">
        <f t="shared" si="1"/>
        <v>7.0619352334481018E-5</v>
      </c>
      <c r="E63">
        <f t="shared" si="6"/>
        <v>5.1802153473820285E-4</v>
      </c>
      <c r="F63">
        <f t="shared" si="2"/>
        <v>2.2760086439603054E-2</v>
      </c>
      <c r="G63">
        <f t="shared" si="3"/>
        <v>0.36130517122513917</v>
      </c>
      <c r="H63">
        <f t="shared" si="9"/>
        <v>5.1802153473820285E-4</v>
      </c>
      <c r="I63">
        <f t="shared" si="4"/>
        <v>2.2760086439603054E-2</v>
      </c>
      <c r="J63">
        <f t="shared" si="7"/>
        <v>5.1802153473820285E-4</v>
      </c>
      <c r="K63">
        <f t="shared" si="5"/>
        <v>2.2760086439603054E-2</v>
      </c>
      <c r="L63">
        <f t="shared" si="8"/>
        <v>5.1802153473820285E-4</v>
      </c>
      <c r="M63">
        <f t="shared" si="5"/>
        <v>2.2760086439603054E-2</v>
      </c>
    </row>
    <row r="64" spans="1:13">
      <c r="A64" s="20">
        <v>43434</v>
      </c>
      <c r="B64" s="19">
        <v>104.10599999999999</v>
      </c>
      <c r="C64">
        <f t="shared" si="0"/>
        <v>6.3308732083168767E-3</v>
      </c>
      <c r="D64">
        <f t="shared" si="1"/>
        <v>4.0079955579784423E-5</v>
      </c>
      <c r="E64">
        <f t="shared" si="6"/>
        <v>4.9117740379397946E-4</v>
      </c>
      <c r="F64">
        <f t="shared" si="2"/>
        <v>2.2162522505210898E-2</v>
      </c>
      <c r="G64">
        <f t="shared" si="3"/>
        <v>0.35181913784796137</v>
      </c>
      <c r="H64">
        <f t="shared" si="9"/>
        <v>4.9117740379397946E-4</v>
      </c>
      <c r="I64">
        <f t="shared" si="4"/>
        <v>2.2162522505210898E-2</v>
      </c>
      <c r="J64">
        <f t="shared" si="7"/>
        <v>4.9117740379397946E-4</v>
      </c>
      <c r="K64">
        <f t="shared" si="5"/>
        <v>2.2162522505210898E-2</v>
      </c>
      <c r="L64">
        <f t="shared" si="8"/>
        <v>4.9117740379397946E-4</v>
      </c>
      <c r="M64">
        <f t="shared" si="5"/>
        <v>2.2162522505210898E-2</v>
      </c>
    </row>
    <row r="65" spans="1:13">
      <c r="A65" s="20">
        <v>43437</v>
      </c>
      <c r="B65" s="19">
        <v>105.233</v>
      </c>
      <c r="C65">
        <f t="shared" si="0"/>
        <v>1.0767328479086787E-2</v>
      </c>
      <c r="D65">
        <f t="shared" si="1"/>
        <v>1.1593536257655338E-4</v>
      </c>
      <c r="E65">
        <f t="shared" si="6"/>
        <v>4.6411155690112771E-4</v>
      </c>
      <c r="F65">
        <f t="shared" si="2"/>
        <v>2.1543248522475151E-2</v>
      </c>
      <c r="G65">
        <f t="shared" si="3"/>
        <v>0.34198846813757361</v>
      </c>
      <c r="H65">
        <f t="shared" si="9"/>
        <v>4.6411155690112771E-4</v>
      </c>
      <c r="I65">
        <f t="shared" si="4"/>
        <v>2.1543248522475151E-2</v>
      </c>
      <c r="J65">
        <f t="shared" si="7"/>
        <v>4.6411155690112771E-4</v>
      </c>
      <c r="K65">
        <f t="shared" si="5"/>
        <v>2.1543248522475151E-2</v>
      </c>
      <c r="L65">
        <f t="shared" si="8"/>
        <v>4.6411155690112771E-4</v>
      </c>
      <c r="M65">
        <f t="shared" si="5"/>
        <v>2.1543248522475151E-2</v>
      </c>
    </row>
    <row r="66" spans="1:13">
      <c r="A66" s="20">
        <v>43438</v>
      </c>
      <c r="B66" s="19">
        <v>101.881</v>
      </c>
      <c r="C66">
        <f t="shared" si="0"/>
        <v>-3.2371473794412159E-2</v>
      </c>
      <c r="D66">
        <f t="shared" si="1"/>
        <v>1.0479123156223132E-3</v>
      </c>
      <c r="E66">
        <f t="shared" si="6"/>
        <v>4.4322098524165321E-4</v>
      </c>
      <c r="F66">
        <f t="shared" si="2"/>
        <v>2.1052814188170978E-2</v>
      </c>
      <c r="G66">
        <f t="shared" si="3"/>
        <v>0.33420306443971548</v>
      </c>
      <c r="H66">
        <f t="shared" si="9"/>
        <v>4.4322098524165321E-4</v>
      </c>
      <c r="I66">
        <f t="shared" si="4"/>
        <v>2.1052814188170978E-2</v>
      </c>
      <c r="J66">
        <f t="shared" si="7"/>
        <v>4.4322098524165321E-4</v>
      </c>
      <c r="K66">
        <f t="shared" si="5"/>
        <v>2.1052814188170978E-2</v>
      </c>
      <c r="L66">
        <f t="shared" si="8"/>
        <v>4.4322098524165321E-4</v>
      </c>
      <c r="M66">
        <f t="shared" si="5"/>
        <v>2.1052814188170978E-2</v>
      </c>
    </row>
    <row r="67" spans="1:13">
      <c r="A67" s="20">
        <v>43440</v>
      </c>
      <c r="B67" s="19">
        <v>102.51</v>
      </c>
      <c r="C67">
        <f t="shared" si="0"/>
        <v>6.154889263045916E-3</v>
      </c>
      <c r="D67">
        <f t="shared" si="1"/>
        <v>3.7882661840357896E-5</v>
      </c>
      <c r="E67">
        <f t="shared" si="6"/>
        <v>4.7950246506449286E-4</v>
      </c>
      <c r="F67">
        <f t="shared" si="2"/>
        <v>2.1897544726852205E-2</v>
      </c>
      <c r="G67">
        <f t="shared" si="3"/>
        <v>0.34761274602098841</v>
      </c>
      <c r="H67">
        <f t="shared" si="9"/>
        <v>4.7950246506449286E-4</v>
      </c>
      <c r="I67">
        <f t="shared" si="4"/>
        <v>2.1897544726852205E-2</v>
      </c>
      <c r="J67">
        <f t="shared" si="7"/>
        <v>4.7950246506449286E-4</v>
      </c>
      <c r="K67">
        <f t="shared" si="5"/>
        <v>2.1897544726852205E-2</v>
      </c>
      <c r="L67">
        <f t="shared" si="8"/>
        <v>4.7950246506449286E-4</v>
      </c>
      <c r="M67">
        <f t="shared" si="5"/>
        <v>2.1897544726852205E-2</v>
      </c>
    </row>
    <row r="68" spans="1:13">
      <c r="A68" s="20">
        <v>43441</v>
      </c>
      <c r="B68" s="19">
        <v>98.408000000000001</v>
      </c>
      <c r="C68">
        <f t="shared" ref="C68:C83" si="10">LN(B68/B67)</f>
        <v>-4.0838253228826338E-2</v>
      </c>
      <c r="D68">
        <f t="shared" ref="D68:D83" si="11">C68^2</f>
        <v>1.6677629267817448E-3</v>
      </c>
      <c r="E68">
        <f t="shared" si="6"/>
        <v>4.5300527687104473E-4</v>
      </c>
      <c r="F68">
        <f t="shared" si="2"/>
        <v>2.1283920617946421E-2</v>
      </c>
      <c r="G68">
        <f t="shared" si="3"/>
        <v>0.33787176527715851</v>
      </c>
      <c r="H68">
        <f t="shared" si="9"/>
        <v>4.5300527687104473E-4</v>
      </c>
      <c r="I68">
        <f t="shared" si="4"/>
        <v>2.1283920617946421E-2</v>
      </c>
      <c r="J68">
        <f t="shared" si="7"/>
        <v>4.5300527687104473E-4</v>
      </c>
      <c r="K68">
        <f t="shared" si="5"/>
        <v>2.1283920617946421E-2</v>
      </c>
      <c r="L68">
        <f t="shared" si="8"/>
        <v>4.5300527687104473E-4</v>
      </c>
      <c r="M68">
        <f t="shared" si="5"/>
        <v>2.1283920617946421E-2</v>
      </c>
    </row>
    <row r="69" spans="1:13">
      <c r="A69" s="20">
        <v>43444</v>
      </c>
      <c r="B69" s="19">
        <v>101.008</v>
      </c>
      <c r="C69">
        <f t="shared" si="10"/>
        <v>2.6077620058785896E-2</v>
      </c>
      <c r="D69">
        <f t="shared" si="11"/>
        <v>6.8004226793039245E-4</v>
      </c>
      <c r="E69">
        <f t="shared" si="6"/>
        <v>5.2589073586568685E-4</v>
      </c>
      <c r="F69">
        <f t="shared" si="2"/>
        <v>2.2932307687315006E-2</v>
      </c>
      <c r="G69">
        <f t="shared" si="3"/>
        <v>0.3640390987767016</v>
      </c>
      <c r="H69">
        <f t="shared" si="9"/>
        <v>5.2589073586568685E-4</v>
      </c>
      <c r="I69">
        <f t="shared" si="4"/>
        <v>2.2932307687315006E-2</v>
      </c>
      <c r="J69">
        <f t="shared" si="7"/>
        <v>5.2589073586568685E-4</v>
      </c>
      <c r="K69">
        <f t="shared" si="5"/>
        <v>2.2932307687315006E-2</v>
      </c>
      <c r="L69">
        <f t="shared" si="8"/>
        <v>5.2589073586568685E-4</v>
      </c>
      <c r="M69">
        <f t="shared" si="5"/>
        <v>2.2932307687315006E-2</v>
      </c>
    </row>
    <row r="70" spans="1:13">
      <c r="A70" s="20">
        <v>43445</v>
      </c>
      <c r="B70" s="19">
        <v>101.947</v>
      </c>
      <c r="C70">
        <f t="shared" si="10"/>
        <v>9.2533487729270798E-3</v>
      </c>
      <c r="D70">
        <f t="shared" si="11"/>
        <v>8.5624463513431093E-5</v>
      </c>
      <c r="E70">
        <f t="shared" si="6"/>
        <v>5.3513982778956911E-4</v>
      </c>
      <c r="F70">
        <f t="shared" si="2"/>
        <v>2.3133089456221993E-2</v>
      </c>
      <c r="G70">
        <f t="shared" si="3"/>
        <v>0.36722641054664279</v>
      </c>
      <c r="H70">
        <f t="shared" si="9"/>
        <v>5.3513982778956911E-4</v>
      </c>
      <c r="I70">
        <f t="shared" si="4"/>
        <v>2.3133089456221993E-2</v>
      </c>
      <c r="J70">
        <f t="shared" si="7"/>
        <v>5.3513982778956911E-4</v>
      </c>
      <c r="K70">
        <f t="shared" si="5"/>
        <v>2.3133089456221993E-2</v>
      </c>
      <c r="L70">
        <f t="shared" si="8"/>
        <v>5.3513982778956911E-4</v>
      </c>
      <c r="M70">
        <f t="shared" si="5"/>
        <v>2.3133089456221993E-2</v>
      </c>
    </row>
    <row r="71" spans="1:13">
      <c r="A71" s="20">
        <v>43446</v>
      </c>
      <c r="B71" s="19">
        <v>102.407</v>
      </c>
      <c r="C71">
        <f t="shared" si="10"/>
        <v>4.5019992458149392E-3</v>
      </c>
      <c r="D71">
        <f t="shared" si="11"/>
        <v>2.0267997209318282E-5</v>
      </c>
      <c r="E71">
        <f t="shared" si="6"/>
        <v>5.0816890593300074E-4</v>
      </c>
      <c r="F71">
        <f t="shared" si="2"/>
        <v>2.2542602022237821E-2</v>
      </c>
      <c r="G71">
        <f t="shared" si="3"/>
        <v>0.35785271313085804</v>
      </c>
      <c r="H71">
        <f t="shared" si="9"/>
        <v>5.0816890593300074E-4</v>
      </c>
      <c r="I71">
        <f t="shared" si="4"/>
        <v>2.2542602022237821E-2</v>
      </c>
      <c r="J71">
        <f t="shared" si="7"/>
        <v>5.0816890593300074E-4</v>
      </c>
      <c r="K71">
        <f t="shared" si="5"/>
        <v>2.2542602022237821E-2</v>
      </c>
      <c r="L71">
        <f t="shared" si="8"/>
        <v>5.0816890593300074E-4</v>
      </c>
      <c r="M71">
        <f t="shared" si="5"/>
        <v>2.2542602022237821E-2</v>
      </c>
    </row>
    <row r="72" spans="1:13">
      <c r="A72" s="20">
        <v>43447</v>
      </c>
      <c r="B72" s="19">
        <v>102.755</v>
      </c>
      <c r="C72">
        <f t="shared" si="10"/>
        <v>3.3924443488717909E-3</v>
      </c>
      <c r="D72">
        <f t="shared" si="11"/>
        <v>1.150867866019215E-5</v>
      </c>
      <c r="E72">
        <f t="shared" si="6"/>
        <v>4.7889485140957977E-4</v>
      </c>
      <c r="F72">
        <f t="shared" si="2"/>
        <v>2.1883666315532683E-2</v>
      </c>
      <c r="G72">
        <f t="shared" si="3"/>
        <v>0.34739243307132373</v>
      </c>
      <c r="H72">
        <f t="shared" si="9"/>
        <v>4.7889485140957977E-4</v>
      </c>
      <c r="I72">
        <f t="shared" si="4"/>
        <v>2.1883666315532683E-2</v>
      </c>
      <c r="J72">
        <f t="shared" si="7"/>
        <v>4.7889485140957977E-4</v>
      </c>
      <c r="K72">
        <f t="shared" si="5"/>
        <v>2.1883666315532683E-2</v>
      </c>
      <c r="L72">
        <f t="shared" si="8"/>
        <v>4.7889485140957977E-4</v>
      </c>
      <c r="M72">
        <f t="shared" si="5"/>
        <v>2.1883666315532683E-2</v>
      </c>
    </row>
    <row r="73" spans="1:13">
      <c r="A73" s="20">
        <v>43448</v>
      </c>
      <c r="B73" s="19">
        <v>99.543999999999997</v>
      </c>
      <c r="C73">
        <f t="shared" si="10"/>
        <v>-3.1747756519553506E-2</v>
      </c>
      <c r="D73">
        <f t="shared" si="11"/>
        <v>1.0079200440248522E-3</v>
      </c>
      <c r="E73">
        <f t="shared" si="6"/>
        <v>4.5085168104461653E-4</v>
      </c>
      <c r="F73">
        <f t="shared" si="2"/>
        <v>2.1233268261024174E-2</v>
      </c>
      <c r="G73">
        <f t="shared" si="3"/>
        <v>0.33706768403874521</v>
      </c>
      <c r="H73">
        <f t="shared" si="9"/>
        <v>4.5085168104461653E-4</v>
      </c>
      <c r="I73">
        <f t="shared" si="4"/>
        <v>2.1233268261024174E-2</v>
      </c>
      <c r="J73">
        <f t="shared" si="7"/>
        <v>4.5085168104461653E-4</v>
      </c>
      <c r="K73">
        <f t="shared" si="5"/>
        <v>2.1233268261024174E-2</v>
      </c>
      <c r="L73">
        <f t="shared" si="8"/>
        <v>4.5085168104461653E-4</v>
      </c>
      <c r="M73">
        <f t="shared" si="5"/>
        <v>2.1233268261024174E-2</v>
      </c>
    </row>
    <row r="74" spans="1:13">
      <c r="A74" s="20">
        <v>43451</v>
      </c>
      <c r="B74" s="19">
        <v>96.596000000000004</v>
      </c>
      <c r="C74">
        <f t="shared" si="10"/>
        <v>-3.0062424979681916E-2</v>
      </c>
      <c r="D74">
        <f t="shared" si="11"/>
        <v>9.0374939565900331E-4</v>
      </c>
      <c r="E74">
        <f t="shared" si="6"/>
        <v>4.8427578282343069E-4</v>
      </c>
      <c r="F74">
        <f t="shared" si="2"/>
        <v>2.2006266898850217E-2</v>
      </c>
      <c r="G74">
        <f t="shared" si="3"/>
        <v>0.34933865699562161</v>
      </c>
      <c r="H74">
        <f t="shared" si="9"/>
        <v>4.8427578282343069E-4</v>
      </c>
      <c r="I74">
        <f t="shared" si="4"/>
        <v>2.2006266898850217E-2</v>
      </c>
      <c r="J74">
        <f t="shared" si="7"/>
        <v>4.8427578282343069E-4</v>
      </c>
      <c r="K74">
        <f t="shared" si="5"/>
        <v>2.2006266898850217E-2</v>
      </c>
      <c r="L74">
        <f t="shared" si="8"/>
        <v>4.8427578282343069E-4</v>
      </c>
      <c r="M74">
        <f t="shared" si="5"/>
        <v>2.2006266898850217E-2</v>
      </c>
    </row>
    <row r="75" spans="1:13">
      <c r="A75" s="20">
        <v>43452</v>
      </c>
      <c r="B75" s="19">
        <v>97.61</v>
      </c>
      <c r="C75">
        <f t="shared" si="10"/>
        <v>1.0442614693225539E-2</v>
      </c>
      <c r="D75">
        <f t="shared" si="11"/>
        <v>1.0904820163116992E-4</v>
      </c>
      <c r="E75">
        <f t="shared" si="6"/>
        <v>5.0944419959356505E-4</v>
      </c>
      <c r="F75">
        <f t="shared" si="2"/>
        <v>2.2570870598928278E-2</v>
      </c>
      <c r="G75">
        <f t="shared" si="3"/>
        <v>0.3583014628739023</v>
      </c>
      <c r="H75">
        <f t="shared" si="9"/>
        <v>5.0944419959356505E-4</v>
      </c>
      <c r="I75">
        <f t="shared" si="4"/>
        <v>2.2570870598928278E-2</v>
      </c>
      <c r="J75">
        <f t="shared" si="7"/>
        <v>5.0944419959356505E-4</v>
      </c>
      <c r="K75">
        <f t="shared" si="5"/>
        <v>2.2570870598928278E-2</v>
      </c>
      <c r="L75">
        <f t="shared" si="8"/>
        <v>5.0944419959356505E-4</v>
      </c>
      <c r="M75">
        <f t="shared" si="5"/>
        <v>2.2570870598928278E-2</v>
      </c>
    </row>
    <row r="76" spans="1:13">
      <c r="A76" s="20">
        <v>43453</v>
      </c>
      <c r="B76" s="19">
        <v>97.346999999999994</v>
      </c>
      <c r="C76">
        <f t="shared" si="10"/>
        <v>-2.6980324844936383E-3</v>
      </c>
      <c r="D76">
        <f t="shared" si="11"/>
        <v>7.2793792873829149E-6</v>
      </c>
      <c r="E76">
        <f t="shared" si="6"/>
        <v>4.8542043971582129E-4</v>
      </c>
      <c r="F76">
        <f t="shared" si="2"/>
        <v>2.2032259069732756E-2</v>
      </c>
      <c r="G76">
        <f t="shared" si="3"/>
        <v>0.34975126991676098</v>
      </c>
      <c r="H76">
        <f t="shared" si="9"/>
        <v>4.8542043971582129E-4</v>
      </c>
      <c r="I76">
        <f t="shared" si="4"/>
        <v>2.2032259069732756E-2</v>
      </c>
      <c r="J76">
        <f t="shared" si="7"/>
        <v>4.8542043971582129E-4</v>
      </c>
      <c r="K76">
        <f t="shared" si="5"/>
        <v>2.2032259069732756E-2</v>
      </c>
      <c r="L76">
        <f t="shared" si="8"/>
        <v>4.8542043971582129E-4</v>
      </c>
      <c r="M76">
        <f t="shared" si="5"/>
        <v>2.2032259069732756E-2</v>
      </c>
    </row>
    <row r="77" spans="1:13">
      <c r="A77" s="20">
        <v>43454</v>
      </c>
      <c r="B77" s="19">
        <v>95.3</v>
      </c>
      <c r="C77">
        <f t="shared" si="10"/>
        <v>-2.1252104042223687E-2</v>
      </c>
      <c r="D77">
        <f t="shared" si="11"/>
        <v>4.5165192622150039E-4</v>
      </c>
      <c r="E77">
        <f t="shared" si="6"/>
        <v>4.5673197609011497E-4</v>
      </c>
      <c r="F77">
        <f t="shared" ref="F77:F83" si="12">SQRT(E77)</f>
        <v>2.1371288592177004E-2</v>
      </c>
      <c r="G77">
        <f t="shared" ref="G77:G83" si="13">F77*SQRT(252)</f>
        <v>0.33925868887135224</v>
      </c>
      <c r="H77">
        <f t="shared" si="9"/>
        <v>4.5673197609011497E-4</v>
      </c>
      <c r="I77">
        <f t="shared" ref="I77:I83" si="14">SQRT(H77)</f>
        <v>2.1371288592177004E-2</v>
      </c>
      <c r="J77">
        <f t="shared" si="7"/>
        <v>4.5673197609011497E-4</v>
      </c>
      <c r="K77">
        <f t="shared" ref="K77:M83" si="15">SQRT(J77)</f>
        <v>2.1371288592177004E-2</v>
      </c>
      <c r="L77">
        <f t="shared" si="8"/>
        <v>4.5673197609011497E-4</v>
      </c>
      <c r="M77">
        <f t="shared" si="15"/>
        <v>2.1371288592177004E-2</v>
      </c>
    </row>
    <row r="78" spans="1:13">
      <c r="A78" s="20">
        <v>43455</v>
      </c>
      <c r="B78" s="19">
        <v>92.221000000000004</v>
      </c>
      <c r="C78">
        <f t="shared" si="10"/>
        <v>-3.2841940305602287E-2</v>
      </c>
      <c r="D78">
        <f t="shared" si="11"/>
        <v>1.078593043036744E-3</v>
      </c>
      <c r="E78">
        <f t="shared" ref="E78:E83" si="16">$E$2*E77+(1-$E$2)*D77</f>
        <v>4.5642717309799809E-4</v>
      </c>
      <c r="F78">
        <f t="shared" si="12"/>
        <v>2.1364156269274903E-2</v>
      </c>
      <c r="G78">
        <f t="shared" si="13"/>
        <v>0.33914546675533724</v>
      </c>
      <c r="H78">
        <f t="shared" si="9"/>
        <v>4.5642717309799809E-4</v>
      </c>
      <c r="I78">
        <f t="shared" si="14"/>
        <v>2.1364156269274903E-2</v>
      </c>
      <c r="J78">
        <f t="shared" ref="J78:J83" si="17">$E$2*J77+(1-$E$2)*D77</f>
        <v>4.5642717309799809E-4</v>
      </c>
      <c r="K78">
        <f t="shared" si="15"/>
        <v>2.1364156269274903E-2</v>
      </c>
      <c r="L78">
        <f t="shared" ref="L78:L83" si="18">$E$2*L77+(1-$E$2)*D77</f>
        <v>4.5642717309799809E-4</v>
      </c>
      <c r="M78">
        <f t="shared" si="15"/>
        <v>2.1364156269274903E-2</v>
      </c>
    </row>
    <row r="79" spans="1:13">
      <c r="A79" s="20">
        <v>43458</v>
      </c>
      <c r="B79" s="19">
        <v>88.372</v>
      </c>
      <c r="C79">
        <f t="shared" si="10"/>
        <v>-4.263269296577242E-2</v>
      </c>
      <c r="D79">
        <f t="shared" si="11"/>
        <v>1.8175465095138213E-3</v>
      </c>
      <c r="E79">
        <f t="shared" si="16"/>
        <v>4.9375712529432293E-4</v>
      </c>
      <c r="F79">
        <f t="shared" si="12"/>
        <v>2.2220646374359207E-2</v>
      </c>
      <c r="G79">
        <f t="shared" si="13"/>
        <v>0.35274182566598111</v>
      </c>
      <c r="H79">
        <f t="shared" ref="H79:H83" si="19">$E$2*H78+(1-$E$2)*D78</f>
        <v>4.9375712529432293E-4</v>
      </c>
      <c r="I79">
        <f t="shared" si="14"/>
        <v>2.2220646374359207E-2</v>
      </c>
      <c r="J79">
        <f t="shared" si="17"/>
        <v>4.9375712529432293E-4</v>
      </c>
      <c r="K79">
        <f t="shared" si="15"/>
        <v>2.2220646374359207E-2</v>
      </c>
      <c r="L79">
        <f t="shared" si="18"/>
        <v>4.9375712529432293E-4</v>
      </c>
      <c r="M79">
        <f t="shared" si="15"/>
        <v>2.2220646374359207E-2</v>
      </c>
    </row>
    <row r="80" spans="1:13">
      <c r="A80" s="20">
        <v>43460</v>
      </c>
      <c r="B80" s="19">
        <v>94.408000000000001</v>
      </c>
      <c r="C80">
        <f t="shared" si="10"/>
        <v>6.6070637934665943E-2</v>
      </c>
      <c r="D80">
        <f t="shared" si="11"/>
        <v>4.3653291970937183E-3</v>
      </c>
      <c r="E80">
        <f t="shared" si="16"/>
        <v>5.7318448834749289E-4</v>
      </c>
      <c r="F80">
        <f t="shared" si="12"/>
        <v>2.3941271652681544E-2</v>
      </c>
      <c r="G80">
        <f t="shared" si="13"/>
        <v>0.38005590518181431</v>
      </c>
      <c r="H80">
        <f t="shared" si="19"/>
        <v>5.7318448834749289E-4</v>
      </c>
      <c r="I80">
        <f t="shared" si="14"/>
        <v>2.3941271652681544E-2</v>
      </c>
      <c r="J80">
        <f t="shared" si="17"/>
        <v>5.7318448834749289E-4</v>
      </c>
      <c r="K80">
        <f t="shared" si="15"/>
        <v>2.3941271652681544E-2</v>
      </c>
      <c r="L80">
        <f t="shared" si="18"/>
        <v>5.7318448834749289E-4</v>
      </c>
      <c r="M80">
        <f t="shared" si="15"/>
        <v>2.3941271652681544E-2</v>
      </c>
    </row>
    <row r="81" spans="1:13">
      <c r="A81" s="20">
        <v>43461</v>
      </c>
      <c r="B81" s="19">
        <v>94.99</v>
      </c>
      <c r="C81">
        <f t="shared" si="10"/>
        <v>6.1458075786435E-3</v>
      </c>
      <c r="D81">
        <f t="shared" si="11"/>
        <v>3.7770950793711882E-5</v>
      </c>
      <c r="E81">
        <f t="shared" si="16"/>
        <v>8.0071317087226663E-4</v>
      </c>
      <c r="F81">
        <f t="shared" si="12"/>
        <v>2.8296875637996974E-2</v>
      </c>
      <c r="G81">
        <f t="shared" si="13"/>
        <v>0.449198974909573</v>
      </c>
      <c r="H81">
        <f t="shared" si="19"/>
        <v>8.0071317087226663E-4</v>
      </c>
      <c r="I81">
        <f t="shared" si="14"/>
        <v>2.8296875637996974E-2</v>
      </c>
      <c r="J81">
        <f t="shared" si="17"/>
        <v>8.0071317087226663E-4</v>
      </c>
      <c r="K81">
        <f t="shared" si="15"/>
        <v>2.8296875637996974E-2</v>
      </c>
      <c r="L81">
        <f t="shared" si="18"/>
        <v>8.0071317087226663E-4</v>
      </c>
      <c r="M81">
        <f t="shared" si="15"/>
        <v>2.8296875637996974E-2</v>
      </c>
    </row>
    <row r="82" spans="1:13">
      <c r="A82" s="20">
        <v>43462</v>
      </c>
      <c r="B82" s="19">
        <v>94.248999999999995</v>
      </c>
      <c r="C82">
        <f t="shared" si="10"/>
        <v>-7.831406709833769E-3</v>
      </c>
      <c r="D82">
        <f t="shared" si="11"/>
        <v>6.1330931054829382E-5</v>
      </c>
      <c r="E82">
        <f t="shared" si="16"/>
        <v>7.5493663766755331E-4</v>
      </c>
      <c r="F82">
        <f t="shared" si="12"/>
        <v>2.7476110308185059E-2</v>
      </c>
      <c r="G82">
        <f t="shared" si="13"/>
        <v>0.43616972922501562</v>
      </c>
      <c r="H82">
        <f t="shared" si="19"/>
        <v>7.5493663766755331E-4</v>
      </c>
      <c r="I82">
        <f t="shared" si="14"/>
        <v>2.7476110308185059E-2</v>
      </c>
      <c r="J82">
        <f t="shared" si="17"/>
        <v>7.5493663766755331E-4</v>
      </c>
      <c r="K82">
        <f t="shared" si="15"/>
        <v>2.7476110308185059E-2</v>
      </c>
      <c r="L82">
        <f t="shared" si="18"/>
        <v>7.5493663766755331E-4</v>
      </c>
      <c r="M82">
        <f t="shared" si="15"/>
        <v>2.7476110308185059E-2</v>
      </c>
    </row>
    <row r="83" spans="1:13">
      <c r="A83" s="20">
        <v>43465</v>
      </c>
      <c r="B83" s="19">
        <v>95.356999999999999</v>
      </c>
      <c r="C83">
        <f t="shared" si="10"/>
        <v>1.1687526898370954E-2</v>
      </c>
      <c r="D83">
        <f t="shared" si="11"/>
        <v>1.3659828500014459E-4</v>
      </c>
      <c r="E83">
        <f t="shared" si="16"/>
        <v>7.1332029527078984E-4</v>
      </c>
      <c r="F83">
        <f t="shared" si="12"/>
        <v>2.6708056748307053E-2</v>
      </c>
      <c r="G83">
        <f t="shared" si="13"/>
        <v>0.42397725694692523</v>
      </c>
      <c r="H83">
        <f t="shared" si="19"/>
        <v>7.1332029527078984E-4</v>
      </c>
      <c r="I83">
        <f t="shared" si="14"/>
        <v>2.6708056748307053E-2</v>
      </c>
      <c r="J83">
        <f t="shared" si="17"/>
        <v>7.1332029527078984E-4</v>
      </c>
      <c r="K83">
        <f t="shared" si="15"/>
        <v>2.6708056748307053E-2</v>
      </c>
      <c r="L83">
        <f t="shared" si="18"/>
        <v>7.1332029527078984E-4</v>
      </c>
      <c r="M83">
        <f t="shared" si="15"/>
        <v>2.6708056748307053E-2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CC9-1664-4232-9120-87210ABA4D13}">
  <sheetPr>
    <tabColor theme="4" tint="-0.249977111117893"/>
  </sheetPr>
  <dimension ref="A1"/>
  <sheetViews>
    <sheetView topLeftCell="A40" workbookViewId="0">
      <selection activeCell="P56" sqref="P56"/>
    </sheetView>
  </sheetViews>
  <sheetFormatPr defaultRowHeight="12.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4260-1959-405F-A87E-F04665238AB0}">
  <sheetPr>
    <tabColor theme="4" tint="-0.249977111117893"/>
  </sheetPr>
  <dimension ref="A1:G83"/>
  <sheetViews>
    <sheetView workbookViewId="0">
      <selection sqref="A1:E1048576"/>
    </sheetView>
  </sheetViews>
  <sheetFormatPr defaultColWidth="18.81640625" defaultRowHeight="12.5"/>
  <cols>
    <col min="7" max="7" width="20" bestFit="1" customWidth="1"/>
  </cols>
  <sheetData>
    <row r="1" spans="1:7" ht="14">
      <c r="A1" s="52" t="s">
        <v>140</v>
      </c>
      <c r="B1" s="52" t="s">
        <v>141</v>
      </c>
      <c r="C1" s="52" t="s">
        <v>142</v>
      </c>
      <c r="D1" s="53" t="s">
        <v>151</v>
      </c>
      <c r="E1" s="53" t="s">
        <v>152</v>
      </c>
      <c r="G1" s="54" t="s">
        <v>153</v>
      </c>
    </row>
    <row r="2" spans="1:7">
      <c r="A2" s="20">
        <v>43347</v>
      </c>
      <c r="B2" s="19">
        <v>104.419</v>
      </c>
      <c r="F2" s="27" t="s">
        <v>147</v>
      </c>
      <c r="G2">
        <f t="shared" ref="G2:G33" si="0">(-0.5*LN(2*PI()))-(0.5*LN($F$9))-(0.5*E3/$F$9)</f>
        <v>2.0104101816298336</v>
      </c>
    </row>
    <row r="3" spans="1:7">
      <c r="A3" s="20">
        <v>43348</v>
      </c>
      <c r="B3" s="19">
        <v>101.40900000000001</v>
      </c>
      <c r="C3">
        <f>LN(B3/B2)</f>
        <v>-2.92498066122788E-2</v>
      </c>
      <c r="D3">
        <f t="shared" ref="D3:D34" si="1">C3-$F$7</f>
        <v>-2.92498066122788E-2</v>
      </c>
      <c r="E3">
        <f>D3^2</f>
        <v>8.5555118685570861E-4</v>
      </c>
      <c r="F3" s="27" t="s">
        <v>148</v>
      </c>
      <c r="G3">
        <f t="shared" si="0"/>
        <v>2.8967870899377988</v>
      </c>
    </row>
    <row r="4" spans="1:7">
      <c r="A4" s="20">
        <v>43349</v>
      </c>
      <c r="B4" s="19">
        <v>101.643</v>
      </c>
      <c r="C4">
        <f t="shared" ref="C4:C67" si="2">LN(B4/B3)</f>
        <v>2.3048293401555487E-3</v>
      </c>
      <c r="D4">
        <f t="shared" si="1"/>
        <v>2.3048293401555487E-3</v>
      </c>
      <c r="E4">
        <f t="shared" ref="E4:E67" si="3">D4^2</f>
        <v>5.312238287241862E-6</v>
      </c>
      <c r="F4" s="27" t="s">
        <v>149</v>
      </c>
      <c r="G4">
        <f t="shared" si="0"/>
        <v>2.8773786261534333</v>
      </c>
    </row>
    <row r="5" spans="1:7">
      <c r="A5" s="20">
        <v>43350</v>
      </c>
      <c r="B5" s="19">
        <v>101.14700000000001</v>
      </c>
      <c r="C5">
        <f t="shared" si="2"/>
        <v>-4.8917697034559626E-3</v>
      </c>
      <c r="D5">
        <f t="shared" si="1"/>
        <v>-4.8917697034559626E-3</v>
      </c>
      <c r="E5">
        <f t="shared" si="3"/>
        <v>2.3929410831649635E-5</v>
      </c>
      <c r="F5" s="27" t="s">
        <v>150</v>
      </c>
      <c r="G5">
        <f t="shared" si="0"/>
        <v>2.7816744290758915</v>
      </c>
    </row>
    <row r="6" spans="1:7">
      <c r="A6" s="20">
        <v>43353</v>
      </c>
      <c r="B6" s="19">
        <v>102.241</v>
      </c>
      <c r="C6">
        <f t="shared" si="2"/>
        <v>1.0757867237532654E-2</v>
      </c>
      <c r="D6">
        <f t="shared" si="1"/>
        <v>1.0757867237532654E-2</v>
      </c>
      <c r="E6">
        <f t="shared" si="3"/>
        <v>1.1573170750037845E-4</v>
      </c>
      <c r="G6">
        <f t="shared" si="0"/>
        <v>2.6061176682030824</v>
      </c>
    </row>
    <row r="7" spans="1:7">
      <c r="A7" s="20">
        <v>43354</v>
      </c>
      <c r="B7" s="19">
        <v>103.979</v>
      </c>
      <c r="C7">
        <f t="shared" si="2"/>
        <v>1.6856184186180182E-2</v>
      </c>
      <c r="D7">
        <f t="shared" si="1"/>
        <v>1.6856184186180182E-2</v>
      </c>
      <c r="E7">
        <f t="shared" si="3"/>
        <v>2.8413094531843085E-4</v>
      </c>
      <c r="F7">
        <v>0</v>
      </c>
      <c r="G7">
        <f t="shared" si="0"/>
        <v>2.883736075132874</v>
      </c>
    </row>
    <row r="8" spans="1:7">
      <c r="A8" s="20">
        <v>43355</v>
      </c>
      <c r="B8" s="19">
        <v>104.419</v>
      </c>
      <c r="C8">
        <f t="shared" si="2"/>
        <v>4.2226955518664139E-3</v>
      </c>
      <c r="D8">
        <f t="shared" si="1"/>
        <v>4.2226955518664139E-3</v>
      </c>
      <c r="E8">
        <f t="shared" si="3"/>
        <v>1.78311577237524E-5</v>
      </c>
      <c r="F8">
        <v>1.0000000000000001E-5</v>
      </c>
      <c r="G8">
        <f t="shared" si="0"/>
        <v>2.7834508312156099</v>
      </c>
    </row>
    <row r="9" spans="1:7">
      <c r="A9" s="20">
        <v>43356</v>
      </c>
      <c r="B9" s="19">
        <v>105.54</v>
      </c>
      <c r="C9">
        <f t="shared" si="2"/>
        <v>1.0678376750415206E-2</v>
      </c>
      <c r="D9">
        <f t="shared" si="1"/>
        <v>1.0678376750415206E-2</v>
      </c>
      <c r="E9">
        <f t="shared" si="3"/>
        <v>1.14027730023808E-4</v>
      </c>
      <c r="F9">
        <v>4.7961478948696696E-4</v>
      </c>
      <c r="G9">
        <f t="shared" si="0"/>
        <v>2.8850900190966233</v>
      </c>
    </row>
    <row r="10" spans="1:7">
      <c r="A10" s="20">
        <v>43357</v>
      </c>
      <c r="B10" s="19">
        <v>105.97</v>
      </c>
      <c r="C10">
        <f t="shared" si="2"/>
        <v>4.0660072092227016E-3</v>
      </c>
      <c r="D10">
        <f t="shared" si="1"/>
        <v>4.0660072092227016E-3</v>
      </c>
      <c r="E10">
        <f t="shared" si="3"/>
        <v>1.6532414625450981E-5</v>
      </c>
      <c r="F10">
        <f>SUM(G2:G83)</f>
        <v>196.99065765625519</v>
      </c>
      <c r="G10">
        <f t="shared" si="0"/>
        <v>2.7784220762328244</v>
      </c>
    </row>
    <row r="11" spans="1:7">
      <c r="A11" s="20">
        <v>43360</v>
      </c>
      <c r="B11" s="19">
        <v>104.821</v>
      </c>
      <c r="C11">
        <f t="shared" si="2"/>
        <v>-1.0901901694140728E-2</v>
      </c>
      <c r="D11">
        <f t="shared" si="1"/>
        <v>-1.0901901694140728E-2</v>
      </c>
      <c r="E11">
        <f t="shared" si="3"/>
        <v>1.1885146054870847E-4</v>
      </c>
      <c r="G11">
        <f t="shared" si="0"/>
        <v>2.8083410963303139</v>
      </c>
    </row>
    <row r="12" spans="1:7">
      <c r="A12" s="20">
        <v>43361</v>
      </c>
      <c r="B12" s="19">
        <v>105.821</v>
      </c>
      <c r="C12">
        <f t="shared" si="2"/>
        <v>9.4948539481806028E-3</v>
      </c>
      <c r="D12">
        <f t="shared" si="1"/>
        <v>9.4948539481806028E-3</v>
      </c>
      <c r="E12">
        <f t="shared" si="3"/>
        <v>9.0152251497280778E-5</v>
      </c>
      <c r="G12">
        <f t="shared" si="0"/>
        <v>2.7142070508232843</v>
      </c>
    </row>
    <row r="13" spans="1:7">
      <c r="A13" s="20">
        <v>43362</v>
      </c>
      <c r="B13" s="19">
        <v>104.40900000000001</v>
      </c>
      <c r="C13">
        <f t="shared" si="2"/>
        <v>-1.3433108811295395E-2</v>
      </c>
      <c r="D13">
        <f t="shared" si="1"/>
        <v>-1.3433108811295395E-2</v>
      </c>
      <c r="E13">
        <f t="shared" si="3"/>
        <v>1.8044841233610197E-4</v>
      </c>
      <c r="G13">
        <f t="shared" si="0"/>
        <v>2.614940348791055</v>
      </c>
    </row>
    <row r="14" spans="1:7">
      <c r="A14" s="20">
        <v>43363</v>
      </c>
      <c r="B14" s="19">
        <v>106.157</v>
      </c>
      <c r="C14">
        <f t="shared" si="2"/>
        <v>1.6603251763814469E-2</v>
      </c>
      <c r="D14">
        <f t="shared" si="1"/>
        <v>1.6603251763814469E-2</v>
      </c>
      <c r="E14">
        <f t="shared" si="3"/>
        <v>2.7566796913260831E-4</v>
      </c>
      <c r="G14">
        <f t="shared" si="0"/>
        <v>2.8640719382839843</v>
      </c>
    </row>
    <row r="15" spans="1:7">
      <c r="A15" s="20">
        <v>43364</v>
      </c>
      <c r="B15" s="19">
        <v>106.80200000000001</v>
      </c>
      <c r="C15">
        <f t="shared" si="2"/>
        <v>6.0575225492109095E-3</v>
      </c>
      <c r="D15">
        <f t="shared" si="1"/>
        <v>6.0575225492109095E-3</v>
      </c>
      <c r="E15">
        <f t="shared" si="3"/>
        <v>3.6693579434198636E-5</v>
      </c>
      <c r="G15">
        <f t="shared" si="0"/>
        <v>2.8889665103899826</v>
      </c>
    </row>
    <row r="16" spans="1:7">
      <c r="A16" s="20">
        <v>43367</v>
      </c>
      <c r="B16" s="19">
        <v>107.185</v>
      </c>
      <c r="C16">
        <f t="shared" si="2"/>
        <v>3.5796605305846449E-3</v>
      </c>
      <c r="D16">
        <f t="shared" si="1"/>
        <v>3.5796605305846449E-3</v>
      </c>
      <c r="E16">
        <f t="shared" si="3"/>
        <v>1.2813969514225542E-5</v>
      </c>
      <c r="G16">
        <f t="shared" si="0"/>
        <v>2.8985043676374862</v>
      </c>
    </row>
    <row r="17" spans="1:7">
      <c r="A17" s="20">
        <v>43368</v>
      </c>
      <c r="B17" s="19">
        <v>106.98</v>
      </c>
      <c r="C17">
        <f t="shared" si="2"/>
        <v>-1.9144123699949131E-3</v>
      </c>
      <c r="D17">
        <f t="shared" si="1"/>
        <v>-1.9144123699949131E-3</v>
      </c>
      <c r="E17">
        <f t="shared" si="3"/>
        <v>3.6649747223895399E-6</v>
      </c>
      <c r="G17">
        <f t="shared" si="0"/>
        <v>2.8846977871349107</v>
      </c>
    </row>
    <row r="18" spans="1:7">
      <c r="A18" s="20">
        <v>43369</v>
      </c>
      <c r="B18" s="19">
        <v>106.541</v>
      </c>
      <c r="C18">
        <f t="shared" si="2"/>
        <v>-4.1120135122521958E-3</v>
      </c>
      <c r="D18">
        <f t="shared" si="1"/>
        <v>-4.1120135122521958E-3</v>
      </c>
      <c r="E18">
        <f t="shared" si="3"/>
        <v>1.6908655124944641E-5</v>
      </c>
      <c r="G18">
        <f t="shared" si="0"/>
        <v>2.887612137334385</v>
      </c>
    </row>
    <row r="19" spans="1:7">
      <c r="A19" s="20">
        <v>43370</v>
      </c>
      <c r="B19" s="19">
        <v>106.94199999999999</v>
      </c>
      <c r="C19">
        <f t="shared" si="2"/>
        <v>3.756743830782235E-3</v>
      </c>
      <c r="D19">
        <f t="shared" si="1"/>
        <v>3.756743830782235E-3</v>
      </c>
      <c r="E19">
        <f t="shared" si="3"/>
        <v>1.4113124210120381E-5</v>
      </c>
      <c r="G19">
        <f t="shared" si="0"/>
        <v>2.9022002813926151</v>
      </c>
    </row>
    <row r="20" spans="1:7">
      <c r="A20" s="20">
        <v>43371</v>
      </c>
      <c r="B20" s="19">
        <v>106.905</v>
      </c>
      <c r="C20">
        <f t="shared" si="2"/>
        <v>-3.4604179969052772E-4</v>
      </c>
      <c r="D20">
        <f t="shared" si="1"/>
        <v>-3.4604179969052772E-4</v>
      </c>
      <c r="E20">
        <f t="shared" si="3"/>
        <v>1.1974492713305931E-7</v>
      </c>
      <c r="G20">
        <f t="shared" si="0"/>
        <v>2.7811088099447248</v>
      </c>
    </row>
    <row r="21" spans="1:7">
      <c r="A21" s="20">
        <v>43374</v>
      </c>
      <c r="B21" s="19">
        <v>108.06399999999999</v>
      </c>
      <c r="C21">
        <f t="shared" si="2"/>
        <v>1.0783054581213397E-2</v>
      </c>
      <c r="D21">
        <f t="shared" si="1"/>
        <v>1.0783054581213397E-2</v>
      </c>
      <c r="E21">
        <f t="shared" si="3"/>
        <v>1.1627426610142723E-4</v>
      </c>
      <c r="G21">
        <f t="shared" si="0"/>
        <v>2.8857527980216662</v>
      </c>
    </row>
    <row r="22" spans="1:7">
      <c r="A22" s="20">
        <v>43375</v>
      </c>
      <c r="B22" s="19">
        <v>107.634</v>
      </c>
      <c r="C22">
        <f t="shared" si="2"/>
        <v>-3.9870612581485729E-3</v>
      </c>
      <c r="D22">
        <f t="shared" si="1"/>
        <v>-3.9870612581485729E-3</v>
      </c>
      <c r="E22">
        <f t="shared" si="3"/>
        <v>1.5896657476229281E-5</v>
      </c>
      <c r="G22">
        <f t="shared" si="0"/>
        <v>2.9022926363975747</v>
      </c>
    </row>
    <row r="23" spans="1:7">
      <c r="A23" s="20">
        <v>43376</v>
      </c>
      <c r="B23" s="19">
        <v>107.65300000000001</v>
      </c>
      <c r="C23">
        <f t="shared" si="2"/>
        <v>1.7650856809127763E-4</v>
      </c>
      <c r="D23">
        <f t="shared" si="1"/>
        <v>1.7650856809127763E-4</v>
      </c>
      <c r="E23">
        <f t="shared" si="3"/>
        <v>3.1155274609633195E-8</v>
      </c>
      <c r="G23">
        <f t="shared" si="0"/>
        <v>2.4476098049140145</v>
      </c>
    </row>
    <row r="24" spans="1:7">
      <c r="A24" s="20">
        <v>43377</v>
      </c>
      <c r="B24" s="19">
        <v>105.428</v>
      </c>
      <c r="C24">
        <f t="shared" si="2"/>
        <v>-2.088483603682972E-2</v>
      </c>
      <c r="D24">
        <f t="shared" si="1"/>
        <v>-2.088483603682972E-2</v>
      </c>
      <c r="E24">
        <f t="shared" si="3"/>
        <v>4.3617637628526134E-4</v>
      </c>
      <c r="G24">
        <f t="shared" si="0"/>
        <v>2.8664094695323632</v>
      </c>
    </row>
    <row r="25" spans="1:7">
      <c r="A25" s="20">
        <v>43378</v>
      </c>
      <c r="B25" s="19">
        <v>104.81100000000001</v>
      </c>
      <c r="C25">
        <f t="shared" si="2"/>
        <v>-5.8695272653747892E-3</v>
      </c>
      <c r="D25">
        <f t="shared" si="1"/>
        <v>-5.8695272653747892E-3</v>
      </c>
      <c r="E25">
        <f t="shared" si="3"/>
        <v>3.4451350318978049E-5</v>
      </c>
      <c r="G25">
        <f t="shared" si="0"/>
        <v>2.7650140512993606</v>
      </c>
    </row>
    <row r="26" spans="1:7">
      <c r="A26" s="20">
        <v>43381</v>
      </c>
      <c r="B26" s="19">
        <v>103.61499999999999</v>
      </c>
      <c r="C26">
        <f t="shared" si="2"/>
        <v>-1.1476621221444359E-2</v>
      </c>
      <c r="D26">
        <f t="shared" si="1"/>
        <v>-1.1476621221444359E-2</v>
      </c>
      <c r="E26">
        <f t="shared" si="3"/>
        <v>1.31712834660507E-4</v>
      </c>
      <c r="G26">
        <f t="shared" si="0"/>
        <v>2.735766249871344</v>
      </c>
    </row>
    <row r="27" spans="1:7">
      <c r="A27" s="20">
        <v>43382</v>
      </c>
      <c r="B27" s="19">
        <v>104.93300000000001</v>
      </c>
      <c r="C27">
        <f t="shared" si="2"/>
        <v>1.263994426056605E-2</v>
      </c>
      <c r="D27">
        <f t="shared" si="1"/>
        <v>1.263994426056605E-2</v>
      </c>
      <c r="E27">
        <f t="shared" si="3"/>
        <v>1.5976819091021664E-4</v>
      </c>
      <c r="G27">
        <f t="shared" si="0"/>
        <v>-0.35198872689955252</v>
      </c>
    </row>
    <row r="28" spans="1:7">
      <c r="A28" s="20">
        <v>43383</v>
      </c>
      <c r="B28" s="19">
        <v>99.230999999999995</v>
      </c>
      <c r="C28">
        <f t="shared" si="2"/>
        <v>-5.5871585777144656E-2</v>
      </c>
      <c r="D28">
        <f t="shared" si="1"/>
        <v>-5.5871585777144656E-2</v>
      </c>
      <c r="E28">
        <f t="shared" si="3"/>
        <v>3.1216340972528328E-3</v>
      </c>
      <c r="G28">
        <f t="shared" si="0"/>
        <v>2.8965142674252005</v>
      </c>
    </row>
    <row r="29" spans="1:7">
      <c r="A29" s="20">
        <v>43384</v>
      </c>
      <c r="B29" s="19">
        <v>98.997</v>
      </c>
      <c r="C29">
        <f t="shared" si="2"/>
        <v>-2.3609188277313549E-3</v>
      </c>
      <c r="D29">
        <f t="shared" si="1"/>
        <v>-2.3609188277313549E-3</v>
      </c>
      <c r="E29">
        <f t="shared" si="3"/>
        <v>5.5739377111363945E-6</v>
      </c>
      <c r="G29">
        <f t="shared" si="0"/>
        <v>1.6991094125201147</v>
      </c>
    </row>
    <row r="30" spans="1:7">
      <c r="A30" s="20">
        <v>43385</v>
      </c>
      <c r="B30" s="19">
        <v>102.41800000000001</v>
      </c>
      <c r="C30">
        <f t="shared" si="2"/>
        <v>3.3972931762553053E-2</v>
      </c>
      <c r="D30">
        <f t="shared" si="1"/>
        <v>3.3972931762553053E-2</v>
      </c>
      <c r="E30">
        <f t="shared" si="3"/>
        <v>1.154160092543086E-3</v>
      </c>
      <c r="G30">
        <f t="shared" si="0"/>
        <v>2.5593219417185411</v>
      </c>
    </row>
    <row r="31" spans="1:7">
      <c r="A31" s="20">
        <v>43388</v>
      </c>
      <c r="B31" s="19">
        <v>100.577</v>
      </c>
      <c r="C31">
        <f t="shared" si="2"/>
        <v>-1.8138875112089413E-2</v>
      </c>
      <c r="D31">
        <f t="shared" si="1"/>
        <v>-1.8138875112089413E-2</v>
      </c>
      <c r="E31">
        <f t="shared" si="3"/>
        <v>3.2901879033197672E-4</v>
      </c>
      <c r="G31">
        <f t="shared" si="0"/>
        <v>1.8934382054110865</v>
      </c>
    </row>
    <row r="32" spans="1:7">
      <c r="A32" s="20">
        <v>43389</v>
      </c>
      <c r="B32" s="19">
        <v>103.755</v>
      </c>
      <c r="C32">
        <f t="shared" si="2"/>
        <v>3.1108747425053398E-2</v>
      </c>
      <c r="D32">
        <f t="shared" si="1"/>
        <v>3.1108747425053398E-2</v>
      </c>
      <c r="E32">
        <f t="shared" si="3"/>
        <v>9.6775416635576643E-4</v>
      </c>
      <c r="G32">
        <f t="shared" si="0"/>
        <v>2.8951943934698097</v>
      </c>
    </row>
    <row r="33" spans="1:7">
      <c r="A33" s="20">
        <v>43390</v>
      </c>
      <c r="B33" s="19">
        <v>103.48399999999999</v>
      </c>
      <c r="C33">
        <f t="shared" si="2"/>
        <v>-2.6153393373832402E-3</v>
      </c>
      <c r="D33">
        <f t="shared" si="1"/>
        <v>-2.6153393373832402E-3</v>
      </c>
      <c r="E33">
        <f t="shared" si="3"/>
        <v>6.8399998496642063E-6</v>
      </c>
      <c r="G33">
        <f t="shared" si="0"/>
        <v>2.4783551378697801</v>
      </c>
    </row>
    <row r="34" spans="1:7">
      <c r="A34" s="20">
        <v>43391</v>
      </c>
      <c r="B34" s="19">
        <v>101.41800000000001</v>
      </c>
      <c r="C34">
        <f t="shared" si="2"/>
        <v>-2.0166421187178672E-2</v>
      </c>
      <c r="D34">
        <f t="shared" si="1"/>
        <v>-2.0166421187178672E-2</v>
      </c>
      <c r="E34">
        <f t="shared" si="3"/>
        <v>4.0668454349868886E-4</v>
      </c>
      <c r="G34">
        <f t="shared" ref="G34:G65" si="4">(-0.5*LN(2*PI()))-(0.5*LN($F$9))-(0.5*E35/$F$9)</f>
        <v>2.9000479853012693</v>
      </c>
    </row>
    <row r="35" spans="1:7">
      <c r="A35" s="20">
        <v>43392</v>
      </c>
      <c r="B35" s="19">
        <v>101.568</v>
      </c>
      <c r="C35">
        <f t="shared" si="2"/>
        <v>1.4779347078481282E-3</v>
      </c>
      <c r="D35">
        <f t="shared" ref="D35:D66" si="5">C35-$F$7</f>
        <v>1.4779347078481282E-3</v>
      </c>
      <c r="E35">
        <f t="shared" si="3"/>
        <v>2.184291000662132E-6</v>
      </c>
      <c r="G35">
        <f t="shared" si="4"/>
        <v>2.8201083499831978</v>
      </c>
    </row>
    <row r="36" spans="1:7">
      <c r="A36" s="20">
        <v>43395</v>
      </c>
      <c r="B36" s="19">
        <v>102.474</v>
      </c>
      <c r="C36">
        <f t="shared" si="2"/>
        <v>8.8805829611656398E-3</v>
      </c>
      <c r="D36">
        <f t="shared" si="5"/>
        <v>8.8805829611656398E-3</v>
      </c>
      <c r="E36">
        <f t="shared" si="3"/>
        <v>7.8864753730145486E-5</v>
      </c>
      <c r="G36">
        <f t="shared" si="4"/>
        <v>2.6964432259638151</v>
      </c>
    </row>
    <row r="37" spans="1:7">
      <c r="A37" s="20">
        <v>43396</v>
      </c>
      <c r="B37" s="19">
        <v>101.044</v>
      </c>
      <c r="C37">
        <f t="shared" si="2"/>
        <v>-1.4053042324600657E-2</v>
      </c>
      <c r="D37">
        <f t="shared" si="5"/>
        <v>-1.4053042324600657E-2</v>
      </c>
      <c r="E37">
        <f t="shared" si="3"/>
        <v>1.9748799857701745E-4</v>
      </c>
      <c r="G37">
        <f t="shared" si="4"/>
        <v>-0.24483011862115811</v>
      </c>
    </row>
    <row r="38" spans="1:7">
      <c r="A38" s="20">
        <v>43397</v>
      </c>
      <c r="B38" s="19">
        <v>95.641999999999996</v>
      </c>
      <c r="C38">
        <f t="shared" si="2"/>
        <v>-5.4944011416627705E-2</v>
      </c>
      <c r="D38">
        <f t="shared" si="5"/>
        <v>-5.4944011416627705E-2</v>
      </c>
      <c r="E38">
        <f t="shared" si="3"/>
        <v>3.0188443905505157E-3</v>
      </c>
      <c r="G38">
        <f t="shared" si="4"/>
        <v>-0.46020940173745251</v>
      </c>
    </row>
    <row r="39" spans="1:7">
      <c r="A39" s="20">
        <v>43398</v>
      </c>
      <c r="B39" s="19">
        <v>101.23099999999999</v>
      </c>
      <c r="C39">
        <f t="shared" si="2"/>
        <v>5.6792979932504567E-2</v>
      </c>
      <c r="D39">
        <f t="shared" si="5"/>
        <v>5.6792979932504567E-2</v>
      </c>
      <c r="E39">
        <f t="shared" si="3"/>
        <v>3.2254425696138663E-3</v>
      </c>
      <c r="G39">
        <f t="shared" si="4"/>
        <v>2.7408676340231848</v>
      </c>
    </row>
    <row r="40" spans="1:7">
      <c r="A40" s="20">
        <v>43399</v>
      </c>
      <c r="B40" s="19">
        <v>99.978999999999999</v>
      </c>
      <c r="C40">
        <f t="shared" si="2"/>
        <v>-1.2444870121381821E-2</v>
      </c>
      <c r="D40">
        <f t="shared" si="5"/>
        <v>-1.2444870121381821E-2</v>
      </c>
      <c r="E40">
        <f t="shared" si="3"/>
        <v>1.5487479233806199E-4</v>
      </c>
      <c r="G40">
        <f t="shared" si="4"/>
        <v>1.9946441579584722</v>
      </c>
    </row>
    <row r="41" spans="1:7">
      <c r="A41" s="20">
        <v>43402</v>
      </c>
      <c r="B41" s="19">
        <v>97.072000000000003</v>
      </c>
      <c r="C41">
        <f t="shared" si="2"/>
        <v>-2.9507192735061763E-2</v>
      </c>
      <c r="D41">
        <f t="shared" si="5"/>
        <v>-2.9507192735061763E-2</v>
      </c>
      <c r="E41">
        <f t="shared" si="3"/>
        <v>8.7067442310408171E-4</v>
      </c>
      <c r="G41">
        <f t="shared" si="4"/>
        <v>2.9009357172949932</v>
      </c>
    </row>
    <row r="42" spans="1:7">
      <c r="A42" s="20">
        <v>43403</v>
      </c>
      <c r="B42" s="19">
        <v>96.96</v>
      </c>
      <c r="C42">
        <f t="shared" si="2"/>
        <v>-1.154448878937742E-3</v>
      </c>
      <c r="D42">
        <f t="shared" si="5"/>
        <v>-1.154448878937742E-3</v>
      </c>
      <c r="E42">
        <f t="shared" si="3"/>
        <v>1.3327522140806092E-6</v>
      </c>
      <c r="G42">
        <f t="shared" si="4"/>
        <v>2.0103770393180698</v>
      </c>
    </row>
    <row r="43" spans="1:7">
      <c r="A43" s="20">
        <v>43404</v>
      </c>
      <c r="B43" s="19">
        <v>99.837999999999994</v>
      </c>
      <c r="C43">
        <f t="shared" si="2"/>
        <v>2.9250350048186907E-2</v>
      </c>
      <c r="D43">
        <f t="shared" si="5"/>
        <v>2.9250350048186907E-2</v>
      </c>
      <c r="E43">
        <f t="shared" si="3"/>
        <v>8.5558297794146785E-4</v>
      </c>
      <c r="G43">
        <f t="shared" si="4"/>
        <v>2.8294942986269471</v>
      </c>
    </row>
    <row r="44" spans="1:7">
      <c r="A44" s="20">
        <v>43405</v>
      </c>
      <c r="B44" s="19">
        <v>99.007000000000005</v>
      </c>
      <c r="C44">
        <f t="shared" si="2"/>
        <v>-8.358317663521235E-3</v>
      </c>
      <c r="D44">
        <f t="shared" si="5"/>
        <v>-8.358317663521235E-3</v>
      </c>
      <c r="E44">
        <f t="shared" si="3"/>
        <v>6.9861474164331077E-5</v>
      </c>
      <c r="G44">
        <f t="shared" si="4"/>
        <v>2.8970008464941226</v>
      </c>
    </row>
    <row r="45" spans="1:7">
      <c r="A45" s="20">
        <v>43406</v>
      </c>
      <c r="B45" s="19">
        <v>99.230999999999995</v>
      </c>
      <c r="C45">
        <f t="shared" si="2"/>
        <v>2.2599107672022127E-3</v>
      </c>
      <c r="D45">
        <f t="shared" si="5"/>
        <v>2.2599107672022127E-3</v>
      </c>
      <c r="E45">
        <f t="shared" si="3"/>
        <v>5.1071966757164941E-6</v>
      </c>
      <c r="G45">
        <f t="shared" si="4"/>
        <v>2.735827818560812</v>
      </c>
    </row>
    <row r="46" spans="1:7">
      <c r="A46" s="20">
        <v>43409</v>
      </c>
      <c r="B46" s="19">
        <v>100.49299999999999</v>
      </c>
      <c r="C46">
        <f t="shared" si="2"/>
        <v>1.2637607859169394E-2</v>
      </c>
      <c r="D46">
        <f t="shared" si="5"/>
        <v>1.2637607859169394E-2</v>
      </c>
      <c r="E46">
        <f t="shared" si="3"/>
        <v>1.5970913240214004E-4</v>
      </c>
      <c r="G46">
        <f t="shared" si="4"/>
        <v>2.8983671540220244</v>
      </c>
    </row>
    <row r="47" spans="1:7">
      <c r="A47" s="20">
        <v>43410</v>
      </c>
      <c r="B47" s="19">
        <v>100.68899999999999</v>
      </c>
      <c r="C47">
        <f t="shared" si="2"/>
        <v>1.9484850733270493E-3</v>
      </c>
      <c r="D47">
        <f t="shared" si="5"/>
        <v>1.9484850733270493E-3</v>
      </c>
      <c r="E47">
        <f t="shared" si="3"/>
        <v>3.7965940809783166E-6</v>
      </c>
      <c r="G47">
        <f t="shared" si="4"/>
        <v>1.3487148287011479</v>
      </c>
    </row>
    <row r="48" spans="1:7">
      <c r="A48" s="20">
        <v>43411</v>
      </c>
      <c r="B48" s="19">
        <v>104.652</v>
      </c>
      <c r="C48">
        <f t="shared" si="2"/>
        <v>3.8604001627480282E-2</v>
      </c>
      <c r="D48">
        <f t="shared" si="5"/>
        <v>3.8604001627480282E-2</v>
      </c>
      <c r="E48">
        <f t="shared" si="3"/>
        <v>1.4902689416545004E-3</v>
      </c>
      <c r="G48">
        <f t="shared" si="4"/>
        <v>2.8986615118311931</v>
      </c>
    </row>
    <row r="49" spans="1:7">
      <c r="A49" s="20">
        <v>43412</v>
      </c>
      <c r="B49" s="19">
        <v>104.456</v>
      </c>
      <c r="C49">
        <f t="shared" si="2"/>
        <v>-1.8746299271114053E-3</v>
      </c>
      <c r="D49">
        <f t="shared" si="5"/>
        <v>-1.8746299271114053E-3</v>
      </c>
      <c r="E49">
        <f t="shared" si="3"/>
        <v>3.5142373636217127E-6</v>
      </c>
      <c r="G49">
        <f t="shared" si="4"/>
        <v>2.4975982211588632</v>
      </c>
    </row>
    <row r="50" spans="1:7">
      <c r="A50" s="20">
        <v>43413</v>
      </c>
      <c r="B50" s="19">
        <v>102.41800000000001</v>
      </c>
      <c r="C50">
        <f t="shared" si="2"/>
        <v>-1.97034516980437E-2</v>
      </c>
      <c r="D50">
        <f t="shared" si="5"/>
        <v>-1.97034516980437E-2</v>
      </c>
      <c r="E50">
        <f t="shared" si="3"/>
        <v>3.8822600881714117E-4</v>
      </c>
      <c r="G50">
        <f t="shared" si="4"/>
        <v>2.2537364117428966</v>
      </c>
    </row>
    <row r="51" spans="1:7">
      <c r="A51" s="20">
        <v>43416</v>
      </c>
      <c r="B51" s="19">
        <v>99.894999999999996</v>
      </c>
      <c r="C51">
        <f t="shared" si="2"/>
        <v>-2.4942844055781621E-2</v>
      </c>
      <c r="D51">
        <f t="shared" si="5"/>
        <v>-2.4942844055781621E-2</v>
      </c>
      <c r="E51">
        <f t="shared" si="3"/>
        <v>6.2214546959104059E-4</v>
      </c>
      <c r="G51">
        <f t="shared" si="4"/>
        <v>2.9018840188406374</v>
      </c>
    </row>
    <row r="52" spans="1:7">
      <c r="A52" s="20">
        <v>43417</v>
      </c>
      <c r="B52" s="19">
        <v>99.96</v>
      </c>
      <c r="C52">
        <f t="shared" si="2"/>
        <v>6.5047161483941681E-4</v>
      </c>
      <c r="D52">
        <f t="shared" si="5"/>
        <v>6.5047161483941681E-4</v>
      </c>
      <c r="E52">
        <f t="shared" si="3"/>
        <v>4.2311332171179859E-7</v>
      </c>
      <c r="G52">
        <f t="shared" si="4"/>
        <v>2.6916342627067618</v>
      </c>
    </row>
    <row r="53" spans="1:7">
      <c r="A53" s="20">
        <v>43418</v>
      </c>
      <c r="B53" s="19">
        <v>98.549000000000007</v>
      </c>
      <c r="C53">
        <f t="shared" si="2"/>
        <v>-1.4216219552939587E-2</v>
      </c>
      <c r="D53">
        <f t="shared" si="5"/>
        <v>-1.4216219552939587E-2</v>
      </c>
      <c r="E53">
        <f t="shared" si="3"/>
        <v>2.0210089837738182E-4</v>
      </c>
      <c r="G53">
        <f t="shared" si="4"/>
        <v>2.4086697602679648</v>
      </c>
    </row>
    <row r="54" spans="1:7">
      <c r="A54" s="20">
        <v>43419</v>
      </c>
      <c r="B54" s="19">
        <v>100.717</v>
      </c>
      <c r="C54">
        <f t="shared" si="2"/>
        <v>2.1760717334599007E-2</v>
      </c>
      <c r="D54">
        <f t="shared" si="5"/>
        <v>2.1760717334599007E-2</v>
      </c>
      <c r="E54">
        <f t="shared" si="3"/>
        <v>4.735288189163177E-4</v>
      </c>
      <c r="G54">
        <f t="shared" si="4"/>
        <v>2.8108260437995218</v>
      </c>
    </row>
    <row r="55" spans="1:7">
      <c r="A55" s="20">
        <v>43420</v>
      </c>
      <c r="B55" s="19">
        <v>101.66500000000001</v>
      </c>
      <c r="C55">
        <f t="shared" si="2"/>
        <v>9.3684906138940052E-3</v>
      </c>
      <c r="D55">
        <f t="shared" si="5"/>
        <v>9.3684906138940052E-3</v>
      </c>
      <c r="E55">
        <f t="shared" si="3"/>
        <v>8.7768616382620079E-5</v>
      </c>
      <c r="G55">
        <f t="shared" si="4"/>
        <v>1.6634101873576985</v>
      </c>
    </row>
    <row r="56" spans="1:7">
      <c r="A56" s="20">
        <v>43423</v>
      </c>
      <c r="B56" s="19">
        <v>98.22</v>
      </c>
      <c r="C56">
        <f t="shared" si="2"/>
        <v>-3.4473233751206547E-2</v>
      </c>
      <c r="D56">
        <f t="shared" si="5"/>
        <v>-3.4473233751206547E-2</v>
      </c>
      <c r="E56">
        <f t="shared" si="3"/>
        <v>1.1884038452653263E-3</v>
      </c>
      <c r="G56">
        <f t="shared" si="4"/>
        <v>2.0727393316393146</v>
      </c>
    </row>
    <row r="57" spans="1:7">
      <c r="A57" s="20">
        <v>43424</v>
      </c>
      <c r="B57" s="19">
        <v>95.488</v>
      </c>
      <c r="C57">
        <f t="shared" si="2"/>
        <v>-2.820927546985762E-2</v>
      </c>
      <c r="D57">
        <f t="shared" si="5"/>
        <v>-2.820927546985762E-2</v>
      </c>
      <c r="E57">
        <f t="shared" si="3"/>
        <v>7.9576322253431086E-4</v>
      </c>
      <c r="G57">
        <f t="shared" si="4"/>
        <v>2.7075971708656588</v>
      </c>
    </row>
    <row r="58" spans="1:7">
      <c r="A58" s="20">
        <v>43425</v>
      </c>
      <c r="B58" s="19">
        <v>96.802000000000007</v>
      </c>
      <c r="C58">
        <f t="shared" si="2"/>
        <v>1.3667070084876394E-2</v>
      </c>
      <c r="D58">
        <f t="shared" si="5"/>
        <v>1.3667070084876394E-2</v>
      </c>
      <c r="E58">
        <f t="shared" si="3"/>
        <v>1.8678880470492324E-4</v>
      </c>
      <c r="G58">
        <f t="shared" si="4"/>
        <v>2.902172753318224</v>
      </c>
    </row>
    <row r="59" spans="1:7">
      <c r="A59" s="20">
        <v>43427</v>
      </c>
      <c r="B59" s="19">
        <v>96.765000000000001</v>
      </c>
      <c r="C59">
        <f t="shared" si="2"/>
        <v>-3.8229657380274437E-4</v>
      </c>
      <c r="D59">
        <f t="shared" si="5"/>
        <v>-3.8229657380274437E-4</v>
      </c>
      <c r="E59">
        <f t="shared" si="3"/>
        <v>1.4615067034131718E-7</v>
      </c>
      <c r="G59">
        <f t="shared" si="4"/>
        <v>1.8042461597268957</v>
      </c>
    </row>
    <row r="60" spans="1:7">
      <c r="A60" s="20">
        <v>43430</v>
      </c>
      <c r="B60" s="19">
        <v>99.956999999999994</v>
      </c>
      <c r="C60">
        <f t="shared" si="2"/>
        <v>3.2454734859265706E-2</v>
      </c>
      <c r="D60">
        <f t="shared" si="5"/>
        <v>3.2454734859265706E-2</v>
      </c>
      <c r="E60">
        <f t="shared" si="3"/>
        <v>1.0533098147852366E-3</v>
      </c>
      <c r="G60">
        <f t="shared" si="4"/>
        <v>2.8613021974561179</v>
      </c>
    </row>
    <row r="61" spans="1:7">
      <c r="A61" s="20">
        <v>43431</v>
      </c>
      <c r="B61" s="19">
        <v>100.586</v>
      </c>
      <c r="C61">
        <f t="shared" si="2"/>
        <v>6.2729894597695615E-3</v>
      </c>
      <c r="D61">
        <f t="shared" si="5"/>
        <v>6.2729894597695615E-3</v>
      </c>
      <c r="E61">
        <f t="shared" si="3"/>
        <v>3.9350396762380018E-5</v>
      </c>
      <c r="G61">
        <f t="shared" si="4"/>
        <v>1.5157940755699348</v>
      </c>
    </row>
    <row r="62" spans="1:7">
      <c r="A62" s="20">
        <v>43432</v>
      </c>
      <c r="B62" s="19">
        <v>104.322</v>
      </c>
      <c r="C62">
        <f t="shared" si="2"/>
        <v>3.6469186802357847E-2</v>
      </c>
      <c r="D62">
        <f t="shared" si="5"/>
        <v>3.6469186802357847E-2</v>
      </c>
      <c r="E62">
        <f t="shared" si="3"/>
        <v>1.3300015860252719E-3</v>
      </c>
      <c r="G62">
        <f t="shared" si="4"/>
        <v>2.8287042081347828</v>
      </c>
    </row>
    <row r="63" spans="1:7">
      <c r="A63" s="20">
        <v>43433</v>
      </c>
      <c r="B63" s="19">
        <v>103.449</v>
      </c>
      <c r="C63">
        <f t="shared" si="2"/>
        <v>-8.4035321344349614E-3</v>
      </c>
      <c r="D63">
        <f t="shared" si="5"/>
        <v>-8.4035321344349614E-3</v>
      </c>
      <c r="E63">
        <f t="shared" si="3"/>
        <v>7.0619352334481018E-5</v>
      </c>
      <c r="G63">
        <f t="shared" si="4"/>
        <v>2.8605416299825994</v>
      </c>
    </row>
    <row r="64" spans="1:7">
      <c r="A64" s="20">
        <v>43434</v>
      </c>
      <c r="B64" s="19">
        <v>104.10599999999999</v>
      </c>
      <c r="C64">
        <f t="shared" si="2"/>
        <v>6.3308732083168767E-3</v>
      </c>
      <c r="D64">
        <f t="shared" si="5"/>
        <v>6.3308732083168767E-3</v>
      </c>
      <c r="E64">
        <f t="shared" si="3"/>
        <v>4.0079955579784423E-5</v>
      </c>
      <c r="G64">
        <f t="shared" si="4"/>
        <v>2.7814621179872439</v>
      </c>
    </row>
    <row r="65" spans="1:7">
      <c r="A65" s="20">
        <v>43437</v>
      </c>
      <c r="B65" s="19">
        <v>105.233</v>
      </c>
      <c r="C65">
        <f t="shared" si="2"/>
        <v>1.0767328479086787E-2</v>
      </c>
      <c r="D65">
        <f t="shared" si="5"/>
        <v>1.0767328479086787E-2</v>
      </c>
      <c r="E65">
        <f t="shared" si="3"/>
        <v>1.1593536257655338E-4</v>
      </c>
      <c r="G65">
        <f t="shared" si="4"/>
        <v>1.8098730704073367</v>
      </c>
    </row>
    <row r="66" spans="1:7">
      <c r="A66" s="20">
        <v>43438</v>
      </c>
      <c r="B66" s="19">
        <v>101.881</v>
      </c>
      <c r="C66">
        <f t="shared" si="2"/>
        <v>-3.2371473794412159E-2</v>
      </c>
      <c r="D66">
        <f t="shared" si="5"/>
        <v>-3.2371473794412159E-2</v>
      </c>
      <c r="E66">
        <f t="shared" si="3"/>
        <v>1.0479123156223132E-3</v>
      </c>
      <c r="G66">
        <f t="shared" ref="G66:G83" si="6">(-0.5*LN(2*PI()))-(0.5*LN($F$9))-(0.5*E67/$F$9)</f>
        <v>2.8628323159534981</v>
      </c>
    </row>
    <row r="67" spans="1:7">
      <c r="A67" s="20">
        <v>43440</v>
      </c>
      <c r="B67" s="19">
        <v>102.51</v>
      </c>
      <c r="C67">
        <f t="shared" si="2"/>
        <v>6.154889263045916E-3</v>
      </c>
      <c r="D67">
        <f t="shared" ref="D67:D98" si="7">C67-$F$7</f>
        <v>6.154889263045916E-3</v>
      </c>
      <c r="E67">
        <f t="shared" si="3"/>
        <v>3.7882661840357896E-5</v>
      </c>
      <c r="G67">
        <f t="shared" si="6"/>
        <v>1.1636767637604215</v>
      </c>
    </row>
    <row r="68" spans="1:7">
      <c r="A68" s="20">
        <v>43441</v>
      </c>
      <c r="B68" s="19">
        <v>98.408000000000001</v>
      </c>
      <c r="C68">
        <f t="shared" ref="C68:C83" si="8">LN(B68/B67)</f>
        <v>-4.0838253228826338E-2</v>
      </c>
      <c r="D68">
        <f t="shared" si="7"/>
        <v>-4.0838253228826338E-2</v>
      </c>
      <c r="E68">
        <f t="shared" ref="E68:E83" si="9">D68^2</f>
        <v>1.6677629267817448E-3</v>
      </c>
      <c r="G68">
        <f t="shared" si="6"/>
        <v>2.1933788085075139</v>
      </c>
    </row>
    <row r="69" spans="1:7">
      <c r="A69" s="20">
        <v>43444</v>
      </c>
      <c r="B69" s="19">
        <v>101.008</v>
      </c>
      <c r="C69">
        <f t="shared" si="8"/>
        <v>2.6077620058785896E-2</v>
      </c>
      <c r="D69">
        <f t="shared" si="7"/>
        <v>2.6077620058785896E-2</v>
      </c>
      <c r="E69">
        <f t="shared" si="9"/>
        <v>6.8004226793039245E-4</v>
      </c>
      <c r="G69">
        <f t="shared" si="6"/>
        <v>2.8130613302379182</v>
      </c>
    </row>
    <row r="70" spans="1:7">
      <c r="A70" s="20">
        <v>43445</v>
      </c>
      <c r="B70" s="19">
        <v>101.947</v>
      </c>
      <c r="C70">
        <f t="shared" si="8"/>
        <v>9.2533487729270798E-3</v>
      </c>
      <c r="D70">
        <f t="shared" si="7"/>
        <v>9.2533487729270798E-3</v>
      </c>
      <c r="E70">
        <f t="shared" si="9"/>
        <v>8.5624463513431093E-5</v>
      </c>
      <c r="G70">
        <f t="shared" si="6"/>
        <v>2.8811956619315082</v>
      </c>
    </row>
    <row r="71" spans="1:7">
      <c r="A71" s="20">
        <v>43446</v>
      </c>
      <c r="B71" s="19">
        <v>102.407</v>
      </c>
      <c r="C71">
        <f t="shared" si="8"/>
        <v>4.5019992458149392E-3</v>
      </c>
      <c r="D71">
        <f t="shared" si="7"/>
        <v>4.5019992458149392E-3</v>
      </c>
      <c r="E71">
        <f t="shared" si="9"/>
        <v>2.0267997209318282E-5</v>
      </c>
      <c r="G71">
        <f t="shared" si="6"/>
        <v>2.8903272804106797</v>
      </c>
    </row>
    <row r="72" spans="1:7">
      <c r="A72" s="20">
        <v>43447</v>
      </c>
      <c r="B72" s="19">
        <v>102.755</v>
      </c>
      <c r="C72">
        <f t="shared" si="8"/>
        <v>3.3924443488717909E-3</v>
      </c>
      <c r="D72">
        <f t="shared" si="7"/>
        <v>3.3924443488717909E-3</v>
      </c>
      <c r="E72">
        <f t="shared" si="9"/>
        <v>1.150867866019215E-5</v>
      </c>
      <c r="G72">
        <f t="shared" si="6"/>
        <v>1.8515651454580664</v>
      </c>
    </row>
    <row r="73" spans="1:7">
      <c r="A73" s="20">
        <v>43448</v>
      </c>
      <c r="B73" s="19">
        <v>99.543999999999997</v>
      </c>
      <c r="C73">
        <f t="shared" si="8"/>
        <v>-3.1747756519553506E-2</v>
      </c>
      <c r="D73">
        <f t="shared" si="7"/>
        <v>-3.1747756519553506E-2</v>
      </c>
      <c r="E73">
        <f t="shared" si="9"/>
        <v>1.0079200440248522E-3</v>
      </c>
      <c r="G73">
        <f t="shared" si="6"/>
        <v>1.9601633899755861</v>
      </c>
    </row>
    <row r="74" spans="1:7">
      <c r="A74" s="20">
        <v>43451</v>
      </c>
      <c r="B74" s="19">
        <v>96.596000000000004</v>
      </c>
      <c r="C74">
        <f t="shared" si="8"/>
        <v>-3.0062424979681916E-2</v>
      </c>
      <c r="D74">
        <f t="shared" si="7"/>
        <v>-3.0062424979681916E-2</v>
      </c>
      <c r="E74">
        <f t="shared" si="9"/>
        <v>9.0374939565900331E-4</v>
      </c>
      <c r="G74">
        <f t="shared" si="6"/>
        <v>2.788642005989395</v>
      </c>
    </row>
    <row r="75" spans="1:7">
      <c r="A75" s="20">
        <v>43452</v>
      </c>
      <c r="B75" s="19">
        <v>97.61</v>
      </c>
      <c r="C75">
        <f t="shared" si="8"/>
        <v>1.0442614693225539E-2</v>
      </c>
      <c r="D75">
        <f t="shared" si="7"/>
        <v>1.0442614693225539E-2</v>
      </c>
      <c r="E75">
        <f t="shared" si="9"/>
        <v>1.0904820163116992E-4</v>
      </c>
      <c r="G75">
        <f t="shared" si="6"/>
        <v>2.8947363389567404</v>
      </c>
    </row>
    <row r="76" spans="1:7">
      <c r="A76" s="20">
        <v>43453</v>
      </c>
      <c r="B76" s="19">
        <v>97.346999999999994</v>
      </c>
      <c r="C76">
        <f t="shared" si="8"/>
        <v>-2.6980324844936383E-3</v>
      </c>
      <c r="D76">
        <f t="shared" si="7"/>
        <v>-2.6980324844936383E-3</v>
      </c>
      <c r="E76">
        <f t="shared" si="9"/>
        <v>7.2793792873829149E-6</v>
      </c>
      <c r="G76">
        <f t="shared" si="6"/>
        <v>2.4314764930609822</v>
      </c>
    </row>
    <row r="77" spans="1:7">
      <c r="A77" s="20">
        <v>43454</v>
      </c>
      <c r="B77" s="19">
        <v>95.3</v>
      </c>
      <c r="C77">
        <f t="shared" si="8"/>
        <v>-2.1252104042223687E-2</v>
      </c>
      <c r="D77">
        <f t="shared" si="7"/>
        <v>-2.1252104042223687E-2</v>
      </c>
      <c r="E77">
        <f t="shared" si="9"/>
        <v>4.5165192622150039E-4</v>
      </c>
      <c r="G77">
        <f t="shared" si="6"/>
        <v>1.7778883108805827</v>
      </c>
    </row>
    <row r="78" spans="1:7">
      <c r="A78" s="20">
        <v>43455</v>
      </c>
      <c r="B78" s="19">
        <v>92.221000000000004</v>
      </c>
      <c r="C78">
        <f t="shared" si="8"/>
        <v>-3.2841940305602287E-2</v>
      </c>
      <c r="D78">
        <f t="shared" si="7"/>
        <v>-3.2841940305602287E-2</v>
      </c>
      <c r="E78">
        <f t="shared" si="9"/>
        <v>1.078593043036744E-3</v>
      </c>
      <c r="G78">
        <f t="shared" si="6"/>
        <v>1.0075268847165575</v>
      </c>
    </row>
    <row r="79" spans="1:7">
      <c r="A79" s="20">
        <v>43458</v>
      </c>
      <c r="B79" s="19">
        <v>88.372</v>
      </c>
      <c r="C79">
        <f t="shared" si="8"/>
        <v>-4.263269296577242E-2</v>
      </c>
      <c r="D79">
        <f t="shared" si="7"/>
        <v>-4.263269296577242E-2</v>
      </c>
      <c r="E79">
        <f t="shared" si="9"/>
        <v>1.8175465095138213E-3</v>
      </c>
      <c r="G79">
        <f t="shared" si="6"/>
        <v>-1.648544970683484</v>
      </c>
    </row>
    <row r="80" spans="1:7">
      <c r="A80" s="20">
        <v>43460</v>
      </c>
      <c r="B80" s="19">
        <v>94.408000000000001</v>
      </c>
      <c r="C80">
        <f t="shared" si="8"/>
        <v>6.6070637934665943E-2</v>
      </c>
      <c r="D80">
        <f t="shared" si="7"/>
        <v>6.6070637934665943E-2</v>
      </c>
      <c r="E80">
        <f t="shared" si="9"/>
        <v>4.3653291970937183E-3</v>
      </c>
      <c r="G80">
        <f t="shared" si="6"/>
        <v>2.8629487750880935</v>
      </c>
    </row>
    <row r="81" spans="1:7">
      <c r="A81" s="20">
        <v>43461</v>
      </c>
      <c r="B81" s="19">
        <v>94.99</v>
      </c>
      <c r="C81">
        <f t="shared" si="8"/>
        <v>6.1458075786435E-3</v>
      </c>
      <c r="D81">
        <f t="shared" si="7"/>
        <v>6.1458075786435E-3</v>
      </c>
      <c r="E81">
        <f t="shared" si="9"/>
        <v>3.7770950793711882E-5</v>
      </c>
      <c r="G81">
        <f t="shared" si="6"/>
        <v>2.8383874179557176</v>
      </c>
    </row>
    <row r="82" spans="1:7">
      <c r="A82" s="20">
        <v>43462</v>
      </c>
      <c r="B82" s="19">
        <v>94.248999999999995</v>
      </c>
      <c r="C82">
        <f t="shared" si="8"/>
        <v>-7.831406709833769E-3</v>
      </c>
      <c r="D82">
        <f t="shared" si="7"/>
        <v>-7.831406709833769E-3</v>
      </c>
      <c r="E82">
        <f t="shared" si="9"/>
        <v>6.1330931054829382E-5</v>
      </c>
      <c r="G82">
        <f t="shared" si="6"/>
        <v>2.7599209532061351</v>
      </c>
    </row>
    <row r="83" spans="1:7">
      <c r="A83" s="20">
        <v>43465</v>
      </c>
      <c r="B83" s="19">
        <v>95.356999999999999</v>
      </c>
      <c r="C83">
        <f t="shared" si="8"/>
        <v>1.1687526898370954E-2</v>
      </c>
      <c r="D83">
        <f t="shared" si="7"/>
        <v>1.1687526898370954E-2</v>
      </c>
      <c r="E83">
        <f t="shared" si="9"/>
        <v>1.3659828500014459E-4</v>
      </c>
      <c r="G83">
        <f t="shared" si="6"/>
        <v>2.9023251158741177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98A2-233F-42CC-B35A-7B9A6EE6DF22}">
  <dimension ref="A1"/>
  <sheetViews>
    <sheetView topLeftCell="A40" workbookViewId="0">
      <selection activeCell="S54" sqref="S54"/>
    </sheetView>
  </sheetViews>
  <sheetFormatPr defaultRowHeight="12.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3D17-2BBC-42A8-971D-63BE043342D3}">
  <dimension ref="A1:H83"/>
  <sheetViews>
    <sheetView tabSelected="1" workbookViewId="0">
      <selection activeCell="J17" sqref="J17"/>
    </sheetView>
  </sheetViews>
  <sheetFormatPr defaultRowHeight="12.5"/>
  <cols>
    <col min="1" max="5" width="18.81640625"/>
    <col min="6" max="6" width="16.453125" bestFit="1" customWidth="1"/>
    <col min="8" max="8" width="20.08984375" bestFit="1" customWidth="1"/>
  </cols>
  <sheetData>
    <row r="1" spans="1:8" ht="14">
      <c r="A1" s="52" t="s">
        <v>140</v>
      </c>
      <c r="B1" s="52" t="s">
        <v>141</v>
      </c>
      <c r="C1" s="52" t="s">
        <v>142</v>
      </c>
      <c r="D1" s="53" t="s">
        <v>151</v>
      </c>
      <c r="E1" s="53" t="s">
        <v>152</v>
      </c>
      <c r="H1" s="55" t="s">
        <v>158</v>
      </c>
    </row>
    <row r="2" spans="1:8">
      <c r="A2" s="20">
        <v>43347</v>
      </c>
      <c r="B2" s="19">
        <v>104.419</v>
      </c>
    </row>
    <row r="3" spans="1:8">
      <c r="A3" s="20">
        <v>43348</v>
      </c>
      <c r="B3" s="19">
        <v>101.40900000000001</v>
      </c>
      <c r="C3">
        <f>LN(B3/B2)</f>
        <v>-2.92498066122788E-2</v>
      </c>
      <c r="D3">
        <f>C3-$G$3</f>
        <v>-2.92498066122788E-2</v>
      </c>
      <c r="E3">
        <f>D3^2</f>
        <v>8.5555118685570861E-4</v>
      </c>
      <c r="F3" s="27" t="s">
        <v>154</v>
      </c>
      <c r="G3">
        <v>0</v>
      </c>
      <c r="H3">
        <f ca="1">(0.5*LN(2*PI()))-(0.5*LN($G$6))-(0.5*E3/$G$6)</f>
        <v>1.0299755893699927</v>
      </c>
    </row>
    <row r="4" spans="1:8" ht="13">
      <c r="A4" s="20">
        <v>43349</v>
      </c>
      <c r="B4" s="19">
        <v>101.643</v>
      </c>
      <c r="C4">
        <f t="shared" ref="C4:C67" si="0">LN(B4/B3)</f>
        <v>2.3048293401555487E-3</v>
      </c>
      <c r="D4">
        <f t="shared" ref="D4:D67" si="1">C4-$G$3</f>
        <v>2.3048293401555487E-3</v>
      </c>
      <c r="E4">
        <f t="shared" ref="E4:E67" si="2">D4^2</f>
        <v>5.312238287241862E-6</v>
      </c>
      <c r="F4" s="51" t="s">
        <v>155</v>
      </c>
      <c r="G4">
        <f>0.0000001</f>
        <v>9.9999999999999995E-8</v>
      </c>
      <c r="H4">
        <f t="shared" ref="H4:H67" ca="1" si="3">(0.5*LN(2*PI()))-(0.5*LN($G$6))-(0.5*E4/$G$6)</f>
        <v>1.030506988712848</v>
      </c>
    </row>
    <row r="5" spans="1:8">
      <c r="A5" s="20">
        <v>43350</v>
      </c>
      <c r="B5" s="19">
        <v>101.14700000000001</v>
      </c>
      <c r="C5">
        <f t="shared" si="0"/>
        <v>-4.8917697034559626E-3</v>
      </c>
      <c r="D5">
        <f t="shared" si="1"/>
        <v>-4.8917697034559626E-3</v>
      </c>
      <c r="E5">
        <f t="shared" si="2"/>
        <v>2.3929410831649635E-5</v>
      </c>
      <c r="F5" s="27" t="s">
        <v>149</v>
      </c>
      <c r="G5">
        <v>0.1</v>
      </c>
      <c r="H5">
        <f t="shared" ca="1" si="3"/>
        <v>1.0304953529800078</v>
      </c>
    </row>
    <row r="6" spans="1:8">
      <c r="A6" s="20">
        <v>43353</v>
      </c>
      <c r="B6" s="19">
        <v>102.241</v>
      </c>
      <c r="C6">
        <f t="shared" si="0"/>
        <v>1.0757867237532654E-2</v>
      </c>
      <c r="D6">
        <f t="shared" si="1"/>
        <v>1.0757867237532654E-2</v>
      </c>
      <c r="E6">
        <f t="shared" si="2"/>
        <v>1.1573170750037845E-4</v>
      </c>
      <c r="F6" s="27" t="s">
        <v>156</v>
      </c>
      <c r="G6">
        <f ca="1">$G$4/(1-$G$5-$G$6)</f>
        <v>0</v>
      </c>
      <c r="H6">
        <f t="shared" ca="1" si="3"/>
        <v>1.0304379765445897</v>
      </c>
    </row>
    <row r="7" spans="1:8">
      <c r="A7" s="20">
        <v>43354</v>
      </c>
      <c r="B7" s="19">
        <v>103.979</v>
      </c>
      <c r="C7">
        <f t="shared" si="0"/>
        <v>1.6856184186180182E-2</v>
      </c>
      <c r="D7">
        <f t="shared" si="1"/>
        <v>1.6856184186180182E-2</v>
      </c>
      <c r="E7">
        <f t="shared" si="2"/>
        <v>2.8413094531843085E-4</v>
      </c>
      <c r="F7" s="27" t="s">
        <v>157</v>
      </c>
      <c r="G7">
        <f ca="1">$G$4+$G$5*E4+$G$6*G4</f>
        <v>0</v>
      </c>
      <c r="H7">
        <f t="shared" ca="1" si="3"/>
        <v>1.0303327270209535</v>
      </c>
    </row>
    <row r="8" spans="1:8">
      <c r="A8" s="20">
        <v>43355</v>
      </c>
      <c r="B8" s="19">
        <v>104.419</v>
      </c>
      <c r="C8">
        <f t="shared" si="0"/>
        <v>4.2226955518664139E-3</v>
      </c>
      <c r="D8">
        <f t="shared" si="1"/>
        <v>4.2226955518664139E-3</v>
      </c>
      <c r="E8">
        <f t="shared" si="2"/>
        <v>1.78311577237524E-5</v>
      </c>
      <c r="F8" s="27" t="s">
        <v>150</v>
      </c>
      <c r="H8">
        <f t="shared" ca="1" si="3"/>
        <v>1.0304991643882002</v>
      </c>
    </row>
    <row r="9" spans="1:8">
      <c r="A9" s="20">
        <v>43356</v>
      </c>
      <c r="B9" s="19">
        <v>105.54</v>
      </c>
      <c r="C9">
        <f t="shared" si="0"/>
        <v>1.0678376750415206E-2</v>
      </c>
      <c r="D9">
        <f t="shared" si="1"/>
        <v>1.0678376750415206E-2</v>
      </c>
      <c r="E9">
        <f t="shared" si="2"/>
        <v>1.14027730023808E-4</v>
      </c>
      <c r="H9">
        <f t="shared" ca="1" si="3"/>
        <v>1.0304390415305127</v>
      </c>
    </row>
    <row r="10" spans="1:8">
      <c r="A10" s="20">
        <v>43357</v>
      </c>
      <c r="B10" s="19">
        <v>105.97</v>
      </c>
      <c r="C10">
        <f t="shared" si="0"/>
        <v>4.0660072092227016E-3</v>
      </c>
      <c r="D10">
        <f t="shared" si="1"/>
        <v>4.0660072092227016E-3</v>
      </c>
      <c r="E10">
        <f t="shared" si="2"/>
        <v>1.6532414625450981E-5</v>
      </c>
      <c r="H10">
        <f t="shared" ca="1" si="3"/>
        <v>1.0304999761026366</v>
      </c>
    </row>
    <row r="11" spans="1:8">
      <c r="A11" s="20">
        <v>43360</v>
      </c>
      <c r="B11" s="19">
        <v>104.821</v>
      </c>
      <c r="C11">
        <f t="shared" si="0"/>
        <v>-1.0901901694140728E-2</v>
      </c>
      <c r="D11">
        <f t="shared" si="1"/>
        <v>-1.0901901694140728E-2</v>
      </c>
      <c r="E11">
        <f t="shared" si="2"/>
        <v>1.1885146054870847E-4</v>
      </c>
      <c r="H11">
        <f t="shared" ca="1" si="3"/>
        <v>1.0304360266989345</v>
      </c>
    </row>
    <row r="12" spans="1:8">
      <c r="A12" s="20">
        <v>43361</v>
      </c>
      <c r="B12" s="19">
        <v>105.821</v>
      </c>
      <c r="C12">
        <f t="shared" si="0"/>
        <v>9.4948539481806028E-3</v>
      </c>
      <c r="D12">
        <f t="shared" si="1"/>
        <v>9.4948539481806028E-3</v>
      </c>
      <c r="E12">
        <f t="shared" si="2"/>
        <v>9.0152251497280778E-5</v>
      </c>
      <c r="H12">
        <f t="shared" ca="1" si="3"/>
        <v>1.0304539637045917</v>
      </c>
    </row>
    <row r="13" spans="1:8">
      <c r="A13" s="20">
        <v>43362</v>
      </c>
      <c r="B13" s="19">
        <v>104.40900000000001</v>
      </c>
      <c r="C13">
        <f t="shared" si="0"/>
        <v>-1.3433108811295395E-2</v>
      </c>
      <c r="D13">
        <f t="shared" si="1"/>
        <v>-1.3433108811295395E-2</v>
      </c>
      <c r="E13">
        <f t="shared" si="2"/>
        <v>1.8044841233610197E-4</v>
      </c>
      <c r="H13">
        <f t="shared" ca="1" si="3"/>
        <v>1.0303975286040674</v>
      </c>
    </row>
    <row r="14" spans="1:8">
      <c r="A14" s="20">
        <v>43363</v>
      </c>
      <c r="B14" s="19">
        <v>106.157</v>
      </c>
      <c r="C14">
        <f t="shared" si="0"/>
        <v>1.6603251763814469E-2</v>
      </c>
      <c r="D14">
        <f t="shared" si="1"/>
        <v>1.6603251763814469E-2</v>
      </c>
      <c r="E14">
        <f t="shared" si="2"/>
        <v>2.7566796913260831E-4</v>
      </c>
      <c r="H14">
        <f t="shared" ca="1" si="3"/>
        <v>1.0303380163810696</v>
      </c>
    </row>
    <row r="15" spans="1:8">
      <c r="A15" s="20">
        <v>43364</v>
      </c>
      <c r="B15" s="19">
        <v>106.80200000000001</v>
      </c>
      <c r="C15">
        <f t="shared" si="0"/>
        <v>6.0575225492109095E-3</v>
      </c>
      <c r="D15">
        <f t="shared" si="1"/>
        <v>6.0575225492109095E-3</v>
      </c>
      <c r="E15">
        <f t="shared" si="2"/>
        <v>3.6693579434198636E-5</v>
      </c>
      <c r="H15">
        <f t="shared" ca="1" si="3"/>
        <v>1.0304873753746311</v>
      </c>
    </row>
    <row r="16" spans="1:8">
      <c r="A16" s="20">
        <v>43367</v>
      </c>
      <c r="B16" s="19">
        <v>107.185</v>
      </c>
      <c r="C16">
        <f t="shared" si="0"/>
        <v>3.5796605305846449E-3</v>
      </c>
      <c r="D16">
        <f t="shared" si="1"/>
        <v>3.5796605305846449E-3</v>
      </c>
      <c r="E16">
        <f t="shared" si="2"/>
        <v>1.2813969514225542E-5</v>
      </c>
      <c r="H16">
        <f t="shared" ca="1" si="3"/>
        <v>1.0305023001308311</v>
      </c>
    </row>
    <row r="17" spans="1:8">
      <c r="A17" s="20">
        <v>43368</v>
      </c>
      <c r="B17" s="19">
        <v>106.98</v>
      </c>
      <c r="C17">
        <f t="shared" si="0"/>
        <v>-1.9144123699949131E-3</v>
      </c>
      <c r="D17">
        <f t="shared" si="1"/>
        <v>-1.9144123699949131E-3</v>
      </c>
      <c r="E17">
        <f t="shared" si="2"/>
        <v>3.6649747223895399E-6</v>
      </c>
      <c r="H17">
        <f t="shared" ca="1" si="3"/>
        <v>1.0305080182525761</v>
      </c>
    </row>
    <row r="18" spans="1:8">
      <c r="A18" s="20">
        <v>43369</v>
      </c>
      <c r="B18" s="19">
        <v>106.541</v>
      </c>
      <c r="C18">
        <f t="shared" si="0"/>
        <v>-4.1120135122521958E-3</v>
      </c>
      <c r="D18">
        <f t="shared" si="1"/>
        <v>-4.1120135122521958E-3</v>
      </c>
      <c r="E18">
        <f t="shared" si="2"/>
        <v>1.6908655124944641E-5</v>
      </c>
      <c r="H18">
        <f t="shared" ca="1" si="3"/>
        <v>1.0304997409523244</v>
      </c>
    </row>
    <row r="19" spans="1:8">
      <c r="A19" s="20">
        <v>43370</v>
      </c>
      <c r="B19" s="19">
        <v>106.94199999999999</v>
      </c>
      <c r="C19">
        <f t="shared" si="0"/>
        <v>3.756743830782235E-3</v>
      </c>
      <c r="D19">
        <f t="shared" si="1"/>
        <v>3.756743830782235E-3</v>
      </c>
      <c r="E19">
        <f t="shared" si="2"/>
        <v>1.4113124210120381E-5</v>
      </c>
      <c r="H19">
        <f t="shared" ca="1" si="3"/>
        <v>1.0305014881591461</v>
      </c>
    </row>
    <row r="20" spans="1:8">
      <c r="A20" s="20">
        <v>43371</v>
      </c>
      <c r="B20" s="19">
        <v>106.905</v>
      </c>
      <c r="C20">
        <f t="shared" si="0"/>
        <v>-3.4604179969052772E-4</v>
      </c>
      <c r="D20">
        <f t="shared" si="1"/>
        <v>-3.4604179969052772E-4</v>
      </c>
      <c r="E20">
        <f t="shared" si="2"/>
        <v>1.1974492713305931E-7</v>
      </c>
      <c r="H20">
        <f t="shared" ca="1" si="3"/>
        <v>1.030510234021198</v>
      </c>
    </row>
    <row r="21" spans="1:8">
      <c r="A21" s="20">
        <v>43374</v>
      </c>
      <c r="B21" s="19">
        <v>108.06399999999999</v>
      </c>
      <c r="C21">
        <f t="shared" si="0"/>
        <v>1.0783054581213397E-2</v>
      </c>
      <c r="D21">
        <f t="shared" si="1"/>
        <v>1.0783054581213397E-2</v>
      </c>
      <c r="E21">
        <f t="shared" si="2"/>
        <v>1.1627426610142723E-4</v>
      </c>
      <c r="H21">
        <f t="shared" ca="1" si="3"/>
        <v>1.0304376374454642</v>
      </c>
    </row>
    <row r="22" spans="1:8">
      <c r="A22" s="20">
        <v>43375</v>
      </c>
      <c r="B22" s="19">
        <v>107.634</v>
      </c>
      <c r="C22">
        <f t="shared" si="0"/>
        <v>-3.9870612581485729E-3</v>
      </c>
      <c r="D22">
        <f t="shared" si="1"/>
        <v>-3.9870612581485729E-3</v>
      </c>
      <c r="E22">
        <f t="shared" si="2"/>
        <v>1.5896657476229281E-5</v>
      </c>
      <c r="H22">
        <f t="shared" ca="1" si="3"/>
        <v>1.0305003734508549</v>
      </c>
    </row>
    <row r="23" spans="1:8">
      <c r="A23" s="20">
        <v>43376</v>
      </c>
      <c r="B23" s="19">
        <v>107.65300000000001</v>
      </c>
      <c r="C23">
        <f t="shared" si="0"/>
        <v>1.7650856809127763E-4</v>
      </c>
      <c r="D23">
        <f t="shared" si="1"/>
        <v>1.7650856809127763E-4</v>
      </c>
      <c r="E23">
        <f t="shared" si="2"/>
        <v>3.1155274609633195E-8</v>
      </c>
      <c r="H23">
        <f t="shared" ca="1" si="3"/>
        <v>1.0305102893897309</v>
      </c>
    </row>
    <row r="24" spans="1:8">
      <c r="A24" s="20">
        <v>43377</v>
      </c>
      <c r="B24" s="19">
        <v>105.428</v>
      </c>
      <c r="C24">
        <f t="shared" si="0"/>
        <v>-2.088483603682972E-2</v>
      </c>
      <c r="D24">
        <f t="shared" si="1"/>
        <v>-2.088483603682972E-2</v>
      </c>
      <c r="E24">
        <f t="shared" si="2"/>
        <v>4.3617637628526134E-4</v>
      </c>
      <c r="H24">
        <f t="shared" ca="1" si="3"/>
        <v>1.0302376986265993</v>
      </c>
    </row>
    <row r="25" spans="1:8">
      <c r="A25" s="20">
        <v>43378</v>
      </c>
      <c r="B25" s="19">
        <v>104.81100000000001</v>
      </c>
      <c r="C25">
        <f t="shared" si="0"/>
        <v>-5.8695272653747892E-3</v>
      </c>
      <c r="D25">
        <f t="shared" si="1"/>
        <v>-5.8695272653747892E-3</v>
      </c>
      <c r="E25">
        <f t="shared" si="2"/>
        <v>3.4451350318978049E-5</v>
      </c>
      <c r="H25">
        <f t="shared" ca="1" si="3"/>
        <v>1.0304887767678281</v>
      </c>
    </row>
    <row r="26" spans="1:8">
      <c r="A26" s="20">
        <v>43381</v>
      </c>
      <c r="B26" s="19">
        <v>103.61499999999999</v>
      </c>
      <c r="C26">
        <f t="shared" si="0"/>
        <v>-1.1476621221444359E-2</v>
      </c>
      <c r="D26">
        <f t="shared" si="1"/>
        <v>-1.1476621221444359E-2</v>
      </c>
      <c r="E26">
        <f t="shared" si="2"/>
        <v>1.31712834660507E-4</v>
      </c>
      <c r="H26">
        <f t="shared" ca="1" si="3"/>
        <v>1.0304279883401146</v>
      </c>
    </row>
    <row r="27" spans="1:8">
      <c r="A27" s="20">
        <v>43382</v>
      </c>
      <c r="B27" s="19">
        <v>104.93300000000001</v>
      </c>
      <c r="C27">
        <f t="shared" si="0"/>
        <v>1.263994426056605E-2</v>
      </c>
      <c r="D27">
        <f t="shared" si="1"/>
        <v>1.263994426056605E-2</v>
      </c>
      <c r="E27">
        <f t="shared" si="2"/>
        <v>1.5976819091021664E-4</v>
      </c>
      <c r="H27">
        <f t="shared" ca="1" si="3"/>
        <v>1.0304104537424585</v>
      </c>
    </row>
    <row r="28" spans="1:8">
      <c r="A28" s="20">
        <v>43383</v>
      </c>
      <c r="B28" s="19">
        <v>99.230999999999995</v>
      </c>
      <c r="C28">
        <f t="shared" si="0"/>
        <v>-5.5871585777144656E-2</v>
      </c>
      <c r="D28">
        <f t="shared" si="1"/>
        <v>-5.5871585777144656E-2</v>
      </c>
      <c r="E28">
        <f t="shared" si="2"/>
        <v>3.1216340972528328E-3</v>
      </c>
      <c r="H28">
        <f t="shared" ca="1" si="3"/>
        <v>1.0285592875509946</v>
      </c>
    </row>
    <row r="29" spans="1:8">
      <c r="A29" s="20">
        <v>43384</v>
      </c>
      <c r="B29" s="19">
        <v>98.997</v>
      </c>
      <c r="C29">
        <f t="shared" si="0"/>
        <v>-2.3609188277313549E-3</v>
      </c>
      <c r="D29">
        <f t="shared" si="1"/>
        <v>-2.3609188277313549E-3</v>
      </c>
      <c r="E29">
        <f t="shared" si="2"/>
        <v>5.5739377111363945E-6</v>
      </c>
      <c r="H29">
        <f t="shared" ca="1" si="3"/>
        <v>1.0305068251507081</v>
      </c>
    </row>
    <row r="30" spans="1:8">
      <c r="A30" s="20">
        <v>43385</v>
      </c>
      <c r="B30" s="19">
        <v>102.41800000000001</v>
      </c>
      <c r="C30">
        <f t="shared" si="0"/>
        <v>3.3972931762553053E-2</v>
      </c>
      <c r="D30">
        <f t="shared" si="1"/>
        <v>3.3972931762553053E-2</v>
      </c>
      <c r="E30">
        <f t="shared" si="2"/>
        <v>1.154160092543086E-3</v>
      </c>
      <c r="H30">
        <f t="shared" ca="1" si="3"/>
        <v>1.0297889588039382</v>
      </c>
    </row>
    <row r="31" spans="1:8">
      <c r="A31" s="20">
        <v>43388</v>
      </c>
      <c r="B31" s="19">
        <v>100.577</v>
      </c>
      <c r="C31">
        <f t="shared" si="0"/>
        <v>-1.8138875112089413E-2</v>
      </c>
      <c r="D31">
        <f t="shared" si="1"/>
        <v>-1.8138875112089413E-2</v>
      </c>
      <c r="E31">
        <f t="shared" si="2"/>
        <v>3.2901879033197672E-4</v>
      </c>
      <c r="H31">
        <f t="shared" ca="1" si="3"/>
        <v>1.03030467211782</v>
      </c>
    </row>
    <row r="32" spans="1:8">
      <c r="A32" s="20">
        <v>43389</v>
      </c>
      <c r="B32" s="19">
        <v>103.755</v>
      </c>
      <c r="C32">
        <f t="shared" si="0"/>
        <v>3.1108747425053398E-2</v>
      </c>
      <c r="D32">
        <f t="shared" si="1"/>
        <v>3.1108747425053398E-2</v>
      </c>
      <c r="E32">
        <f t="shared" si="2"/>
        <v>9.6775416635576643E-4</v>
      </c>
      <c r="H32">
        <f t="shared" ca="1" si="3"/>
        <v>1.0299054625078052</v>
      </c>
    </row>
    <row r="33" spans="1:8">
      <c r="A33" s="20">
        <v>43390</v>
      </c>
      <c r="B33" s="19">
        <v>103.48399999999999</v>
      </c>
      <c r="C33">
        <f t="shared" si="0"/>
        <v>-2.6153393373832402E-3</v>
      </c>
      <c r="D33">
        <f t="shared" si="1"/>
        <v>-2.6153393373832402E-3</v>
      </c>
      <c r="E33">
        <f t="shared" si="2"/>
        <v>6.8399998496642063E-6</v>
      </c>
      <c r="H33">
        <f t="shared" ca="1" si="3"/>
        <v>1.0305060338618715</v>
      </c>
    </row>
    <row r="34" spans="1:8">
      <c r="A34" s="20">
        <v>43391</v>
      </c>
      <c r="B34" s="19">
        <v>101.41800000000001</v>
      </c>
      <c r="C34">
        <f t="shared" si="0"/>
        <v>-2.0166421187178672E-2</v>
      </c>
      <c r="D34">
        <f t="shared" si="1"/>
        <v>-2.0166421187178672E-2</v>
      </c>
      <c r="E34">
        <f t="shared" si="2"/>
        <v>4.0668454349868886E-4</v>
      </c>
      <c r="H34">
        <f t="shared" ca="1" si="3"/>
        <v>1.0302561310220908</v>
      </c>
    </row>
    <row r="35" spans="1:8">
      <c r="A35" s="20">
        <v>43392</v>
      </c>
      <c r="B35" s="19">
        <v>101.568</v>
      </c>
      <c r="C35">
        <f t="shared" si="0"/>
        <v>1.4779347078481282E-3</v>
      </c>
      <c r="D35">
        <f t="shared" si="1"/>
        <v>1.4779347078481282E-3</v>
      </c>
      <c r="E35">
        <f t="shared" si="2"/>
        <v>2.184291000662132E-6</v>
      </c>
      <c r="H35">
        <f t="shared" ca="1" si="3"/>
        <v>1.0305089436799022</v>
      </c>
    </row>
    <row r="36" spans="1:8">
      <c r="A36" s="20">
        <v>43395</v>
      </c>
      <c r="B36" s="19">
        <v>102.474</v>
      </c>
      <c r="C36">
        <f t="shared" si="0"/>
        <v>8.8805829611656398E-3</v>
      </c>
      <c r="D36">
        <f t="shared" si="1"/>
        <v>8.8805829611656398E-3</v>
      </c>
      <c r="E36">
        <f t="shared" si="2"/>
        <v>7.8864753730145486E-5</v>
      </c>
      <c r="H36">
        <f t="shared" ca="1" si="3"/>
        <v>1.0304610183906961</v>
      </c>
    </row>
    <row r="37" spans="1:8">
      <c r="A37" s="20">
        <v>43396</v>
      </c>
      <c r="B37" s="19">
        <v>101.044</v>
      </c>
      <c r="C37">
        <f t="shared" si="0"/>
        <v>-1.4053042324600657E-2</v>
      </c>
      <c r="D37">
        <f t="shared" si="1"/>
        <v>-1.4053042324600657E-2</v>
      </c>
      <c r="E37">
        <f t="shared" si="2"/>
        <v>1.9748799857701745E-4</v>
      </c>
      <c r="H37">
        <f t="shared" ca="1" si="3"/>
        <v>1.0303868788626669</v>
      </c>
    </row>
    <row r="38" spans="1:8">
      <c r="A38" s="20">
        <v>43397</v>
      </c>
      <c r="B38" s="19">
        <v>95.641999999999996</v>
      </c>
      <c r="C38">
        <f t="shared" si="0"/>
        <v>-5.4944011416627705E-2</v>
      </c>
      <c r="D38">
        <f t="shared" si="1"/>
        <v>-5.4944011416627705E-2</v>
      </c>
      <c r="E38">
        <f t="shared" si="2"/>
        <v>3.0188443905505157E-3</v>
      </c>
      <c r="H38">
        <f t="shared" ca="1" si="3"/>
        <v>1.0286235311176835</v>
      </c>
    </row>
    <row r="39" spans="1:8">
      <c r="A39" s="20">
        <v>43398</v>
      </c>
      <c r="B39" s="19">
        <v>101.23099999999999</v>
      </c>
      <c r="C39">
        <f t="shared" si="0"/>
        <v>5.6792979932504567E-2</v>
      </c>
      <c r="D39">
        <f t="shared" si="1"/>
        <v>5.6792979932504567E-2</v>
      </c>
      <c r="E39">
        <f t="shared" si="2"/>
        <v>3.2254425696138663E-3</v>
      </c>
      <c r="H39">
        <f t="shared" ca="1" si="3"/>
        <v>1.0284944072557689</v>
      </c>
    </row>
    <row r="40" spans="1:8">
      <c r="A40" s="20">
        <v>43399</v>
      </c>
      <c r="B40" s="19">
        <v>99.978999999999999</v>
      </c>
      <c r="C40">
        <f t="shared" si="0"/>
        <v>-1.2444870121381821E-2</v>
      </c>
      <c r="D40">
        <f t="shared" si="1"/>
        <v>-1.2444870121381821E-2</v>
      </c>
      <c r="E40">
        <f t="shared" si="2"/>
        <v>1.5487479233806199E-4</v>
      </c>
      <c r="H40">
        <f t="shared" ca="1" si="3"/>
        <v>1.0304135121165663</v>
      </c>
    </row>
    <row r="41" spans="1:8">
      <c r="A41" s="20">
        <v>43402</v>
      </c>
      <c r="B41" s="19">
        <v>97.072000000000003</v>
      </c>
      <c r="C41">
        <f t="shared" si="0"/>
        <v>-2.9507192735061763E-2</v>
      </c>
      <c r="D41">
        <f t="shared" si="1"/>
        <v>-2.9507192735061763E-2</v>
      </c>
      <c r="E41">
        <f t="shared" si="2"/>
        <v>8.7067442310408171E-4</v>
      </c>
      <c r="H41">
        <f t="shared" ca="1" si="3"/>
        <v>1.0299661373473374</v>
      </c>
    </row>
    <row r="42" spans="1:8">
      <c r="A42" s="20">
        <v>43403</v>
      </c>
      <c r="B42" s="19">
        <v>96.96</v>
      </c>
      <c r="C42">
        <f t="shared" si="0"/>
        <v>-1.154448878937742E-3</v>
      </c>
      <c r="D42">
        <f t="shared" si="1"/>
        <v>-1.154448878937742E-3</v>
      </c>
      <c r="E42">
        <f t="shared" si="2"/>
        <v>1.3327522140806092E-6</v>
      </c>
      <c r="H42">
        <f t="shared" ca="1" si="3"/>
        <v>1.0305094758916438</v>
      </c>
    </row>
    <row r="43" spans="1:8">
      <c r="A43" s="20">
        <v>43404</v>
      </c>
      <c r="B43" s="19">
        <v>99.837999999999994</v>
      </c>
      <c r="C43">
        <f t="shared" si="0"/>
        <v>2.9250350048186907E-2</v>
      </c>
      <c r="D43">
        <f t="shared" si="1"/>
        <v>2.9250350048186907E-2</v>
      </c>
      <c r="E43">
        <f t="shared" si="2"/>
        <v>8.5558297794146785E-4</v>
      </c>
      <c r="H43">
        <f t="shared" ca="1" si="3"/>
        <v>1.0299755695005641</v>
      </c>
    </row>
    <row r="44" spans="1:8">
      <c r="A44" s="20">
        <v>43405</v>
      </c>
      <c r="B44" s="19">
        <v>99.007000000000005</v>
      </c>
      <c r="C44">
        <f t="shared" si="0"/>
        <v>-8.358317663521235E-3</v>
      </c>
      <c r="D44">
        <f t="shared" si="1"/>
        <v>-8.358317663521235E-3</v>
      </c>
      <c r="E44">
        <f t="shared" si="2"/>
        <v>6.9861474164331077E-5</v>
      </c>
      <c r="H44">
        <f t="shared" ca="1" si="3"/>
        <v>1.0304666454404248</v>
      </c>
    </row>
    <row r="45" spans="1:8">
      <c r="A45" s="20">
        <v>43406</v>
      </c>
      <c r="B45" s="19">
        <v>99.230999999999995</v>
      </c>
      <c r="C45">
        <f t="shared" si="0"/>
        <v>2.2599107672022127E-3</v>
      </c>
      <c r="D45">
        <f t="shared" si="1"/>
        <v>2.2599107672022127E-3</v>
      </c>
      <c r="E45">
        <f t="shared" si="2"/>
        <v>5.1071966757164941E-6</v>
      </c>
      <c r="H45">
        <f t="shared" ca="1" si="3"/>
        <v>1.0305071168638551</v>
      </c>
    </row>
    <row r="46" spans="1:8">
      <c r="A46" s="20">
        <v>43409</v>
      </c>
      <c r="B46" s="19">
        <v>100.49299999999999</v>
      </c>
      <c r="C46">
        <f t="shared" si="0"/>
        <v>1.2637607859169394E-2</v>
      </c>
      <c r="D46">
        <f t="shared" si="1"/>
        <v>1.2637607859169394E-2</v>
      </c>
      <c r="E46">
        <f t="shared" si="2"/>
        <v>1.5970913240214004E-4</v>
      </c>
      <c r="H46">
        <f t="shared" ca="1" si="3"/>
        <v>1.0304104906540261</v>
      </c>
    </row>
    <row r="47" spans="1:8">
      <c r="A47" s="20">
        <v>43410</v>
      </c>
      <c r="B47" s="19">
        <v>100.68899999999999</v>
      </c>
      <c r="C47">
        <f t="shared" si="0"/>
        <v>1.9484850733270493E-3</v>
      </c>
      <c r="D47">
        <f t="shared" si="1"/>
        <v>1.9484850733270493E-3</v>
      </c>
      <c r="E47">
        <f t="shared" si="2"/>
        <v>3.7965940809783166E-6</v>
      </c>
      <c r="H47">
        <f t="shared" ca="1" si="3"/>
        <v>1.030507935990477</v>
      </c>
    </row>
    <row r="48" spans="1:8">
      <c r="A48" s="20">
        <v>43411</v>
      </c>
      <c r="B48" s="19">
        <v>104.652</v>
      </c>
      <c r="C48">
        <f t="shared" si="0"/>
        <v>3.8604001627480282E-2</v>
      </c>
      <c r="D48">
        <f t="shared" si="1"/>
        <v>3.8604001627480282E-2</v>
      </c>
      <c r="E48">
        <f t="shared" si="2"/>
        <v>1.4902689416545004E-3</v>
      </c>
      <c r="H48">
        <f t="shared" ca="1" si="3"/>
        <v>1.0295788907732435</v>
      </c>
    </row>
    <row r="49" spans="1:8">
      <c r="A49" s="20">
        <v>43412</v>
      </c>
      <c r="B49" s="19">
        <v>104.456</v>
      </c>
      <c r="C49">
        <f t="shared" si="0"/>
        <v>-1.8746299271114053E-3</v>
      </c>
      <c r="D49">
        <f t="shared" si="1"/>
        <v>-1.8746299271114053E-3</v>
      </c>
      <c r="E49">
        <f t="shared" si="2"/>
        <v>3.5142373636217127E-6</v>
      </c>
      <c r="H49">
        <f t="shared" ca="1" si="3"/>
        <v>1.0305081124634252</v>
      </c>
    </row>
    <row r="50" spans="1:8">
      <c r="A50" s="20">
        <v>43413</v>
      </c>
      <c r="B50" s="19">
        <v>102.41800000000001</v>
      </c>
      <c r="C50">
        <f t="shared" si="0"/>
        <v>-1.97034516980437E-2</v>
      </c>
      <c r="D50">
        <f t="shared" si="1"/>
        <v>-1.97034516980437E-2</v>
      </c>
      <c r="E50">
        <f t="shared" si="2"/>
        <v>3.8822600881714117E-4</v>
      </c>
      <c r="H50">
        <f t="shared" ca="1" si="3"/>
        <v>1.0302676676062668</v>
      </c>
    </row>
    <row r="51" spans="1:8">
      <c r="A51" s="20">
        <v>43416</v>
      </c>
      <c r="B51" s="19">
        <v>99.894999999999996</v>
      </c>
      <c r="C51">
        <f t="shared" si="0"/>
        <v>-2.4942844055781621E-2</v>
      </c>
      <c r="D51">
        <f t="shared" si="1"/>
        <v>-2.4942844055781621E-2</v>
      </c>
      <c r="E51">
        <f t="shared" si="2"/>
        <v>6.2214546959104059E-4</v>
      </c>
      <c r="H51">
        <f t="shared" ca="1" si="3"/>
        <v>1.0301214679432831</v>
      </c>
    </row>
    <row r="52" spans="1:8">
      <c r="A52" s="20">
        <v>43417</v>
      </c>
      <c r="B52" s="19">
        <v>99.96</v>
      </c>
      <c r="C52">
        <f t="shared" si="0"/>
        <v>6.5047161483941681E-4</v>
      </c>
      <c r="D52">
        <f t="shared" si="1"/>
        <v>6.5047161483941681E-4</v>
      </c>
      <c r="E52">
        <f t="shared" si="2"/>
        <v>4.2311332171179859E-7</v>
      </c>
      <c r="H52">
        <f t="shared" ca="1" si="3"/>
        <v>1.0305100444159514</v>
      </c>
    </row>
    <row r="53" spans="1:8">
      <c r="A53" s="20">
        <v>43418</v>
      </c>
      <c r="B53" s="19">
        <v>98.549000000000007</v>
      </c>
      <c r="C53">
        <f t="shared" si="0"/>
        <v>-1.4216219552939587E-2</v>
      </c>
      <c r="D53">
        <f t="shared" si="1"/>
        <v>-1.4216219552939587E-2</v>
      </c>
      <c r="E53">
        <f t="shared" si="2"/>
        <v>2.0210089837738182E-4</v>
      </c>
      <c r="H53">
        <f t="shared" ca="1" si="3"/>
        <v>1.0303839958002916</v>
      </c>
    </row>
    <row r="54" spans="1:8">
      <c r="A54" s="20">
        <v>43419</v>
      </c>
      <c r="B54" s="19">
        <v>100.717</v>
      </c>
      <c r="C54">
        <f t="shared" si="0"/>
        <v>2.1760717334599007E-2</v>
      </c>
      <c r="D54">
        <f t="shared" si="1"/>
        <v>2.1760717334599007E-2</v>
      </c>
      <c r="E54">
        <f t="shared" si="2"/>
        <v>4.735288189163177E-4</v>
      </c>
      <c r="H54">
        <f t="shared" ca="1" si="3"/>
        <v>1.0302143533499548</v>
      </c>
    </row>
    <row r="55" spans="1:8">
      <c r="A55" s="20">
        <v>43420</v>
      </c>
      <c r="B55" s="19">
        <v>101.66500000000001</v>
      </c>
      <c r="C55">
        <f t="shared" si="0"/>
        <v>9.3684906138940052E-3</v>
      </c>
      <c r="D55">
        <f t="shared" si="1"/>
        <v>9.3684906138940052E-3</v>
      </c>
      <c r="E55">
        <f t="shared" si="2"/>
        <v>8.7768616382620079E-5</v>
      </c>
      <c r="H55">
        <f t="shared" ca="1" si="3"/>
        <v>1.0304554534765384</v>
      </c>
    </row>
    <row r="56" spans="1:8">
      <c r="A56" s="20">
        <v>43423</v>
      </c>
      <c r="B56" s="19">
        <v>98.22</v>
      </c>
      <c r="C56">
        <f t="shared" si="0"/>
        <v>-3.4473233751206547E-2</v>
      </c>
      <c r="D56">
        <f t="shared" si="1"/>
        <v>-3.4473233751206547E-2</v>
      </c>
      <c r="E56">
        <f t="shared" si="2"/>
        <v>1.1884038452653263E-3</v>
      </c>
      <c r="H56">
        <f t="shared" ca="1" si="3"/>
        <v>1.0297675564584867</v>
      </c>
    </row>
    <row r="57" spans="1:8">
      <c r="A57" s="20">
        <v>43424</v>
      </c>
      <c r="B57" s="19">
        <v>95.488</v>
      </c>
      <c r="C57">
        <f t="shared" si="0"/>
        <v>-2.820927546985762E-2</v>
      </c>
      <c r="D57">
        <f t="shared" si="1"/>
        <v>-2.820927546985762E-2</v>
      </c>
      <c r="E57">
        <f t="shared" si="2"/>
        <v>7.9576322253431086E-4</v>
      </c>
      <c r="H57">
        <f t="shared" ca="1" si="3"/>
        <v>1.0300129568476937</v>
      </c>
    </row>
    <row r="58" spans="1:8">
      <c r="A58" s="20">
        <v>43425</v>
      </c>
      <c r="B58" s="19">
        <v>96.802000000000007</v>
      </c>
      <c r="C58">
        <f t="shared" si="0"/>
        <v>1.3667070084876394E-2</v>
      </c>
      <c r="D58">
        <f t="shared" si="1"/>
        <v>1.3667070084876394E-2</v>
      </c>
      <c r="E58">
        <f t="shared" si="2"/>
        <v>1.8678880470492324E-4</v>
      </c>
      <c r="H58">
        <f t="shared" ca="1" si="3"/>
        <v>1.030393565858837</v>
      </c>
    </row>
    <row r="59" spans="1:8">
      <c r="A59" s="20">
        <v>43427</v>
      </c>
      <c r="B59" s="19">
        <v>96.765000000000001</v>
      </c>
      <c r="C59">
        <f t="shared" si="0"/>
        <v>-3.8229657380274437E-4</v>
      </c>
      <c r="D59">
        <f t="shared" si="1"/>
        <v>-3.8229657380274437E-4</v>
      </c>
      <c r="E59">
        <f t="shared" si="2"/>
        <v>1.4615067034131718E-7</v>
      </c>
      <c r="H59">
        <f t="shared" ca="1" si="3"/>
        <v>1.0305102175176086</v>
      </c>
    </row>
    <row r="60" spans="1:8">
      <c r="A60" s="20">
        <v>43430</v>
      </c>
      <c r="B60" s="19">
        <v>99.956999999999994</v>
      </c>
      <c r="C60">
        <f t="shared" si="0"/>
        <v>3.2454734859265706E-2</v>
      </c>
      <c r="D60">
        <f t="shared" si="1"/>
        <v>3.2454734859265706E-2</v>
      </c>
      <c r="E60">
        <f t="shared" si="2"/>
        <v>1.0533098147852366E-3</v>
      </c>
      <c r="H60">
        <f t="shared" ca="1" si="3"/>
        <v>1.0298519902275367</v>
      </c>
    </row>
    <row r="61" spans="1:8">
      <c r="A61" s="20">
        <v>43431</v>
      </c>
      <c r="B61" s="19">
        <v>100.586</v>
      </c>
      <c r="C61">
        <f t="shared" si="0"/>
        <v>6.2729894597695615E-3</v>
      </c>
      <c r="D61">
        <f t="shared" si="1"/>
        <v>6.2729894597695615E-3</v>
      </c>
      <c r="E61">
        <f t="shared" si="2"/>
        <v>3.9350396762380018E-5</v>
      </c>
      <c r="H61">
        <f t="shared" ca="1" si="3"/>
        <v>1.0304857148638011</v>
      </c>
    </row>
    <row r="62" spans="1:8">
      <c r="A62" s="20">
        <v>43432</v>
      </c>
      <c r="B62" s="19">
        <v>104.322</v>
      </c>
      <c r="C62">
        <f t="shared" si="0"/>
        <v>3.6469186802357847E-2</v>
      </c>
      <c r="D62">
        <f t="shared" si="1"/>
        <v>3.6469186802357847E-2</v>
      </c>
      <c r="E62">
        <f t="shared" si="2"/>
        <v>1.3300015860252719E-3</v>
      </c>
      <c r="H62">
        <f t="shared" ca="1" si="3"/>
        <v>1.0296790578705117</v>
      </c>
    </row>
    <row r="63" spans="1:8">
      <c r="A63" s="20">
        <v>43433</v>
      </c>
      <c r="B63" s="19">
        <v>103.449</v>
      </c>
      <c r="C63">
        <f t="shared" si="0"/>
        <v>-8.4035321344349614E-3</v>
      </c>
      <c r="D63">
        <f t="shared" si="1"/>
        <v>-8.4035321344349614E-3</v>
      </c>
      <c r="E63">
        <f t="shared" si="2"/>
        <v>7.0619352334481018E-5</v>
      </c>
      <c r="H63">
        <f t="shared" ca="1" si="3"/>
        <v>1.0304661717665684</v>
      </c>
    </row>
    <row r="64" spans="1:8">
      <c r="A64" s="20">
        <v>43434</v>
      </c>
      <c r="B64" s="19">
        <v>104.10599999999999</v>
      </c>
      <c r="C64">
        <f t="shared" si="0"/>
        <v>6.3308732083168767E-3</v>
      </c>
      <c r="D64">
        <f t="shared" si="1"/>
        <v>6.3308732083168767E-3</v>
      </c>
      <c r="E64">
        <f t="shared" si="2"/>
        <v>4.0079955579784423E-5</v>
      </c>
      <c r="H64">
        <f t="shared" ca="1" si="3"/>
        <v>1.0304852588895401</v>
      </c>
    </row>
    <row r="65" spans="1:8">
      <c r="A65" s="20">
        <v>43437</v>
      </c>
      <c r="B65" s="19">
        <v>105.233</v>
      </c>
      <c r="C65">
        <f t="shared" si="0"/>
        <v>1.0767328479086787E-2</v>
      </c>
      <c r="D65">
        <f t="shared" si="1"/>
        <v>1.0767328479086787E-2</v>
      </c>
      <c r="E65">
        <f t="shared" si="2"/>
        <v>1.1593536257655338E-4</v>
      </c>
      <c r="H65">
        <f t="shared" ca="1" si="3"/>
        <v>1.0304378492601671</v>
      </c>
    </row>
    <row r="66" spans="1:8">
      <c r="A66" s="20">
        <v>43438</v>
      </c>
      <c r="B66" s="19">
        <v>101.881</v>
      </c>
      <c r="C66">
        <f t="shared" si="0"/>
        <v>-3.2371473794412159E-2</v>
      </c>
      <c r="D66">
        <f t="shared" si="1"/>
        <v>-3.2371473794412159E-2</v>
      </c>
      <c r="E66">
        <f t="shared" si="2"/>
        <v>1.0479123156223132E-3</v>
      </c>
      <c r="H66">
        <f t="shared" ca="1" si="3"/>
        <v>1.0298553636645136</v>
      </c>
    </row>
    <row r="67" spans="1:8">
      <c r="A67" s="20">
        <v>43440</v>
      </c>
      <c r="B67" s="19">
        <v>102.51</v>
      </c>
      <c r="C67">
        <f t="shared" si="0"/>
        <v>6.154889263045916E-3</v>
      </c>
      <c r="D67">
        <f t="shared" si="1"/>
        <v>6.154889263045916E-3</v>
      </c>
      <c r="E67">
        <f t="shared" si="2"/>
        <v>3.7882661840357896E-5</v>
      </c>
      <c r="H67">
        <f t="shared" ca="1" si="3"/>
        <v>1.0304866321981272</v>
      </c>
    </row>
    <row r="68" spans="1:8">
      <c r="A68" s="20">
        <v>43441</v>
      </c>
      <c r="B68" s="19">
        <v>98.408000000000001</v>
      </c>
      <c r="C68">
        <f t="shared" ref="C68:C83" si="4">LN(B68/B67)</f>
        <v>-4.0838253228826338E-2</v>
      </c>
      <c r="D68">
        <f t="shared" ref="D68:D83" si="5">C68-$G$3</f>
        <v>-4.0838253228826338E-2</v>
      </c>
      <c r="E68">
        <f t="shared" ref="E68:E83" si="6">D68^2</f>
        <v>1.6677629267817448E-3</v>
      </c>
      <c r="H68">
        <f t="shared" ref="H68:H83" ca="1" si="7">(0.5*LN(2*PI()))-(0.5*LN($G$6))-(0.5*E68/$G$6)</f>
        <v>1.0294679570325389</v>
      </c>
    </row>
    <row r="69" spans="1:8">
      <c r="A69" s="20">
        <v>43444</v>
      </c>
      <c r="B69" s="19">
        <v>101.008</v>
      </c>
      <c r="C69">
        <f t="shared" si="4"/>
        <v>2.6077620058785896E-2</v>
      </c>
      <c r="D69">
        <f t="shared" si="5"/>
        <v>2.6077620058785896E-2</v>
      </c>
      <c r="E69">
        <f t="shared" si="6"/>
        <v>6.8004226793039245E-4</v>
      </c>
      <c r="H69">
        <f t="shared" ca="1" si="7"/>
        <v>1.030085282444321</v>
      </c>
    </row>
    <row r="70" spans="1:8">
      <c r="A70" s="20">
        <v>43445</v>
      </c>
      <c r="B70" s="19">
        <v>101.947</v>
      </c>
      <c r="C70">
        <f t="shared" si="4"/>
        <v>9.2533487729270798E-3</v>
      </c>
      <c r="D70">
        <f t="shared" si="5"/>
        <v>9.2533487729270798E-3</v>
      </c>
      <c r="E70">
        <f t="shared" si="6"/>
        <v>8.5624463513431093E-5</v>
      </c>
      <c r="H70">
        <f t="shared" ca="1" si="7"/>
        <v>1.0304567935720816</v>
      </c>
    </row>
    <row r="71" spans="1:8">
      <c r="A71" s="20">
        <v>43446</v>
      </c>
      <c r="B71" s="19">
        <v>102.407</v>
      </c>
      <c r="C71">
        <f t="shared" si="4"/>
        <v>4.5019992458149392E-3</v>
      </c>
      <c r="D71">
        <f t="shared" si="5"/>
        <v>4.5019992458149392E-3</v>
      </c>
      <c r="E71">
        <f t="shared" si="6"/>
        <v>2.0267997209318282E-5</v>
      </c>
      <c r="H71">
        <f t="shared" ca="1" si="7"/>
        <v>1.0304976413635216</v>
      </c>
    </row>
    <row r="72" spans="1:8">
      <c r="A72" s="20">
        <v>43447</v>
      </c>
      <c r="B72" s="19">
        <v>102.755</v>
      </c>
      <c r="C72">
        <f t="shared" si="4"/>
        <v>3.3924443488717909E-3</v>
      </c>
      <c r="D72">
        <f t="shared" si="5"/>
        <v>3.3924443488717909E-3</v>
      </c>
      <c r="E72">
        <f t="shared" si="6"/>
        <v>1.150867866019215E-5</v>
      </c>
      <c r="H72">
        <f t="shared" ca="1" si="7"/>
        <v>1.030503115937615</v>
      </c>
    </row>
    <row r="73" spans="1:8">
      <c r="A73" s="20">
        <v>43448</v>
      </c>
      <c r="B73" s="19">
        <v>99.543999999999997</v>
      </c>
      <c r="C73">
        <f t="shared" si="4"/>
        <v>-3.1747756519553506E-2</v>
      </c>
      <c r="D73">
        <f t="shared" si="5"/>
        <v>-3.1747756519553506E-2</v>
      </c>
      <c r="E73">
        <f t="shared" si="6"/>
        <v>1.0079200440248522E-3</v>
      </c>
      <c r="H73">
        <f t="shared" ca="1" si="7"/>
        <v>1.029880358834262</v>
      </c>
    </row>
    <row r="74" spans="1:8">
      <c r="A74" s="20">
        <v>43451</v>
      </c>
      <c r="B74" s="19">
        <v>96.596000000000004</v>
      </c>
      <c r="C74">
        <f t="shared" si="4"/>
        <v>-3.0062424979681916E-2</v>
      </c>
      <c r="D74">
        <f t="shared" si="5"/>
        <v>-3.0062424979681916E-2</v>
      </c>
      <c r="E74">
        <f t="shared" si="6"/>
        <v>9.0374939565900331E-4</v>
      </c>
      <c r="H74">
        <f t="shared" ca="1" si="7"/>
        <v>1.0299454654894906</v>
      </c>
    </row>
    <row r="75" spans="1:8">
      <c r="A75" s="20">
        <v>43452</v>
      </c>
      <c r="B75" s="19">
        <v>97.61</v>
      </c>
      <c r="C75">
        <f t="shared" si="4"/>
        <v>1.0442614693225539E-2</v>
      </c>
      <c r="D75">
        <f t="shared" si="5"/>
        <v>1.0442614693225539E-2</v>
      </c>
      <c r="E75">
        <f t="shared" si="6"/>
        <v>1.0904820163116992E-4</v>
      </c>
      <c r="H75">
        <f t="shared" ca="1" si="7"/>
        <v>1.030442153735758</v>
      </c>
    </row>
    <row r="76" spans="1:8">
      <c r="A76" s="20">
        <v>43453</v>
      </c>
      <c r="B76" s="19">
        <v>97.346999999999994</v>
      </c>
      <c r="C76">
        <f t="shared" si="4"/>
        <v>-2.6980324844936383E-3</v>
      </c>
      <c r="D76">
        <f t="shared" si="5"/>
        <v>-2.6980324844936383E-3</v>
      </c>
      <c r="E76">
        <f t="shared" si="6"/>
        <v>7.2793792873829149E-6</v>
      </c>
      <c r="H76">
        <f t="shared" ca="1" si="7"/>
        <v>1.0305057592497229</v>
      </c>
    </row>
    <row r="77" spans="1:8">
      <c r="A77" s="20">
        <v>43454</v>
      </c>
      <c r="B77" s="19">
        <v>95.3</v>
      </c>
      <c r="C77">
        <f t="shared" si="4"/>
        <v>-2.1252104042223687E-2</v>
      </c>
      <c r="D77">
        <f t="shared" si="5"/>
        <v>-2.1252104042223687E-2</v>
      </c>
      <c r="E77">
        <f t="shared" si="6"/>
        <v>4.5165192622150039E-4</v>
      </c>
      <c r="H77">
        <f t="shared" ca="1" si="7"/>
        <v>1.0302280264078891</v>
      </c>
    </row>
    <row r="78" spans="1:8">
      <c r="A78" s="20">
        <v>43455</v>
      </c>
      <c r="B78" s="19">
        <v>92.221000000000004</v>
      </c>
      <c r="C78">
        <f t="shared" si="4"/>
        <v>-3.2841940305602287E-2</v>
      </c>
      <c r="D78">
        <f t="shared" si="5"/>
        <v>-3.2841940305602287E-2</v>
      </c>
      <c r="E78">
        <f t="shared" si="6"/>
        <v>1.078593043036744E-3</v>
      </c>
      <c r="H78">
        <f t="shared" ca="1" si="7"/>
        <v>1.0298361882098797</v>
      </c>
    </row>
    <row r="79" spans="1:8">
      <c r="A79" s="20">
        <v>43458</v>
      </c>
      <c r="B79" s="19">
        <v>88.372</v>
      </c>
      <c r="C79">
        <f t="shared" si="4"/>
        <v>-4.263269296577242E-2</v>
      </c>
      <c r="D79">
        <f t="shared" si="5"/>
        <v>-4.263269296577242E-2</v>
      </c>
      <c r="E79">
        <f t="shared" si="6"/>
        <v>1.8175465095138213E-3</v>
      </c>
      <c r="H79">
        <f t="shared" ca="1" si="7"/>
        <v>1.0293743422933315</v>
      </c>
    </row>
    <row r="80" spans="1:8">
      <c r="A80" s="20">
        <v>43460</v>
      </c>
      <c r="B80" s="19">
        <v>94.408000000000001</v>
      </c>
      <c r="C80">
        <f t="shared" si="4"/>
        <v>6.6070637934665943E-2</v>
      </c>
      <c r="D80">
        <f t="shared" si="5"/>
        <v>6.6070637934665943E-2</v>
      </c>
      <c r="E80">
        <f t="shared" si="6"/>
        <v>4.3653291970937183E-3</v>
      </c>
      <c r="H80">
        <f t="shared" ca="1" si="7"/>
        <v>1.027781978113594</v>
      </c>
    </row>
    <row r="81" spans="1:8">
      <c r="A81" s="20">
        <v>43461</v>
      </c>
      <c r="B81" s="19">
        <v>94.99</v>
      </c>
      <c r="C81">
        <f t="shared" si="4"/>
        <v>6.1458075786435E-3</v>
      </c>
      <c r="D81">
        <f t="shared" si="5"/>
        <v>6.1458075786435E-3</v>
      </c>
      <c r="E81">
        <f t="shared" si="6"/>
        <v>3.7770950793711882E-5</v>
      </c>
      <c r="H81">
        <f t="shared" ca="1" si="7"/>
        <v>1.0304867020175315</v>
      </c>
    </row>
    <row r="82" spans="1:8">
      <c r="A82" s="20">
        <v>43462</v>
      </c>
      <c r="B82" s="19">
        <v>94.248999999999995</v>
      </c>
      <c r="C82">
        <f t="shared" si="4"/>
        <v>-7.831406709833769E-3</v>
      </c>
      <c r="D82">
        <f t="shared" si="5"/>
        <v>-7.831406709833769E-3</v>
      </c>
      <c r="E82">
        <f t="shared" si="6"/>
        <v>6.1330931054829382E-5</v>
      </c>
      <c r="H82">
        <f t="shared" ca="1" si="7"/>
        <v>1.0304719770298683</v>
      </c>
    </row>
    <row r="83" spans="1:8">
      <c r="A83" s="20">
        <v>43465</v>
      </c>
      <c r="B83" s="19">
        <v>95.356999999999999</v>
      </c>
      <c r="C83">
        <f t="shared" si="4"/>
        <v>1.1687526898370954E-2</v>
      </c>
      <c r="D83">
        <f t="shared" si="5"/>
        <v>1.1687526898370954E-2</v>
      </c>
      <c r="E83">
        <f t="shared" si="6"/>
        <v>1.3659828500014459E-4</v>
      </c>
      <c r="H83">
        <f t="shared" ca="1" si="7"/>
        <v>1.0304249349336525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33E-2FC8-4DD8-B721-6CE0281927B1}">
  <sheetPr>
    <tabColor theme="8" tint="0.39997558519241921"/>
  </sheetPr>
  <dimension ref="A1:J57"/>
  <sheetViews>
    <sheetView workbookViewId="0">
      <pane ySplit="1" topLeftCell="A2" activePane="bottomLeft" state="frozen"/>
      <selection pane="bottomLeft" activeCell="M14" sqref="M14"/>
    </sheetView>
  </sheetViews>
  <sheetFormatPr defaultRowHeight="12.5"/>
  <cols>
    <col min="1" max="2" width="10.08984375" bestFit="1" customWidth="1"/>
    <col min="3" max="3" width="4.36328125" bestFit="1" customWidth="1"/>
    <col min="4" max="4" width="8.90625" bestFit="1" customWidth="1"/>
    <col min="5" max="5" width="7.81640625" bestFit="1" customWidth="1"/>
    <col min="6" max="6" width="10.0898437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15.08984375" customWidth="1"/>
    <col min="11" max="11" width="15.54296875" customWidth="1"/>
  </cols>
  <sheetData>
    <row r="1" spans="1:10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8" t="s">
        <v>130</v>
      </c>
    </row>
    <row r="2" spans="1:10">
      <c r="A2" s="20">
        <v>45807</v>
      </c>
      <c r="B2" s="21">
        <v>45838</v>
      </c>
      <c r="C2" s="19">
        <v>30</v>
      </c>
      <c r="D2" s="22">
        <v>17000</v>
      </c>
      <c r="E2" s="19">
        <v>24833.599999999999</v>
      </c>
      <c r="F2" s="18" t="s">
        <v>1</v>
      </c>
      <c r="G2" s="19">
        <v>51.53</v>
      </c>
      <c r="H2" s="19">
        <v>7900.8250000000007</v>
      </c>
      <c r="I2" s="19">
        <v>2655</v>
      </c>
      <c r="J2" s="43">
        <v>4.4999999999999998E-2</v>
      </c>
    </row>
    <row r="3" spans="1:10">
      <c r="A3" s="20">
        <v>45807</v>
      </c>
      <c r="B3" s="21">
        <v>45838</v>
      </c>
      <c r="C3" s="19">
        <v>30</v>
      </c>
      <c r="D3" s="22">
        <v>18000</v>
      </c>
      <c r="E3" s="19">
        <v>24833.599999999999</v>
      </c>
      <c r="F3" s="18" t="s">
        <v>1</v>
      </c>
      <c r="G3" s="19">
        <v>44.81</v>
      </c>
      <c r="H3" s="19">
        <v>6904.625</v>
      </c>
      <c r="I3" s="19">
        <v>1204</v>
      </c>
      <c r="J3" s="43">
        <v>4.4999999999999998E-2</v>
      </c>
    </row>
    <row r="4" spans="1:10">
      <c r="A4" s="20">
        <v>45807</v>
      </c>
      <c r="B4" s="21">
        <v>45838</v>
      </c>
      <c r="C4" s="19">
        <v>30</v>
      </c>
      <c r="D4" s="22">
        <v>19000</v>
      </c>
      <c r="E4" s="19">
        <v>24833.599999999999</v>
      </c>
      <c r="F4" s="18" t="s">
        <v>1</v>
      </c>
      <c r="G4" s="19">
        <v>38.83</v>
      </c>
      <c r="H4" s="19">
        <v>5915.0499999999993</v>
      </c>
      <c r="I4" s="19">
        <v>1974</v>
      </c>
      <c r="J4" s="43">
        <v>4.4999999999999998E-2</v>
      </c>
    </row>
    <row r="5" spans="1:10">
      <c r="A5" s="20">
        <v>45807</v>
      </c>
      <c r="B5" s="21">
        <v>45838</v>
      </c>
      <c r="C5" s="19">
        <v>30</v>
      </c>
      <c r="D5" s="22">
        <v>20000</v>
      </c>
      <c r="E5" s="19">
        <v>24833.599999999999</v>
      </c>
      <c r="F5" s="18" t="s">
        <v>1</v>
      </c>
      <c r="G5" s="19">
        <v>32.909999999999997</v>
      </c>
      <c r="H5" s="19">
        <v>4920.9750000000004</v>
      </c>
      <c r="I5" s="19">
        <v>5793</v>
      </c>
      <c r="J5" s="43">
        <v>4.4999999999999998E-2</v>
      </c>
    </row>
    <row r="6" spans="1:10">
      <c r="A6" s="20">
        <v>45807</v>
      </c>
      <c r="B6" s="21">
        <v>45838</v>
      </c>
      <c r="C6" s="19">
        <v>30</v>
      </c>
      <c r="D6" s="22">
        <v>20400</v>
      </c>
      <c r="E6" s="19">
        <v>24833.599999999999</v>
      </c>
      <c r="F6" s="18" t="s">
        <v>1</v>
      </c>
      <c r="G6" s="19">
        <v>29.89</v>
      </c>
      <c r="H6" s="19">
        <v>4351.6000000000004</v>
      </c>
      <c r="I6" s="19">
        <v>7</v>
      </c>
      <c r="J6" s="43">
        <v>4.4999999999999998E-2</v>
      </c>
    </row>
    <row r="7" spans="1:10">
      <c r="A7" s="20">
        <v>45807</v>
      </c>
      <c r="B7" s="21">
        <v>45838</v>
      </c>
      <c r="C7" s="19">
        <v>30</v>
      </c>
      <c r="D7" s="22">
        <v>20450</v>
      </c>
      <c r="E7" s="19">
        <v>24833.599999999999</v>
      </c>
      <c r="F7" s="18" t="s">
        <v>1</v>
      </c>
      <c r="G7" s="19">
        <v>30.2</v>
      </c>
      <c r="H7" s="19">
        <v>4508.625</v>
      </c>
      <c r="I7" s="19">
        <v>7</v>
      </c>
      <c r="J7" s="43">
        <v>4.4999999999999998E-2</v>
      </c>
    </row>
    <row r="8" spans="1:10">
      <c r="A8" s="20">
        <v>45807</v>
      </c>
      <c r="B8" s="21">
        <v>45838</v>
      </c>
      <c r="C8" s="19">
        <v>30</v>
      </c>
      <c r="D8" s="22">
        <v>20500</v>
      </c>
      <c r="E8" s="19">
        <v>24833.599999999999</v>
      </c>
      <c r="F8" s="18" t="s">
        <v>1</v>
      </c>
      <c r="G8" s="19">
        <v>29.98</v>
      </c>
      <c r="H8" s="19">
        <v>4289.95</v>
      </c>
      <c r="I8" s="19">
        <v>313</v>
      </c>
      <c r="J8" s="43">
        <v>4.4999999999999998E-2</v>
      </c>
    </row>
    <row r="9" spans="1:10">
      <c r="A9" s="20">
        <v>45807</v>
      </c>
      <c r="B9" s="21">
        <v>45838</v>
      </c>
      <c r="C9" s="19">
        <v>30</v>
      </c>
      <c r="D9" s="22">
        <v>20550</v>
      </c>
      <c r="E9" s="19">
        <v>24833.599999999999</v>
      </c>
      <c r="F9" s="18" t="s">
        <v>1</v>
      </c>
      <c r="G9" s="19">
        <v>30.23</v>
      </c>
      <c r="H9" s="19">
        <v>4192.1499999999996</v>
      </c>
      <c r="I9" s="19">
        <v>9</v>
      </c>
      <c r="J9" s="43">
        <v>4.4999999999999998E-2</v>
      </c>
    </row>
    <row r="10" spans="1:10">
      <c r="A10" s="20">
        <v>45807</v>
      </c>
      <c r="B10" s="21">
        <v>45838</v>
      </c>
      <c r="C10" s="19">
        <v>30</v>
      </c>
      <c r="D10" s="22">
        <v>20600</v>
      </c>
      <c r="E10" s="19">
        <v>24833.599999999999</v>
      </c>
      <c r="F10" s="18" t="s">
        <v>1</v>
      </c>
      <c r="G10" s="19" t="s">
        <v>15</v>
      </c>
      <c r="H10" s="19">
        <v>4318.3500000000004</v>
      </c>
      <c r="I10" s="19">
        <v>8</v>
      </c>
      <c r="J10" s="43">
        <v>4.4999999999999998E-2</v>
      </c>
    </row>
    <row r="11" spans="1:10">
      <c r="A11" s="20">
        <v>45807</v>
      </c>
      <c r="B11" s="21">
        <v>45838</v>
      </c>
      <c r="C11" s="19">
        <v>30</v>
      </c>
      <c r="D11" s="22">
        <v>20650</v>
      </c>
      <c r="E11" s="19">
        <v>24833.599999999999</v>
      </c>
      <c r="F11" s="18" t="s">
        <v>1</v>
      </c>
      <c r="G11" s="19">
        <v>29.73</v>
      </c>
      <c r="H11" s="19">
        <v>4147.8</v>
      </c>
      <c r="I11" s="19">
        <v>8</v>
      </c>
      <c r="J11" s="43">
        <v>4.4999999999999998E-2</v>
      </c>
    </row>
    <row r="12" spans="1:10">
      <c r="A12" s="20">
        <v>45807</v>
      </c>
      <c r="B12" s="21">
        <v>45838</v>
      </c>
      <c r="C12" s="19">
        <v>30</v>
      </c>
      <c r="D12" s="22">
        <v>17000</v>
      </c>
      <c r="E12" s="19">
        <v>24833.599999999999</v>
      </c>
      <c r="F12" s="18" t="s">
        <v>2</v>
      </c>
      <c r="G12" s="19">
        <v>51.53</v>
      </c>
      <c r="H12" s="19">
        <v>3.3</v>
      </c>
      <c r="I12" s="19">
        <v>1877</v>
      </c>
      <c r="J12" s="43">
        <v>4.4999999999999998E-2</v>
      </c>
    </row>
    <row r="13" spans="1:10">
      <c r="A13" s="20">
        <v>45807</v>
      </c>
      <c r="B13" s="21">
        <v>45838</v>
      </c>
      <c r="C13" s="19">
        <v>30</v>
      </c>
      <c r="D13" s="22">
        <v>18000</v>
      </c>
      <c r="E13" s="19">
        <v>24833.599999999999</v>
      </c>
      <c r="F13" s="18" t="s">
        <v>2</v>
      </c>
      <c r="G13" s="19">
        <v>44.81</v>
      </c>
      <c r="H13" s="19">
        <v>3.45</v>
      </c>
      <c r="I13" s="19">
        <v>5501</v>
      </c>
      <c r="J13" s="43">
        <v>4.4999999999999998E-2</v>
      </c>
    </row>
    <row r="14" spans="1:10">
      <c r="A14" s="20">
        <v>45807</v>
      </c>
      <c r="B14" s="21">
        <v>45838</v>
      </c>
      <c r="C14" s="19">
        <v>30</v>
      </c>
      <c r="D14" s="22">
        <v>19000</v>
      </c>
      <c r="E14" s="19">
        <v>24833.599999999999</v>
      </c>
      <c r="F14" s="18" t="s">
        <v>2</v>
      </c>
      <c r="G14" s="19">
        <v>38.83</v>
      </c>
      <c r="H14" s="19">
        <v>3.875</v>
      </c>
      <c r="I14" s="19">
        <v>8571</v>
      </c>
      <c r="J14" s="43">
        <v>4.4999999999999998E-2</v>
      </c>
    </row>
    <row r="15" spans="1:10">
      <c r="A15" s="20">
        <v>45807</v>
      </c>
      <c r="B15" s="21">
        <v>45838</v>
      </c>
      <c r="C15" s="19">
        <v>30</v>
      </c>
      <c r="D15" s="22">
        <v>20000</v>
      </c>
      <c r="E15" s="19">
        <v>24833.599999999999</v>
      </c>
      <c r="F15" s="18" t="s">
        <v>2</v>
      </c>
      <c r="G15" s="19">
        <v>32.909999999999997</v>
      </c>
      <c r="H15" s="19">
        <v>4.6500000000000004</v>
      </c>
      <c r="I15" s="19">
        <v>20400</v>
      </c>
      <c r="J15" s="43">
        <v>4.4999999999999998E-2</v>
      </c>
    </row>
    <row r="16" spans="1:10">
      <c r="A16" s="20">
        <v>45807</v>
      </c>
      <c r="B16" s="21">
        <v>45838</v>
      </c>
      <c r="C16" s="19">
        <v>30</v>
      </c>
      <c r="D16" s="22">
        <v>20400</v>
      </c>
      <c r="E16" s="19">
        <v>24833.599999999999</v>
      </c>
      <c r="F16" s="18" t="s">
        <v>2</v>
      </c>
      <c r="G16" s="19">
        <v>29.89</v>
      </c>
      <c r="H16" s="19">
        <v>4.55</v>
      </c>
      <c r="I16" s="19">
        <v>97</v>
      </c>
      <c r="J16" s="43">
        <v>4.4999999999999998E-2</v>
      </c>
    </row>
    <row r="17" spans="1:10">
      <c r="A17" s="20">
        <v>45807</v>
      </c>
      <c r="B17" s="21">
        <v>45838</v>
      </c>
      <c r="C17" s="19">
        <v>30</v>
      </c>
      <c r="D17" s="22">
        <v>20450</v>
      </c>
      <c r="E17" s="19">
        <v>24833.599999999999</v>
      </c>
      <c r="F17" s="18" t="s">
        <v>2</v>
      </c>
      <c r="G17" s="19">
        <v>30.2</v>
      </c>
      <c r="H17" s="19">
        <v>11.524999999999999</v>
      </c>
      <c r="I17" s="19">
        <v>18</v>
      </c>
      <c r="J17" s="43">
        <v>4.4999999999999998E-2</v>
      </c>
    </row>
    <row r="18" spans="1:10">
      <c r="A18" s="20">
        <v>45807</v>
      </c>
      <c r="B18" s="21">
        <v>45838</v>
      </c>
      <c r="C18" s="19">
        <v>30</v>
      </c>
      <c r="D18" s="22">
        <v>20500</v>
      </c>
      <c r="E18" s="19">
        <v>24833.599999999999</v>
      </c>
      <c r="F18" s="18" t="s">
        <v>2</v>
      </c>
      <c r="G18" s="19">
        <v>29.98</v>
      </c>
      <c r="H18" s="19">
        <v>4.8499999999999996</v>
      </c>
      <c r="I18" s="19">
        <v>3249</v>
      </c>
      <c r="J18" s="43">
        <v>4.4999999999999998E-2</v>
      </c>
    </row>
    <row r="19" spans="1:10">
      <c r="A19" s="20">
        <v>45807</v>
      </c>
      <c r="B19" s="21">
        <v>45838</v>
      </c>
      <c r="C19" s="19">
        <v>30</v>
      </c>
      <c r="D19" s="22">
        <v>20550</v>
      </c>
      <c r="E19" s="19">
        <v>24833.599999999999</v>
      </c>
      <c r="F19" s="18" t="s">
        <v>2</v>
      </c>
      <c r="G19" s="19">
        <v>30.23</v>
      </c>
      <c r="H19" s="19">
        <v>7.1</v>
      </c>
      <c r="I19" s="19">
        <v>17</v>
      </c>
      <c r="J19" s="43">
        <v>4.4999999999999998E-2</v>
      </c>
    </row>
    <row r="20" spans="1:10">
      <c r="A20" s="20">
        <v>45807</v>
      </c>
      <c r="B20" s="21">
        <v>45838</v>
      </c>
      <c r="C20" s="19">
        <v>30</v>
      </c>
      <c r="D20" s="22">
        <v>20600</v>
      </c>
      <c r="E20" s="19">
        <v>24833.599999999999</v>
      </c>
      <c r="F20" s="18" t="s">
        <v>2</v>
      </c>
      <c r="G20" s="19" t="s">
        <v>15</v>
      </c>
      <c r="H20" s="19">
        <v>7.1</v>
      </c>
      <c r="I20" s="19">
        <v>27</v>
      </c>
      <c r="J20" s="43">
        <v>4.4999999999999998E-2</v>
      </c>
    </row>
    <row r="21" spans="1:10">
      <c r="A21" s="20">
        <v>45807</v>
      </c>
      <c r="B21" s="21">
        <v>45838</v>
      </c>
      <c r="C21" s="19">
        <v>30</v>
      </c>
      <c r="D21" s="22">
        <v>20650</v>
      </c>
      <c r="E21" s="19">
        <v>24833.599999999999</v>
      </c>
      <c r="F21" s="18" t="s">
        <v>2</v>
      </c>
      <c r="G21" s="19">
        <v>29.73</v>
      </c>
      <c r="H21" s="19">
        <v>7.2249999999999996</v>
      </c>
      <c r="I21" s="19">
        <v>55</v>
      </c>
      <c r="J21" s="43">
        <v>4.4999999999999998E-2</v>
      </c>
    </row>
    <row r="22" spans="1:10">
      <c r="A22" s="23">
        <v>45807</v>
      </c>
      <c r="B22" s="23">
        <v>45894</v>
      </c>
      <c r="C22" s="24">
        <v>90</v>
      </c>
      <c r="D22" s="22">
        <v>20000</v>
      </c>
      <c r="E22" s="19">
        <v>24833.599999999999</v>
      </c>
      <c r="F22" s="18" t="s">
        <v>1</v>
      </c>
      <c r="G22" s="19" t="s">
        <v>15</v>
      </c>
      <c r="H22" s="19">
        <v>4300.0249999999996</v>
      </c>
      <c r="I22" s="19">
        <v>26</v>
      </c>
      <c r="J22" s="29">
        <v>5.5E-2</v>
      </c>
    </row>
    <row r="23" spans="1:10">
      <c r="A23" s="20">
        <v>45807</v>
      </c>
      <c r="B23" s="20">
        <v>45894</v>
      </c>
      <c r="C23" s="19">
        <v>90</v>
      </c>
      <c r="D23" s="22">
        <v>21000</v>
      </c>
      <c r="E23" s="19">
        <v>24833.599999999999</v>
      </c>
      <c r="F23" s="18" t="s">
        <v>1</v>
      </c>
      <c r="G23" s="19" t="s">
        <v>15</v>
      </c>
      <c r="H23" s="19">
        <v>3396</v>
      </c>
      <c r="I23" s="19">
        <v>595</v>
      </c>
      <c r="J23" s="29">
        <v>5.5E-2</v>
      </c>
    </row>
    <row r="24" spans="1:10">
      <c r="A24" s="20">
        <v>45807</v>
      </c>
      <c r="B24" s="20">
        <v>45894</v>
      </c>
      <c r="C24" s="19">
        <v>90</v>
      </c>
      <c r="D24" s="22">
        <v>22000</v>
      </c>
      <c r="E24" s="19">
        <v>24833.599999999999</v>
      </c>
      <c r="F24" s="18" t="s">
        <v>1</v>
      </c>
      <c r="G24" s="19" t="s">
        <v>15</v>
      </c>
      <c r="H24" s="19">
        <v>2458.25</v>
      </c>
      <c r="I24" s="19">
        <v>1746</v>
      </c>
      <c r="J24" s="29">
        <v>5.5E-2</v>
      </c>
    </row>
    <row r="25" spans="1:10">
      <c r="A25" s="20">
        <v>45807</v>
      </c>
      <c r="B25" s="20">
        <v>45894</v>
      </c>
      <c r="C25" s="19">
        <v>90</v>
      </c>
      <c r="D25" s="22">
        <v>23000</v>
      </c>
      <c r="E25" s="19">
        <v>24833.599999999999</v>
      </c>
      <c r="F25" s="18" t="s">
        <v>1</v>
      </c>
      <c r="G25" s="19">
        <v>8.5399999999999991</v>
      </c>
      <c r="H25" s="19">
        <v>1656.2</v>
      </c>
      <c r="I25" s="19">
        <v>4678</v>
      </c>
      <c r="J25" s="29">
        <v>5.5E-2</v>
      </c>
    </row>
    <row r="26" spans="1:10">
      <c r="A26" s="20">
        <v>45807</v>
      </c>
      <c r="B26" s="20">
        <v>45894</v>
      </c>
      <c r="C26" s="19">
        <v>90</v>
      </c>
      <c r="D26" s="22">
        <v>24000</v>
      </c>
      <c r="E26" s="19">
        <v>24833.599999999999</v>
      </c>
      <c r="F26" s="18" t="s">
        <v>1</v>
      </c>
      <c r="G26" s="19">
        <v>11.32</v>
      </c>
      <c r="H26" s="19">
        <v>994.52499999999998</v>
      </c>
      <c r="I26" s="19">
        <v>7140</v>
      </c>
      <c r="J26" s="29">
        <v>5.5E-2</v>
      </c>
    </row>
    <row r="27" spans="1:10">
      <c r="A27" s="20">
        <v>45807</v>
      </c>
      <c r="B27" s="20">
        <v>45894</v>
      </c>
      <c r="C27" s="19">
        <v>90</v>
      </c>
      <c r="D27" s="22">
        <v>25000</v>
      </c>
      <c r="E27" s="19">
        <v>24833.599999999999</v>
      </c>
      <c r="F27" s="18" t="s">
        <v>1</v>
      </c>
      <c r="G27" s="19">
        <v>11.64</v>
      </c>
      <c r="H27" s="19">
        <v>507.625</v>
      </c>
      <c r="I27" s="19">
        <v>8098</v>
      </c>
      <c r="J27" s="29">
        <v>5.5E-2</v>
      </c>
    </row>
    <row r="28" spans="1:10">
      <c r="A28" s="20">
        <v>45807</v>
      </c>
      <c r="B28" s="20">
        <v>45894</v>
      </c>
      <c r="C28" s="19">
        <v>90</v>
      </c>
      <c r="D28" s="22">
        <v>26000</v>
      </c>
      <c r="E28" s="19">
        <v>24833.599999999999</v>
      </c>
      <c r="F28" s="18" t="s">
        <v>1</v>
      </c>
      <c r="G28" s="19">
        <v>11.8</v>
      </c>
      <c r="H28" s="19">
        <v>220.75</v>
      </c>
      <c r="I28" s="19">
        <v>4881</v>
      </c>
      <c r="J28" s="29">
        <v>5.5E-2</v>
      </c>
    </row>
    <row r="29" spans="1:10">
      <c r="A29" s="20">
        <v>45807</v>
      </c>
      <c r="B29" s="20">
        <v>45894</v>
      </c>
      <c r="C29" s="19">
        <v>90</v>
      </c>
      <c r="D29" s="22">
        <v>27000</v>
      </c>
      <c r="E29" s="19">
        <v>24833.599999999999</v>
      </c>
      <c r="F29" s="18" t="s">
        <v>1</v>
      </c>
      <c r="G29" s="19">
        <v>12.18</v>
      </c>
      <c r="H29" s="19">
        <v>89.825000000000003</v>
      </c>
      <c r="I29" s="19">
        <v>5209</v>
      </c>
      <c r="J29" s="29">
        <v>5.5E-2</v>
      </c>
    </row>
    <row r="30" spans="1:10">
      <c r="A30" s="20">
        <v>45807</v>
      </c>
      <c r="B30" s="20">
        <v>45894</v>
      </c>
      <c r="C30" s="19">
        <v>90</v>
      </c>
      <c r="D30" s="22">
        <v>28000</v>
      </c>
      <c r="E30" s="19">
        <v>24833.599999999999</v>
      </c>
      <c r="F30" s="18" t="s">
        <v>1</v>
      </c>
      <c r="G30" s="19">
        <v>13.12</v>
      </c>
      <c r="H30" s="19">
        <v>41.325000000000003</v>
      </c>
      <c r="I30" s="19">
        <v>2743</v>
      </c>
      <c r="J30" s="29">
        <v>5.5E-2</v>
      </c>
    </row>
    <row r="31" spans="1:10">
      <c r="A31" s="20">
        <v>45807</v>
      </c>
      <c r="B31" s="20">
        <v>45894</v>
      </c>
      <c r="C31" s="19">
        <v>90</v>
      </c>
      <c r="D31" s="22">
        <v>29000</v>
      </c>
      <c r="E31" s="19">
        <v>24833.599999999999</v>
      </c>
      <c r="F31" s="18" t="s">
        <v>1</v>
      </c>
      <c r="G31" s="19">
        <v>14.26</v>
      </c>
      <c r="H31" s="19">
        <v>23.25</v>
      </c>
      <c r="I31" s="19">
        <v>504</v>
      </c>
      <c r="J31" s="29">
        <v>5.5E-2</v>
      </c>
    </row>
    <row r="32" spans="1:10">
      <c r="A32" s="20">
        <v>45807</v>
      </c>
      <c r="B32" s="20">
        <v>45894</v>
      </c>
      <c r="C32" s="19">
        <v>90</v>
      </c>
      <c r="D32" s="22">
        <v>20000</v>
      </c>
      <c r="E32" s="19">
        <v>24833.599999999999</v>
      </c>
      <c r="F32" s="18" t="s">
        <v>2</v>
      </c>
      <c r="G32" s="19">
        <v>22.74</v>
      </c>
      <c r="H32" s="19">
        <v>29.8</v>
      </c>
      <c r="I32" s="19">
        <v>5906</v>
      </c>
      <c r="J32" s="29">
        <v>5.5E-2</v>
      </c>
    </row>
    <row r="33" spans="1:10">
      <c r="A33" s="20">
        <v>45807</v>
      </c>
      <c r="B33" s="20">
        <v>45894</v>
      </c>
      <c r="C33" s="19">
        <v>90</v>
      </c>
      <c r="D33" s="22">
        <v>21000</v>
      </c>
      <c r="E33" s="19">
        <v>24833.599999999999</v>
      </c>
      <c r="F33" s="18" t="s">
        <v>2</v>
      </c>
      <c r="G33" s="19">
        <v>21.05</v>
      </c>
      <c r="H33" s="19">
        <v>52.424999999999997</v>
      </c>
      <c r="I33" s="19">
        <v>5152</v>
      </c>
      <c r="J33" s="29">
        <v>5.5E-2</v>
      </c>
    </row>
    <row r="34" spans="1:10">
      <c r="A34" s="20">
        <v>45807</v>
      </c>
      <c r="B34" s="20">
        <v>45894</v>
      </c>
      <c r="C34" s="19">
        <v>90</v>
      </c>
      <c r="D34" s="22">
        <v>22000</v>
      </c>
      <c r="E34" s="19">
        <v>24833.599999999999</v>
      </c>
      <c r="F34" s="18" t="s">
        <v>2</v>
      </c>
      <c r="G34" s="19">
        <v>19.510000000000002</v>
      </c>
      <c r="H34" s="19">
        <v>96.974999999999994</v>
      </c>
      <c r="I34" s="19">
        <v>7140</v>
      </c>
      <c r="J34" s="29">
        <v>5.5E-2</v>
      </c>
    </row>
    <row r="35" spans="1:10">
      <c r="A35" s="20">
        <v>45807</v>
      </c>
      <c r="B35" s="20">
        <v>45894</v>
      </c>
      <c r="C35" s="19">
        <v>90</v>
      </c>
      <c r="D35" s="22">
        <v>23000</v>
      </c>
      <c r="E35" s="19">
        <v>24833.599999999999</v>
      </c>
      <c r="F35" s="18" t="s">
        <v>2</v>
      </c>
      <c r="G35" s="19">
        <v>17.97</v>
      </c>
      <c r="H35" s="19">
        <v>177.52500000000001</v>
      </c>
      <c r="I35" s="19">
        <v>7759</v>
      </c>
      <c r="J35" s="29">
        <v>5.5E-2</v>
      </c>
    </row>
    <row r="36" spans="1:10">
      <c r="A36" s="20">
        <v>45807</v>
      </c>
      <c r="B36" s="20">
        <v>45894</v>
      </c>
      <c r="C36" s="19">
        <v>90</v>
      </c>
      <c r="D36" s="22">
        <v>24000</v>
      </c>
      <c r="E36" s="19">
        <v>24833.599999999999</v>
      </c>
      <c r="F36" s="18" t="s">
        <v>2</v>
      </c>
      <c r="G36" s="19">
        <v>17.05</v>
      </c>
      <c r="H36" s="19">
        <v>342.25</v>
      </c>
      <c r="I36" s="19">
        <v>12654</v>
      </c>
      <c r="J36" s="29">
        <v>5.5E-2</v>
      </c>
    </row>
    <row r="37" spans="1:10">
      <c r="A37" s="20">
        <v>45807</v>
      </c>
      <c r="B37" s="20">
        <v>45894</v>
      </c>
      <c r="C37" s="19">
        <v>90</v>
      </c>
      <c r="D37" s="22">
        <v>25000</v>
      </c>
      <c r="E37" s="19">
        <v>24833.599999999999</v>
      </c>
      <c r="F37" s="18" t="s">
        <v>2</v>
      </c>
      <c r="G37" s="19">
        <v>16.57</v>
      </c>
      <c r="H37" s="19">
        <v>641</v>
      </c>
      <c r="I37" s="19">
        <v>7434</v>
      </c>
      <c r="J37" s="29">
        <v>5.5E-2</v>
      </c>
    </row>
    <row r="38" spans="1:10">
      <c r="A38" s="20">
        <v>45807</v>
      </c>
      <c r="B38" s="20">
        <v>45894</v>
      </c>
      <c r="C38" s="19">
        <v>90</v>
      </c>
      <c r="D38" s="22">
        <v>26000</v>
      </c>
      <c r="E38" s="19">
        <v>24833.599999999999</v>
      </c>
      <c r="F38" s="18" t="s">
        <v>2</v>
      </c>
      <c r="G38" s="19">
        <v>16.46</v>
      </c>
      <c r="H38" s="19">
        <v>1118.2750000000001</v>
      </c>
      <c r="I38" s="19">
        <v>6537</v>
      </c>
      <c r="J38" s="29">
        <v>5.5E-2</v>
      </c>
    </row>
    <row r="39" spans="1:10">
      <c r="A39" s="20">
        <v>45807</v>
      </c>
      <c r="B39" s="20">
        <v>45894</v>
      </c>
      <c r="C39" s="19">
        <v>90</v>
      </c>
      <c r="D39" s="22">
        <v>27000</v>
      </c>
      <c r="E39" s="19">
        <v>24833.599999999999</v>
      </c>
      <c r="F39" s="18" t="s">
        <v>2</v>
      </c>
      <c r="G39" s="19">
        <v>17.36</v>
      </c>
      <c r="H39" s="19">
        <v>1795.7249999999999</v>
      </c>
      <c r="I39" s="19">
        <v>977</v>
      </c>
      <c r="J39" s="29">
        <v>5.5E-2</v>
      </c>
    </row>
    <row r="40" spans="1:10">
      <c r="A40" s="20">
        <v>45807</v>
      </c>
      <c r="B40" s="20">
        <v>45986</v>
      </c>
      <c r="C40" s="19">
        <v>180</v>
      </c>
      <c r="D40" s="22">
        <v>20000</v>
      </c>
      <c r="E40" s="19">
        <v>24833.599999999999</v>
      </c>
      <c r="F40" s="18" t="s">
        <v>1</v>
      </c>
      <c r="G40" s="19" t="s">
        <v>15</v>
      </c>
      <c r="H40" s="19">
        <v>5498.7</v>
      </c>
      <c r="I40" s="19">
        <v>1302</v>
      </c>
      <c r="J40" s="44">
        <v>0.06</v>
      </c>
    </row>
    <row r="41" spans="1:10">
      <c r="A41" s="20">
        <v>45807</v>
      </c>
      <c r="B41" s="20">
        <v>45986</v>
      </c>
      <c r="C41" s="19">
        <v>180</v>
      </c>
      <c r="D41" s="22">
        <v>21000</v>
      </c>
      <c r="E41" s="19">
        <v>24833.599999999999</v>
      </c>
      <c r="F41" s="18" t="s">
        <v>1</v>
      </c>
      <c r="G41" s="19" t="s">
        <v>15</v>
      </c>
      <c r="H41" s="19">
        <v>4621.25</v>
      </c>
      <c r="I41" s="19">
        <v>1483</v>
      </c>
      <c r="J41" s="44">
        <v>0.06</v>
      </c>
    </row>
    <row r="42" spans="1:10">
      <c r="A42" s="20">
        <v>45807</v>
      </c>
      <c r="B42" s="20">
        <v>45986</v>
      </c>
      <c r="C42" s="19">
        <v>180</v>
      </c>
      <c r="D42" s="22">
        <v>22000</v>
      </c>
      <c r="E42" s="19">
        <v>24833.599999999999</v>
      </c>
      <c r="F42" s="18" t="s">
        <v>1</v>
      </c>
      <c r="G42" s="19" t="s">
        <v>15</v>
      </c>
      <c r="H42" s="19">
        <v>3744.375</v>
      </c>
      <c r="I42" s="19">
        <v>3829</v>
      </c>
      <c r="J42" s="44">
        <v>0.06</v>
      </c>
    </row>
    <row r="43" spans="1:10">
      <c r="A43" s="20">
        <v>45807</v>
      </c>
      <c r="B43" s="20">
        <v>45986</v>
      </c>
      <c r="C43" s="19">
        <v>180</v>
      </c>
      <c r="D43" s="22">
        <v>23000</v>
      </c>
      <c r="E43" s="19">
        <v>24833.599999999999</v>
      </c>
      <c r="F43" s="18" t="s">
        <v>1</v>
      </c>
      <c r="G43" s="19">
        <v>9.4700000000000006</v>
      </c>
      <c r="H43" s="19">
        <v>2919.4749999999999</v>
      </c>
      <c r="I43" s="19">
        <v>5544</v>
      </c>
      <c r="J43" s="44">
        <v>0.06</v>
      </c>
    </row>
    <row r="44" spans="1:10">
      <c r="A44" s="20">
        <v>45807</v>
      </c>
      <c r="B44" s="20">
        <v>45986</v>
      </c>
      <c r="C44" s="19">
        <v>180</v>
      </c>
      <c r="D44" s="22">
        <v>24000</v>
      </c>
      <c r="E44" s="19">
        <v>24833.599999999999</v>
      </c>
      <c r="F44" s="18" t="s">
        <v>1</v>
      </c>
      <c r="G44" s="19">
        <v>10.29</v>
      </c>
      <c r="H44" s="19">
        <v>2156.9499999999998</v>
      </c>
      <c r="I44" s="19">
        <v>11663</v>
      </c>
      <c r="J44" s="44">
        <v>0.06</v>
      </c>
    </row>
    <row r="45" spans="1:10">
      <c r="A45" s="20">
        <v>45807</v>
      </c>
      <c r="B45" s="20">
        <v>45986</v>
      </c>
      <c r="C45" s="19">
        <v>180</v>
      </c>
      <c r="D45" s="22">
        <v>25000</v>
      </c>
      <c r="E45" s="19">
        <v>24833.599999999999</v>
      </c>
      <c r="F45" s="18" t="s">
        <v>1</v>
      </c>
      <c r="G45" s="19">
        <v>10.53</v>
      </c>
      <c r="H45" s="19">
        <v>1460.9</v>
      </c>
      <c r="I45" s="19">
        <v>10208</v>
      </c>
      <c r="J45" s="44">
        <v>0.06</v>
      </c>
    </row>
    <row r="46" spans="1:10">
      <c r="A46" s="20">
        <v>45807</v>
      </c>
      <c r="B46" s="20">
        <v>45986</v>
      </c>
      <c r="C46" s="19">
        <v>180</v>
      </c>
      <c r="D46" s="22">
        <v>26000</v>
      </c>
      <c r="E46" s="19">
        <v>24833.599999999999</v>
      </c>
      <c r="F46" s="18" t="s">
        <v>1</v>
      </c>
      <c r="G46" s="19">
        <v>10.81</v>
      </c>
      <c r="H46" s="19">
        <v>907.5</v>
      </c>
      <c r="I46" s="19">
        <v>19174</v>
      </c>
      <c r="J46" s="44">
        <v>0.06</v>
      </c>
    </row>
    <row r="47" spans="1:10">
      <c r="A47" s="20">
        <v>45807</v>
      </c>
      <c r="B47" s="20">
        <v>45986</v>
      </c>
      <c r="C47" s="19">
        <v>180</v>
      </c>
      <c r="D47" s="22">
        <v>27000</v>
      </c>
      <c r="E47" s="19">
        <v>24833.599999999999</v>
      </c>
      <c r="F47" s="18" t="s">
        <v>1</v>
      </c>
      <c r="G47" s="19">
        <v>11.14</v>
      </c>
      <c r="H47" s="19">
        <v>506.75</v>
      </c>
      <c r="I47" s="19">
        <v>16832</v>
      </c>
      <c r="J47" s="44">
        <v>0.06</v>
      </c>
    </row>
    <row r="48" spans="1:10">
      <c r="A48" s="20">
        <v>45807</v>
      </c>
      <c r="B48" s="20">
        <v>45986</v>
      </c>
      <c r="C48" s="19">
        <v>180</v>
      </c>
      <c r="D48" s="22">
        <v>28000</v>
      </c>
      <c r="E48" s="19">
        <v>24833.599999999999</v>
      </c>
      <c r="F48" s="18" t="s">
        <v>2</v>
      </c>
      <c r="G48" s="19">
        <v>11.73</v>
      </c>
      <c r="H48" s="19">
        <v>265.45000000000005</v>
      </c>
      <c r="I48" s="19">
        <v>10114</v>
      </c>
      <c r="J48" s="44">
        <v>0.06</v>
      </c>
    </row>
    <row r="49" spans="1:10">
      <c r="A49" s="20">
        <v>45807</v>
      </c>
      <c r="B49" s="20">
        <v>45986</v>
      </c>
      <c r="C49" s="19">
        <v>180</v>
      </c>
      <c r="D49" s="22">
        <v>29000</v>
      </c>
      <c r="E49" s="19">
        <v>24833.599999999999</v>
      </c>
      <c r="F49" s="18" t="s">
        <v>2</v>
      </c>
      <c r="G49" s="19">
        <v>12.59</v>
      </c>
      <c r="H49" s="19">
        <v>133.77500000000001</v>
      </c>
      <c r="I49" s="19">
        <v>3935</v>
      </c>
      <c r="J49" s="44">
        <v>0.06</v>
      </c>
    </row>
    <row r="50" spans="1:10">
      <c r="A50" s="20">
        <v>45807</v>
      </c>
      <c r="B50" s="20">
        <v>45986</v>
      </c>
      <c r="C50" s="19">
        <v>180</v>
      </c>
      <c r="D50" s="22">
        <v>20000</v>
      </c>
      <c r="E50" s="19">
        <v>24833.599999999999</v>
      </c>
      <c r="F50" s="18" t="s">
        <v>2</v>
      </c>
      <c r="G50" s="19">
        <v>21.78</v>
      </c>
      <c r="H50" s="19">
        <v>71.400000000000006</v>
      </c>
      <c r="I50" s="19">
        <v>9085</v>
      </c>
      <c r="J50" s="44">
        <v>0.06</v>
      </c>
    </row>
    <row r="51" spans="1:10">
      <c r="A51" s="20">
        <v>45807</v>
      </c>
      <c r="B51" s="20">
        <v>45986</v>
      </c>
      <c r="C51" s="19">
        <v>180</v>
      </c>
      <c r="D51" s="22">
        <v>21000</v>
      </c>
      <c r="E51" s="19">
        <v>24833.599999999999</v>
      </c>
      <c r="F51" s="18" t="s">
        <v>2</v>
      </c>
      <c r="G51" s="19">
        <v>20.420000000000002</v>
      </c>
      <c r="H51" s="19">
        <v>112.75</v>
      </c>
      <c r="I51" s="19">
        <v>8155</v>
      </c>
      <c r="J51" s="44">
        <v>0.06</v>
      </c>
    </row>
    <row r="52" spans="1:10">
      <c r="A52" s="20">
        <v>45807</v>
      </c>
      <c r="B52" s="20">
        <v>45986</v>
      </c>
      <c r="C52" s="19">
        <v>180</v>
      </c>
      <c r="D52" s="22">
        <v>22000</v>
      </c>
      <c r="E52" s="19">
        <v>24833.599999999999</v>
      </c>
      <c r="F52" s="18" t="s">
        <v>2</v>
      </c>
      <c r="G52" s="19">
        <v>19.420000000000002</v>
      </c>
      <c r="H52" s="19">
        <v>182</v>
      </c>
      <c r="I52" s="19">
        <v>15830</v>
      </c>
      <c r="J52" s="44">
        <v>0.06</v>
      </c>
    </row>
    <row r="53" spans="1:10">
      <c r="A53" s="20">
        <v>45807</v>
      </c>
      <c r="B53" s="20">
        <v>45986</v>
      </c>
      <c r="C53" s="19">
        <v>180</v>
      </c>
      <c r="D53" s="22">
        <v>23000</v>
      </c>
      <c r="E53" s="19">
        <v>24833.599999999999</v>
      </c>
      <c r="F53" s="18" t="s">
        <v>2</v>
      </c>
      <c r="G53" s="19">
        <v>18.36</v>
      </c>
      <c r="H53" s="19">
        <v>287.42499999999995</v>
      </c>
      <c r="I53" s="19">
        <v>19809</v>
      </c>
      <c r="J53" s="44">
        <v>0.06</v>
      </c>
    </row>
    <row r="54" spans="1:10">
      <c r="A54" s="20">
        <v>45807</v>
      </c>
      <c r="B54" s="20">
        <v>45986</v>
      </c>
      <c r="C54" s="19">
        <v>180</v>
      </c>
      <c r="D54" s="22">
        <v>24000</v>
      </c>
      <c r="E54" s="19">
        <v>24833.599999999999</v>
      </c>
      <c r="F54" s="18" t="s">
        <v>2</v>
      </c>
      <c r="G54" s="19">
        <v>17.59</v>
      </c>
      <c r="H54" s="19">
        <v>462.25</v>
      </c>
      <c r="I54" s="19">
        <v>35355</v>
      </c>
      <c r="J54" s="44">
        <v>0.06</v>
      </c>
    </row>
    <row r="55" spans="1:10">
      <c r="A55" s="20">
        <v>45807</v>
      </c>
      <c r="B55" s="20">
        <v>45986</v>
      </c>
      <c r="C55" s="19">
        <v>180</v>
      </c>
      <c r="D55" s="22">
        <v>25000</v>
      </c>
      <c r="E55" s="19">
        <v>24833.599999999999</v>
      </c>
      <c r="F55" s="18" t="s">
        <v>2</v>
      </c>
      <c r="G55" s="19">
        <v>16.97</v>
      </c>
      <c r="H55" s="19">
        <v>722</v>
      </c>
      <c r="I55" s="19">
        <v>20407</v>
      </c>
      <c r="J55" s="44">
        <v>0.06</v>
      </c>
    </row>
    <row r="56" spans="1:10">
      <c r="A56" s="20">
        <v>45807</v>
      </c>
      <c r="B56" s="20">
        <v>45986</v>
      </c>
      <c r="C56" s="19">
        <v>180</v>
      </c>
      <c r="D56" s="22">
        <v>26000</v>
      </c>
      <c r="E56" s="19">
        <v>24833.599999999999</v>
      </c>
      <c r="F56" s="18" t="s">
        <v>2</v>
      </c>
      <c r="G56" s="19">
        <v>16.93</v>
      </c>
      <c r="H56" s="19">
        <v>1128.45</v>
      </c>
      <c r="I56" s="19">
        <v>9505</v>
      </c>
      <c r="J56" s="44">
        <v>0.06</v>
      </c>
    </row>
    <row r="57" spans="1:10">
      <c r="A57" s="20">
        <v>45807</v>
      </c>
      <c r="B57" s="20">
        <v>45986</v>
      </c>
      <c r="C57" s="19">
        <v>180</v>
      </c>
      <c r="D57" s="22">
        <v>27000</v>
      </c>
      <c r="E57" s="19">
        <v>24833.599999999999</v>
      </c>
      <c r="F57" s="18" t="s">
        <v>2</v>
      </c>
      <c r="G57" s="19">
        <v>17.149999999999999</v>
      </c>
      <c r="H57" s="19">
        <v>1670.3</v>
      </c>
      <c r="I57" s="19">
        <v>7731</v>
      </c>
      <c r="J57" s="44">
        <v>0.06</v>
      </c>
    </row>
  </sheetData>
  <phoneticPr fontId="8" type="noConversion"/>
  <hyperlinks>
    <hyperlink ref="D2" r:id="rId1" display="javascript:;" xr:uid="{F3D4E45C-D7D9-47A0-8DD0-6E46B261F634}"/>
    <hyperlink ref="D3" r:id="rId2" display="javascript:;" xr:uid="{36ED5F74-A543-4E36-B7D0-8431D948CF1F}"/>
    <hyperlink ref="D4" r:id="rId3" display="javascript:;" xr:uid="{9581DF1F-4823-4219-87BA-ABF4CFECA45D}"/>
    <hyperlink ref="D5" r:id="rId4" display="javascript:;" xr:uid="{4CFDC6A2-A735-4281-87F2-A33CD57A3939}"/>
    <hyperlink ref="D6" r:id="rId5" display="javascript:;" xr:uid="{FC0BA669-9D7F-4FFD-B39B-AE58C2E7AC89}"/>
    <hyperlink ref="D7" r:id="rId6" display="javascript:;" xr:uid="{7843D3E0-8D56-480E-8659-A0156F09FA16}"/>
    <hyperlink ref="D8" r:id="rId7" display="javascript:;" xr:uid="{984A04C5-A716-4183-A9A7-7DAAF84AAA59}"/>
    <hyperlink ref="D9" r:id="rId8" display="javascript:;" xr:uid="{593EF0B4-4A57-4E5B-B930-66BECC5CE953}"/>
    <hyperlink ref="D10" r:id="rId9" display="javascript:;" xr:uid="{A2C02EE5-DB5C-49E6-A9A1-87077D7DF84C}"/>
    <hyperlink ref="D11" r:id="rId10" display="javascript:;" xr:uid="{2E8F664D-9219-4768-A95D-001E94890534}"/>
    <hyperlink ref="D12" r:id="rId11" display="javascript:;" xr:uid="{3E9B665A-1F1A-48A1-9BC5-FA70CCFA40F8}"/>
    <hyperlink ref="D13" r:id="rId12" display="javascript:;" xr:uid="{13470501-8018-4EF8-A81E-3C9B9A317253}"/>
    <hyperlink ref="D14" r:id="rId13" display="javascript:;" xr:uid="{9AE38653-424C-4B7E-8A7A-9139138D6E5C}"/>
    <hyperlink ref="D15" r:id="rId14" display="javascript:;" xr:uid="{656E2CBF-4DE9-4FB0-9D5F-9A859484322A}"/>
    <hyperlink ref="D16" r:id="rId15" display="javascript:;" xr:uid="{699C64EE-74A7-4AE9-97D3-76B2C26DAB7E}"/>
    <hyperlink ref="D17" r:id="rId16" display="javascript:;" xr:uid="{B0C481C6-E8B7-457C-8978-2FDDB2DD93B4}"/>
    <hyperlink ref="D18" r:id="rId17" display="javascript:;" xr:uid="{9036FCB4-1831-4099-8DC9-41E9DD80F13E}"/>
    <hyperlink ref="D19" r:id="rId18" display="javascript:;" xr:uid="{9AC672F3-E98E-403C-A127-EE2B6D08694B}"/>
    <hyperlink ref="D20" r:id="rId19" display="javascript:;" xr:uid="{FF0538B2-14A5-4624-A39A-EB71FC91D273}"/>
    <hyperlink ref="D21" r:id="rId20" display="javascript:;" xr:uid="{2717E6EC-ED41-4D07-AB7F-CCE440C5D405}"/>
    <hyperlink ref="D22" r:id="rId21" display="javascript:;" xr:uid="{BDE7C60F-C905-454E-90BC-E20B21C13458}"/>
    <hyperlink ref="D23" r:id="rId22" display="javascript:;" xr:uid="{ACD1DB9F-0A80-40F9-9E94-24D5C5BEA61A}"/>
    <hyperlink ref="D24" r:id="rId23" display="javascript:;" xr:uid="{24481520-01C8-4379-A333-B5899162E849}"/>
    <hyperlink ref="D25" r:id="rId24" display="javascript:;" xr:uid="{6B81DCB4-C7C8-451C-84C4-B04D8E32892B}"/>
    <hyperlink ref="D26" r:id="rId25" display="javascript:;" xr:uid="{6014BF12-D80A-4696-A467-A54FB524FE41}"/>
    <hyperlink ref="D27" r:id="rId26" display="javascript:;" xr:uid="{FA172F41-9F8A-4141-9AE0-AEFFA20ACEC6}"/>
    <hyperlink ref="D28" r:id="rId27" display="javascript:;" xr:uid="{F9995DA3-1E78-4643-B04D-0BCC9D6417C3}"/>
    <hyperlink ref="D29" r:id="rId28" display="javascript:;" xr:uid="{0E24F1CD-7618-49B6-9769-247260C96EA4}"/>
    <hyperlink ref="D30" r:id="rId29" display="javascript:;" xr:uid="{01BE75A2-DD7C-4D99-918D-CAA880224328}"/>
    <hyperlink ref="D31" r:id="rId30" display="javascript:;" xr:uid="{596185ED-DA82-4610-B803-3DB2C555DA11}"/>
    <hyperlink ref="D32" r:id="rId31" display="javascript:;" xr:uid="{490C9CA5-C384-4420-A13E-3D0BBFB72890}"/>
    <hyperlink ref="D33" r:id="rId32" display="javascript:;" xr:uid="{07A22F89-B631-4F14-AC5E-24EF6FD85404}"/>
    <hyperlink ref="D34" r:id="rId33" display="javascript:;" xr:uid="{17A49666-0915-49C5-BCD2-886A67AB2530}"/>
    <hyperlink ref="D35" r:id="rId34" display="javascript:;" xr:uid="{149B813C-FAAB-4389-8647-D7F543AD34B0}"/>
    <hyperlink ref="D36" r:id="rId35" display="javascript:;" xr:uid="{292C598D-BAD6-44A5-B5A7-DE5B43796E7A}"/>
    <hyperlink ref="D37" r:id="rId36" display="javascript:;" xr:uid="{B08FE54E-FBAE-40BC-B986-D22A65118807}"/>
    <hyperlink ref="D38" r:id="rId37" display="javascript:;" xr:uid="{A55DD0CA-143D-43B2-8765-DE08B812C3BA}"/>
    <hyperlink ref="D39" r:id="rId38" display="javascript:;" xr:uid="{4BB809E3-5944-4673-8522-3368FEFBD544}"/>
    <hyperlink ref="D40" r:id="rId39" display="javascript:;" xr:uid="{906E6B5D-71FF-4930-BF9B-7A8812887E45}"/>
    <hyperlink ref="D41" r:id="rId40" display="javascript:;" xr:uid="{2D1D165B-7BD9-4B56-9300-758AB7D748D5}"/>
    <hyperlink ref="D42" r:id="rId41" display="javascript:;" xr:uid="{AB28D27C-F41A-4918-B528-58091EABC250}"/>
    <hyperlink ref="D43" r:id="rId42" display="javascript:;" xr:uid="{C2D7C852-E51B-4F72-A61F-2FF72DC9F196}"/>
    <hyperlink ref="D44" r:id="rId43" display="javascript:;" xr:uid="{B1D69ED3-BD61-47BD-8311-1834632AE646}"/>
    <hyperlink ref="D45" r:id="rId44" display="javascript:;" xr:uid="{EB8363F7-4683-4B74-B879-D5811EBF44D1}"/>
    <hyperlink ref="D46" r:id="rId45" display="javascript:;" xr:uid="{B0B7FAD5-4740-4C03-9731-0027141260D8}"/>
    <hyperlink ref="D47" r:id="rId46" display="javascript:;" xr:uid="{17F4D01B-DE1E-481E-AF32-092AF50DFA91}"/>
    <hyperlink ref="D48" r:id="rId47" display="javascript:;" xr:uid="{B6EBA17D-FCC7-411B-BEDE-A156007C8AE3}"/>
    <hyperlink ref="D49" r:id="rId48" display="javascript:;" xr:uid="{1C5E3011-3053-4D3D-B9A5-1F4CDBFCEA80}"/>
    <hyperlink ref="D50" r:id="rId49" display="javascript:;" xr:uid="{D4B755F0-CEAC-416A-8202-6299A6A396B9}"/>
    <hyperlink ref="D51" r:id="rId50" display="javascript:;" xr:uid="{0B2E49B5-F538-4C3F-8886-53FAD3C07B15}"/>
    <hyperlink ref="D52" r:id="rId51" display="javascript:;" xr:uid="{2BC69F70-3E8A-44ED-B2A7-5825A560AA2F}"/>
    <hyperlink ref="D53" r:id="rId52" display="javascript:;" xr:uid="{34792B56-93B2-4939-B518-847A215C33F1}"/>
    <hyperlink ref="D54" r:id="rId53" display="javascript:;" xr:uid="{F78D24CA-D77E-40F3-A437-932C5BFBEBAA}"/>
    <hyperlink ref="D55" r:id="rId54" display="javascript:;" xr:uid="{6DBC7692-D79A-455C-BD23-6CE3FFB29ACD}"/>
    <hyperlink ref="D56" r:id="rId55" display="javascript:;" xr:uid="{D415E7D5-B52E-48FE-941F-F39754205FCC}"/>
    <hyperlink ref="D57" r:id="rId56" display="javascript:;" xr:uid="{DD0699FC-5D99-4854-BD1C-131867B03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4AAF-F0E9-4BAC-82C0-E45B56D96426}">
  <sheetPr>
    <tabColor theme="7" tint="0.59999389629810485"/>
  </sheetPr>
  <dimension ref="A2:H107"/>
  <sheetViews>
    <sheetView workbookViewId="0">
      <selection activeCell="A24" sqref="A24:H24"/>
    </sheetView>
  </sheetViews>
  <sheetFormatPr defaultRowHeight="12.5"/>
  <cols>
    <col min="1" max="1" width="20.453125" customWidth="1"/>
    <col min="2" max="2" width="51.08984375" customWidth="1"/>
    <col min="3" max="3" width="29.7265625" customWidth="1"/>
  </cols>
  <sheetData>
    <row r="2" spans="1:8" ht="13">
      <c r="A2" s="63" t="s">
        <v>38</v>
      </c>
      <c r="B2" s="63"/>
      <c r="C2" s="63"/>
      <c r="D2" s="63"/>
      <c r="E2" s="63"/>
      <c r="F2" s="63"/>
      <c r="G2" s="63"/>
      <c r="H2" s="63"/>
    </row>
    <row r="5" spans="1:8" ht="13">
      <c r="A5" s="27" t="s">
        <v>39</v>
      </c>
    </row>
    <row r="10" spans="1:8" ht="13">
      <c r="A10" s="63" t="s">
        <v>40</v>
      </c>
      <c r="B10" s="63"/>
      <c r="C10" s="63"/>
      <c r="D10" s="63"/>
      <c r="E10" s="63"/>
      <c r="F10" s="63"/>
      <c r="G10" s="63"/>
      <c r="H10" s="63"/>
    </row>
    <row r="12" spans="1:8">
      <c r="A12" s="27" t="s">
        <v>41</v>
      </c>
    </row>
    <row r="24" spans="1:8" ht="13">
      <c r="A24" s="63" t="s">
        <v>42</v>
      </c>
      <c r="B24" s="63"/>
      <c r="C24" s="63"/>
      <c r="D24" s="63"/>
      <c r="E24" s="63"/>
      <c r="F24" s="63"/>
      <c r="G24" s="63"/>
      <c r="H24" s="63"/>
    </row>
    <row r="26" spans="1:8" ht="13">
      <c r="A26" s="30" t="s">
        <v>43</v>
      </c>
      <c r="B26" s="30" t="s">
        <v>44</v>
      </c>
      <c r="C26" s="30" t="s">
        <v>45</v>
      </c>
    </row>
    <row r="27" spans="1:8" ht="13">
      <c r="A27" s="31" t="s">
        <v>46</v>
      </c>
      <c r="B27" s="32" t="s">
        <v>47</v>
      </c>
      <c r="C27" s="32" t="s">
        <v>48</v>
      </c>
    </row>
    <row r="28" spans="1:8" ht="25">
      <c r="A28" s="31" t="s">
        <v>49</v>
      </c>
      <c r="B28" s="32" t="s">
        <v>50</v>
      </c>
      <c r="C28" s="32" t="s">
        <v>51</v>
      </c>
    </row>
    <row r="29" spans="1:8" ht="13">
      <c r="A29" s="31" t="s">
        <v>52</v>
      </c>
      <c r="B29" s="32" t="s">
        <v>53</v>
      </c>
      <c r="C29" s="32" t="s">
        <v>54</v>
      </c>
    </row>
    <row r="30" spans="1:8" ht="13">
      <c r="A30" s="31" t="s">
        <v>55</v>
      </c>
      <c r="B30" s="32" t="s">
        <v>56</v>
      </c>
      <c r="C30" s="32" t="s">
        <v>48</v>
      </c>
    </row>
    <row r="31" spans="1:8" ht="13">
      <c r="A31" s="31" t="s">
        <v>57</v>
      </c>
      <c r="B31" s="32" t="s">
        <v>58</v>
      </c>
      <c r="C31" s="32"/>
    </row>
    <row r="32" spans="1:8" ht="13">
      <c r="A32" s="31" t="s">
        <v>59</v>
      </c>
      <c r="B32" s="32" t="s">
        <v>60</v>
      </c>
      <c r="C32" s="32" t="s">
        <v>61</v>
      </c>
    </row>
    <row r="33" spans="1:8" ht="13">
      <c r="A33" s="31" t="s">
        <v>62</v>
      </c>
      <c r="B33" s="32" t="s">
        <v>63</v>
      </c>
      <c r="C33" s="32"/>
    </row>
    <row r="37" spans="1:8" ht="13">
      <c r="A37" s="63" t="s">
        <v>64</v>
      </c>
      <c r="B37" s="63"/>
      <c r="C37" s="63"/>
      <c r="D37" s="63"/>
      <c r="E37" s="63"/>
      <c r="F37" s="63"/>
      <c r="G37" s="63"/>
      <c r="H37" s="63"/>
    </row>
    <row r="39" spans="1:8">
      <c r="A39" s="27" t="s">
        <v>65</v>
      </c>
    </row>
    <row r="62" spans="1:8" ht="13">
      <c r="A62" s="63" t="s">
        <v>67</v>
      </c>
      <c r="B62" s="63"/>
      <c r="C62" s="63"/>
      <c r="D62" s="63"/>
      <c r="E62" s="63"/>
      <c r="F62" s="63"/>
      <c r="G62" s="63"/>
      <c r="H62" s="63"/>
    </row>
    <row r="64" spans="1:8">
      <c r="A64" s="27" t="s">
        <v>69</v>
      </c>
    </row>
    <row r="81" spans="1:1">
      <c r="A81" s="27" t="s">
        <v>68</v>
      </c>
    </row>
    <row r="82" spans="1:1">
      <c r="A82" s="34"/>
    </row>
    <row r="83" spans="1:1">
      <c r="A83" s="35"/>
    </row>
    <row r="84" spans="1:1">
      <c r="A84" s="35"/>
    </row>
    <row r="99" spans="1:8" ht="13">
      <c r="A99" s="63" t="s">
        <v>70</v>
      </c>
      <c r="B99" s="63"/>
      <c r="C99" s="63"/>
      <c r="D99" s="63"/>
      <c r="E99" s="63"/>
      <c r="F99" s="63"/>
      <c r="G99" s="63"/>
      <c r="H99" s="63"/>
    </row>
    <row r="101" spans="1:8">
      <c r="A101" s="27" t="s">
        <v>71</v>
      </c>
    </row>
    <row r="102" spans="1:8">
      <c r="A102" s="36"/>
    </row>
    <row r="103" spans="1:8" ht="13">
      <c r="A103" s="37" t="s">
        <v>72</v>
      </c>
    </row>
    <row r="104" spans="1:8">
      <c r="A104" s="36"/>
    </row>
    <row r="105" spans="1:8" ht="13">
      <c r="A105" s="37" t="s">
        <v>73</v>
      </c>
    </row>
    <row r="106" spans="1:8">
      <c r="A106" s="36"/>
    </row>
    <row r="107" spans="1:8">
      <c r="A107" s="38" t="s">
        <v>74</v>
      </c>
    </row>
  </sheetData>
  <mergeCells count="6">
    <mergeCell ref="A99:H99"/>
    <mergeCell ref="A2:H2"/>
    <mergeCell ref="A10:H10"/>
    <mergeCell ref="A24:H24"/>
    <mergeCell ref="A37:H37"/>
    <mergeCell ref="A62:H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D2DB-1CB0-4760-A9D2-1F58F0C7BD6B}">
  <sheetPr>
    <tabColor theme="7" tint="0.59999389629810485"/>
  </sheetPr>
  <dimension ref="A1:S21"/>
  <sheetViews>
    <sheetView workbookViewId="0">
      <selection activeCell="W15" sqref="W15"/>
    </sheetView>
  </sheetViews>
  <sheetFormatPr defaultRowHeight="12.5"/>
  <cols>
    <col min="1" max="2" width="10.08984375" bestFit="1" customWidth="1"/>
    <col min="3" max="3" width="4.453125" bestFit="1" customWidth="1"/>
    <col min="4" max="4" width="8.90625" bestFit="1" customWidth="1"/>
    <col min="5" max="5" width="7.81640625" bestFit="1" customWidth="1"/>
    <col min="6" max="6" width="10.9062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6" bestFit="1" customWidth="1"/>
    <col min="11" max="11" width="4.90625" bestFit="1" customWidth="1"/>
    <col min="12" max="12" width="11.81640625" bestFit="1" customWidth="1"/>
    <col min="13" max="13" width="3.81640625" bestFit="1" customWidth="1"/>
    <col min="14" max="14" width="14.1796875" bestFit="1" customWidth="1"/>
    <col min="15" max="19" width="11.81640625" bestFit="1" customWidth="1"/>
  </cols>
  <sheetData>
    <row r="1" spans="1:19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5" t="s">
        <v>28</v>
      </c>
      <c r="K1" s="25" t="s">
        <v>29</v>
      </c>
      <c r="L1" s="25" t="s">
        <v>30</v>
      </c>
      <c r="M1" s="25" t="s">
        <v>31</v>
      </c>
      <c r="N1" s="25" t="s">
        <v>32</v>
      </c>
      <c r="O1" s="25" t="s">
        <v>33</v>
      </c>
      <c r="P1" s="25" t="s">
        <v>34</v>
      </c>
      <c r="Q1" s="25" t="s">
        <v>35</v>
      </c>
      <c r="R1" s="25" t="s">
        <v>36</v>
      </c>
      <c r="S1" s="25" t="s">
        <v>37</v>
      </c>
    </row>
    <row r="2" spans="1:19">
      <c r="A2" s="20">
        <v>45807</v>
      </c>
      <c r="B2" s="21">
        <v>45838</v>
      </c>
      <c r="C2" s="19">
        <v>30</v>
      </c>
      <c r="D2" s="22">
        <v>17000</v>
      </c>
      <c r="E2" s="19">
        <v>24833.599999999999</v>
      </c>
      <c r="F2" s="18" t="s">
        <v>1</v>
      </c>
      <c r="G2" s="19">
        <v>51.53</v>
      </c>
      <c r="H2" s="19">
        <v>7900.8250000000007</v>
      </c>
      <c r="I2" s="19">
        <v>2655</v>
      </c>
      <c r="J2" s="19">
        <v>0.2</v>
      </c>
      <c r="K2" s="19">
        <v>0.5</v>
      </c>
      <c r="L2" s="19">
        <f ca="1">RAND()</f>
        <v>0.93181027743679301</v>
      </c>
      <c r="M2" s="19">
        <v>0.2</v>
      </c>
      <c r="N2" s="19">
        <f ca="1">($J$2 / Q2) * (R2 / S2) * (1 + (
((1 - $K$2)^2 * $J$2^2) / (24 * (E2 * D2)^(1 - $K$2)) +
($L$2 * $K$2 * $M$2 * $J$2) / (4 * (E2 * D2)^((1 - $K$2)/2)) +
((2 - 3 * $L$2^2) * $M$2^2) / 24
) * (C2 / 365))</f>
        <v>4.0952170464248257E-3</v>
      </c>
      <c r="O2" s="19">
        <f ca="1">G2-N2</f>
        <v>51.525904782953575</v>
      </c>
      <c r="P2" s="19">
        <f>LN(E2/D2)</f>
        <v>0.37898423085856686</v>
      </c>
      <c r="Q2" s="19">
        <f>(B2*A2)^((1-$K$2/2))</f>
        <v>9808850.8887054585</v>
      </c>
      <c r="R2" s="19">
        <f>($M$2/$J$2) * Q2*P2</f>
        <v>3717399.8096624082</v>
      </c>
      <c r="S2" s="19">
        <f ca="1">LN((SQRT(1-2*$L$2*R2+R2^2) + R2-$L$2)/(1-$L$2))</f>
        <v>18.507143356895245</v>
      </c>
    </row>
    <row r="3" spans="1:19">
      <c r="A3" s="20">
        <v>45807</v>
      </c>
      <c r="B3" s="21">
        <v>45838</v>
      </c>
      <c r="C3" s="19">
        <v>30</v>
      </c>
      <c r="D3" s="22">
        <v>18000</v>
      </c>
      <c r="E3" s="19">
        <v>24833.599999999999</v>
      </c>
      <c r="F3" s="18" t="s">
        <v>1</v>
      </c>
      <c r="G3" s="19">
        <v>44.81</v>
      </c>
      <c r="H3" s="19">
        <v>6904.625</v>
      </c>
      <c r="I3" s="19">
        <v>1204</v>
      </c>
      <c r="J3" s="19">
        <v>0.2</v>
      </c>
      <c r="K3" s="19">
        <v>0.5</v>
      </c>
      <c r="L3" s="19">
        <f t="shared" ref="L3:L21" ca="1" si="0">RAND()</f>
        <v>0.52955758297071476</v>
      </c>
      <c r="M3" s="19">
        <v>0.2</v>
      </c>
      <c r="N3" s="19">
        <f t="shared" ref="N3:N19" ca="1" si="1">($J$2 / Q3) * (R3 / S3) * (1 + (
((1 - $K$2)^2 * $J$2^2) / (24 * (E3 * D3)^(1 - $K$2)) +
($L$2 * $K$2 * $M$2 * $J$2) / (4 * (E3 * D3)^((1 - $K$2)/2)) +
((2 - 3 * $L$2^2) * $M$2^2) / 24
) * (C3 / 365))</f>
        <v>3.5085693482313682E-3</v>
      </c>
      <c r="O3" s="19">
        <f t="shared" ref="O3:O19" ca="1" si="2">G3-N3</f>
        <v>44.806491430651768</v>
      </c>
      <c r="P3" s="19">
        <f t="shared" ref="P3:P19" si="3">LN(E3/D3)</f>
        <v>0.32182581701861834</v>
      </c>
      <c r="Q3" s="19">
        <f t="shared" ref="Q3:Q19" si="4">(B3*A3)^((1-$K$2/2))</f>
        <v>9808850.8887054585</v>
      </c>
      <c r="R3" s="19">
        <f t="shared" ref="R3:R19" si="5">($M$2/$J$2) * Q3*P3</f>
        <v>3156741.4512714348</v>
      </c>
      <c r="S3" s="19">
        <f t="shared" ref="S3:S21" ca="1" si="6">LN((SQRT(1-2*$L$2*R3+R3^2) + R3-$L$2)/(1-$L$2))</f>
        <v>18.343659173639637</v>
      </c>
    </row>
    <row r="4" spans="1:19">
      <c r="A4" s="20">
        <v>45807</v>
      </c>
      <c r="B4" s="21">
        <v>45838</v>
      </c>
      <c r="C4" s="19">
        <v>30</v>
      </c>
      <c r="D4" s="22">
        <v>19000</v>
      </c>
      <c r="E4" s="19">
        <v>24833.599999999999</v>
      </c>
      <c r="F4" s="18" t="s">
        <v>1</v>
      </c>
      <c r="G4" s="19">
        <v>38.83</v>
      </c>
      <c r="H4" s="19">
        <v>5915.0499999999993</v>
      </c>
      <c r="I4" s="19">
        <v>1974</v>
      </c>
      <c r="J4" s="19">
        <v>0.2</v>
      </c>
      <c r="K4" s="19">
        <v>0.5</v>
      </c>
      <c r="L4" s="19">
        <f t="shared" ca="1" si="0"/>
        <v>0.31786777721397153</v>
      </c>
      <c r="M4" s="19">
        <v>0.2</v>
      </c>
      <c r="N4" s="19">
        <f t="shared" ca="1" si="1"/>
        <v>2.9486896772733008E-3</v>
      </c>
      <c r="O4" s="19">
        <f t="shared" ca="1" si="2"/>
        <v>38.827051310322723</v>
      </c>
      <c r="P4" s="19">
        <f t="shared" si="3"/>
        <v>0.26775859574834249</v>
      </c>
      <c r="Q4" s="19">
        <f t="shared" si="4"/>
        <v>9808850.8887054585</v>
      </c>
      <c r="R4" s="19">
        <f t="shared" si="5"/>
        <v>2626404.1398646547</v>
      </c>
      <c r="S4" s="19">
        <f t="shared" ca="1" si="6"/>
        <v>18.159734468235815</v>
      </c>
    </row>
    <row r="5" spans="1:19">
      <c r="A5" s="20">
        <v>45807</v>
      </c>
      <c r="B5" s="21">
        <v>45838</v>
      </c>
      <c r="C5" s="19">
        <v>30</v>
      </c>
      <c r="D5" s="22">
        <v>20000</v>
      </c>
      <c r="E5" s="19">
        <v>24833.599999999999</v>
      </c>
      <c r="F5" s="18" t="s">
        <v>1</v>
      </c>
      <c r="G5" s="19">
        <v>32.909999999999997</v>
      </c>
      <c r="H5" s="19">
        <v>4920.9750000000004</v>
      </c>
      <c r="I5" s="19">
        <v>5793</v>
      </c>
      <c r="J5" s="19">
        <v>0.2</v>
      </c>
      <c r="K5" s="19">
        <v>0.5</v>
      </c>
      <c r="L5" s="19">
        <f t="shared" ca="1" si="0"/>
        <v>0.23472073061327103</v>
      </c>
      <c r="M5" s="19">
        <v>0.2</v>
      </c>
      <c r="N5" s="19">
        <f t="shared" ca="1" si="1"/>
        <v>2.4120685556105756E-3</v>
      </c>
      <c r="O5" s="19">
        <f t="shared" ca="1" si="2"/>
        <v>32.90758793144439</v>
      </c>
      <c r="P5" s="19">
        <f t="shared" si="3"/>
        <v>0.21646530136079198</v>
      </c>
      <c r="Q5" s="19">
        <f t="shared" si="4"/>
        <v>9808850.8887054585</v>
      </c>
      <c r="R5" s="19">
        <f t="shared" si="5"/>
        <v>2123275.8636266994</v>
      </c>
      <c r="S5" s="19">
        <f t="shared" ca="1" si="6"/>
        <v>17.947078835465469</v>
      </c>
    </row>
    <row r="6" spans="1:19">
      <c r="A6" s="20">
        <v>45807</v>
      </c>
      <c r="B6" s="21">
        <v>45838</v>
      </c>
      <c r="C6" s="19">
        <v>30</v>
      </c>
      <c r="D6" s="22">
        <v>20400</v>
      </c>
      <c r="E6" s="19">
        <v>24833.599999999999</v>
      </c>
      <c r="F6" s="18" t="s">
        <v>1</v>
      </c>
      <c r="G6" s="19">
        <v>29.89</v>
      </c>
      <c r="H6" s="19">
        <v>4351.6000000000004</v>
      </c>
      <c r="I6" s="19">
        <v>7</v>
      </c>
      <c r="J6" s="19">
        <v>0.2</v>
      </c>
      <c r="K6" s="19">
        <v>0.5</v>
      </c>
      <c r="L6" s="19">
        <f t="shared" ca="1" si="0"/>
        <v>0.93965854586367692</v>
      </c>
      <c r="M6" s="19">
        <v>0.2</v>
      </c>
      <c r="N6" s="19">
        <f t="shared" ca="1" si="1"/>
        <v>2.2031858971031768E-3</v>
      </c>
      <c r="O6" s="19">
        <f t="shared" ca="1" si="2"/>
        <v>29.887796814102899</v>
      </c>
      <c r="P6" s="19">
        <f t="shared" si="3"/>
        <v>0.19666267406461219</v>
      </c>
      <c r="Q6" s="19">
        <f t="shared" si="4"/>
        <v>9808850.8887054585</v>
      </c>
      <c r="R6" s="19">
        <f t="shared" si="5"/>
        <v>1929034.8452738631</v>
      </c>
      <c r="S6" s="19">
        <f t="shared" ca="1" si="6"/>
        <v>17.851138474187906</v>
      </c>
    </row>
    <row r="7" spans="1:19">
      <c r="A7" s="20">
        <v>45807</v>
      </c>
      <c r="B7" s="21">
        <v>45838</v>
      </c>
      <c r="C7" s="19">
        <v>30</v>
      </c>
      <c r="D7" s="22">
        <v>20450</v>
      </c>
      <c r="E7" s="19">
        <v>24833.599999999999</v>
      </c>
      <c r="F7" s="18" t="s">
        <v>1</v>
      </c>
      <c r="G7" s="19">
        <v>30.2</v>
      </c>
      <c r="H7" s="19">
        <v>4508.625</v>
      </c>
      <c r="I7" s="19">
        <v>7</v>
      </c>
      <c r="J7" s="19">
        <v>0.2</v>
      </c>
      <c r="K7" s="19">
        <v>0.5</v>
      </c>
      <c r="L7" s="19">
        <f t="shared" ca="1" si="0"/>
        <v>0.82461502531389286</v>
      </c>
      <c r="M7" s="19">
        <v>0.2</v>
      </c>
      <c r="N7" s="19">
        <f t="shared" ca="1" si="1"/>
        <v>2.177289234579792E-3</v>
      </c>
      <c r="O7" s="19">
        <f t="shared" ca="1" si="2"/>
        <v>30.197822710765418</v>
      </c>
      <c r="P7" s="19">
        <f t="shared" si="3"/>
        <v>0.19421469242597231</v>
      </c>
      <c r="Q7" s="19">
        <f t="shared" si="4"/>
        <v>9808850.8887054585</v>
      </c>
      <c r="R7" s="19">
        <f t="shared" si="5"/>
        <v>1905022.9584021557</v>
      </c>
      <c r="S7" s="19">
        <f t="shared" ca="1" si="6"/>
        <v>17.838612730594054</v>
      </c>
    </row>
    <row r="8" spans="1:19">
      <c r="A8" s="20">
        <v>45807</v>
      </c>
      <c r="B8" s="21">
        <v>45838</v>
      </c>
      <c r="C8" s="19">
        <v>30</v>
      </c>
      <c r="D8" s="22">
        <v>20500</v>
      </c>
      <c r="E8" s="19">
        <v>24833.599999999999</v>
      </c>
      <c r="F8" s="18" t="s">
        <v>1</v>
      </c>
      <c r="G8" s="19">
        <v>29.98</v>
      </c>
      <c r="H8" s="19">
        <v>4289.95</v>
      </c>
      <c r="I8" s="19">
        <v>313</v>
      </c>
      <c r="J8" s="19">
        <v>0.2</v>
      </c>
      <c r="K8" s="19">
        <v>0.5</v>
      </c>
      <c r="L8" s="19">
        <f t="shared" ca="1" si="0"/>
        <v>0.59922793618354364</v>
      </c>
      <c r="M8" s="19">
        <v>0.2</v>
      </c>
      <c r="N8" s="19">
        <f t="shared" ca="1" si="1"/>
        <v>2.1514386573699106E-3</v>
      </c>
      <c r="O8" s="19">
        <f t="shared" ca="1" si="2"/>
        <v>29.977848561342629</v>
      </c>
      <c r="P8" s="19">
        <f t="shared" si="3"/>
        <v>0.19177268877042042</v>
      </c>
      <c r="Q8" s="19">
        <f t="shared" si="4"/>
        <v>9808850.8887054585</v>
      </c>
      <c r="R8" s="19">
        <f t="shared" si="5"/>
        <v>1881069.7086751736</v>
      </c>
      <c r="S8" s="19">
        <f t="shared" ca="1" si="6"/>
        <v>17.825959273207104</v>
      </c>
    </row>
    <row r="9" spans="1:19">
      <c r="A9" s="20">
        <v>45807</v>
      </c>
      <c r="B9" s="21">
        <v>45838</v>
      </c>
      <c r="C9" s="19">
        <v>30</v>
      </c>
      <c r="D9" s="22">
        <v>20550</v>
      </c>
      <c r="E9" s="19">
        <v>24833.599999999999</v>
      </c>
      <c r="F9" s="18" t="s">
        <v>1</v>
      </c>
      <c r="G9" s="19">
        <v>30.23</v>
      </c>
      <c r="H9" s="19">
        <v>4192.1499999999996</v>
      </c>
      <c r="I9" s="19">
        <v>9</v>
      </c>
      <c r="J9" s="19">
        <v>0.2</v>
      </c>
      <c r="K9" s="19">
        <v>0.5</v>
      </c>
      <c r="L9" s="19">
        <f t="shared" ca="1" si="0"/>
        <v>0.30678355439381877</v>
      </c>
      <c r="M9" s="19">
        <v>0.2</v>
      </c>
      <c r="N9" s="19">
        <f t="shared" ca="1" si="1"/>
        <v>2.1256337422891564E-3</v>
      </c>
      <c r="O9" s="19">
        <f t="shared" ca="1" si="2"/>
        <v>30.227874366257712</v>
      </c>
      <c r="P9" s="19">
        <f t="shared" si="3"/>
        <v>0.18933663397253939</v>
      </c>
      <c r="Q9" s="19">
        <f t="shared" si="4"/>
        <v>9808850.8887054585</v>
      </c>
      <c r="R9" s="19">
        <f t="shared" si="5"/>
        <v>1857174.810406043</v>
      </c>
      <c r="S9" s="19">
        <f t="shared" ca="1" si="6"/>
        <v>17.81317507169279</v>
      </c>
    </row>
    <row r="10" spans="1:19">
      <c r="A10" s="20">
        <v>45807</v>
      </c>
      <c r="B10" s="21">
        <v>45838</v>
      </c>
      <c r="C10" s="19">
        <v>30</v>
      </c>
      <c r="D10" s="22">
        <v>20600</v>
      </c>
      <c r="E10" s="19">
        <v>24833.599999999999</v>
      </c>
      <c r="F10" s="18" t="s">
        <v>1</v>
      </c>
      <c r="G10" s="19">
        <v>34</v>
      </c>
      <c r="H10" s="19">
        <v>4318.3500000000004</v>
      </c>
      <c r="I10" s="19">
        <v>8</v>
      </c>
      <c r="J10" s="19">
        <v>0.2</v>
      </c>
      <c r="K10" s="19">
        <v>0.5</v>
      </c>
      <c r="L10" s="19">
        <f t="shared" ca="1" si="0"/>
        <v>0.26519336446379504</v>
      </c>
      <c r="M10" s="19">
        <v>0.2</v>
      </c>
      <c r="N10" s="19">
        <f t="shared" ca="1" si="1"/>
        <v>2.0998740642939146E-3</v>
      </c>
      <c r="O10" s="19">
        <f t="shared" ca="1" si="2"/>
        <v>33.997900125935708</v>
      </c>
      <c r="P10" s="19">
        <f t="shared" si="3"/>
        <v>0.18690649911924762</v>
      </c>
      <c r="Q10" s="19">
        <f t="shared" si="4"/>
        <v>9808850.8887054585</v>
      </c>
      <c r="R10" s="19">
        <f t="shared" si="5"/>
        <v>1833337.9799906579</v>
      </c>
      <c r="S10" s="19">
        <f t="shared" ca="1" si="6"/>
        <v>17.800256989415285</v>
      </c>
    </row>
    <row r="11" spans="1:19">
      <c r="A11" s="20">
        <v>45807</v>
      </c>
      <c r="B11" s="21">
        <v>45838</v>
      </c>
      <c r="C11" s="19">
        <v>30</v>
      </c>
      <c r="D11" s="22">
        <v>20650</v>
      </c>
      <c r="E11" s="19">
        <v>24833.599999999999</v>
      </c>
      <c r="F11" s="18" t="s">
        <v>1</v>
      </c>
      <c r="G11" s="19">
        <v>29.73</v>
      </c>
      <c r="H11" s="19">
        <v>4147.8</v>
      </c>
      <c r="I11" s="19">
        <v>8</v>
      </c>
      <c r="J11" s="19">
        <v>0.2</v>
      </c>
      <c r="K11" s="19">
        <v>0.5</v>
      </c>
      <c r="L11" s="19">
        <f t="shared" ca="1" si="0"/>
        <v>0.75817371609572681</v>
      </c>
      <c r="M11" s="19">
        <v>0.2</v>
      </c>
      <c r="N11" s="19">
        <f t="shared" ca="1" si="1"/>
        <v>2.0741591963185091E-3</v>
      </c>
      <c r="O11" s="19">
        <f t="shared" ca="1" si="2"/>
        <v>29.727925840803682</v>
      </c>
      <c r="P11" s="19">
        <f t="shared" si="3"/>
        <v>0.18448225550774131</v>
      </c>
      <c r="Q11" s="19">
        <f t="shared" si="4"/>
        <v>9808850.8887054585</v>
      </c>
      <c r="R11" s="19">
        <f t="shared" si="5"/>
        <v>1809558.9358874958</v>
      </c>
      <c r="S11" s="19">
        <f t="shared" ca="1" si="6"/>
        <v>17.787201778381274</v>
      </c>
    </row>
    <row r="12" spans="1:19">
      <c r="A12" s="20">
        <v>45807</v>
      </c>
      <c r="B12" s="21">
        <v>45838</v>
      </c>
      <c r="C12" s="19">
        <v>30</v>
      </c>
      <c r="D12" s="22">
        <v>17000</v>
      </c>
      <c r="E12" s="19">
        <v>24833.599999999999</v>
      </c>
      <c r="F12" s="18" t="s">
        <v>2</v>
      </c>
      <c r="G12" s="19">
        <v>51.53</v>
      </c>
      <c r="H12" s="19">
        <v>3.3</v>
      </c>
      <c r="I12" s="19">
        <v>1877</v>
      </c>
      <c r="J12" s="19">
        <v>0.2</v>
      </c>
      <c r="K12" s="19">
        <v>0.5</v>
      </c>
      <c r="L12" s="19">
        <f t="shared" ca="1" si="0"/>
        <v>0.44753058285664493</v>
      </c>
      <c r="M12" s="19">
        <v>0.2</v>
      </c>
      <c r="N12" s="19">
        <f t="shared" ca="1" si="1"/>
        <v>4.0952170464248257E-3</v>
      </c>
      <c r="O12" s="19">
        <f t="shared" ca="1" si="2"/>
        <v>51.525904782953575</v>
      </c>
      <c r="P12" s="19">
        <f t="shared" si="3"/>
        <v>0.37898423085856686</v>
      </c>
      <c r="Q12" s="19">
        <f t="shared" si="4"/>
        <v>9808850.8887054585</v>
      </c>
      <c r="R12" s="19">
        <f t="shared" si="5"/>
        <v>3717399.8096624082</v>
      </c>
      <c r="S12" s="19">
        <f t="shared" ca="1" si="6"/>
        <v>18.507143356895245</v>
      </c>
    </row>
    <row r="13" spans="1:19">
      <c r="A13" s="20">
        <v>45807</v>
      </c>
      <c r="B13" s="21">
        <v>45838</v>
      </c>
      <c r="C13" s="19">
        <v>30</v>
      </c>
      <c r="D13" s="22">
        <v>18000</v>
      </c>
      <c r="E13" s="19">
        <v>24833.599999999999</v>
      </c>
      <c r="F13" s="18" t="s">
        <v>2</v>
      </c>
      <c r="G13" s="19">
        <v>44.81</v>
      </c>
      <c r="H13" s="19">
        <v>3.45</v>
      </c>
      <c r="I13" s="19">
        <v>5501</v>
      </c>
      <c r="J13" s="19">
        <v>0.2</v>
      </c>
      <c r="K13" s="19">
        <v>0.5</v>
      </c>
      <c r="L13" s="19">
        <f t="shared" ca="1" si="0"/>
        <v>0.24996064459591316</v>
      </c>
      <c r="M13" s="19">
        <v>0.2</v>
      </c>
      <c r="N13" s="19">
        <f t="shared" ca="1" si="1"/>
        <v>3.5085693482313682E-3</v>
      </c>
      <c r="O13" s="19">
        <f t="shared" ca="1" si="2"/>
        <v>44.806491430651768</v>
      </c>
      <c r="P13" s="19">
        <f t="shared" si="3"/>
        <v>0.32182581701861834</v>
      </c>
      <c r="Q13" s="19">
        <f t="shared" si="4"/>
        <v>9808850.8887054585</v>
      </c>
      <c r="R13" s="19">
        <f t="shared" si="5"/>
        <v>3156741.4512714348</v>
      </c>
      <c r="S13" s="19">
        <f t="shared" ca="1" si="6"/>
        <v>18.343659173639637</v>
      </c>
    </row>
    <row r="14" spans="1:19">
      <c r="A14" s="20">
        <v>45807</v>
      </c>
      <c r="B14" s="21">
        <v>45838</v>
      </c>
      <c r="C14" s="19">
        <v>30</v>
      </c>
      <c r="D14" s="22">
        <v>19000</v>
      </c>
      <c r="E14" s="19">
        <v>24833.599999999999</v>
      </c>
      <c r="F14" s="18" t="s">
        <v>2</v>
      </c>
      <c r="G14" s="19">
        <v>38.83</v>
      </c>
      <c r="H14" s="19">
        <v>3.875</v>
      </c>
      <c r="I14" s="19">
        <v>8571</v>
      </c>
      <c r="J14" s="19">
        <v>0.2</v>
      </c>
      <c r="K14" s="19">
        <v>0.5</v>
      </c>
      <c r="L14" s="19">
        <f t="shared" ca="1" si="0"/>
        <v>0.89227923028165423</v>
      </c>
      <c r="M14" s="19">
        <v>0.2</v>
      </c>
      <c r="N14" s="19">
        <f t="shared" ca="1" si="1"/>
        <v>2.9486896772733008E-3</v>
      </c>
      <c r="O14" s="19">
        <f t="shared" ca="1" si="2"/>
        <v>38.827051310322723</v>
      </c>
      <c r="P14" s="19">
        <f t="shared" si="3"/>
        <v>0.26775859574834249</v>
      </c>
      <c r="Q14" s="19">
        <f t="shared" si="4"/>
        <v>9808850.8887054585</v>
      </c>
      <c r="R14" s="19">
        <f t="shared" si="5"/>
        <v>2626404.1398646547</v>
      </c>
      <c r="S14" s="19">
        <f t="shared" ca="1" si="6"/>
        <v>18.159734468235815</v>
      </c>
    </row>
    <row r="15" spans="1:19">
      <c r="A15" s="20">
        <v>45807</v>
      </c>
      <c r="B15" s="21">
        <v>45838</v>
      </c>
      <c r="C15" s="19">
        <v>30</v>
      </c>
      <c r="D15" s="22">
        <v>20000</v>
      </c>
      <c r="E15" s="19">
        <v>24833.599999999999</v>
      </c>
      <c r="F15" s="18" t="s">
        <v>2</v>
      </c>
      <c r="G15" s="19">
        <v>32.909999999999997</v>
      </c>
      <c r="H15" s="19">
        <v>4.6500000000000004</v>
      </c>
      <c r="I15" s="19">
        <v>20400</v>
      </c>
      <c r="J15" s="19">
        <v>0.2</v>
      </c>
      <c r="K15" s="19">
        <v>0.5</v>
      </c>
      <c r="L15" s="19">
        <f t="shared" ca="1" si="0"/>
        <v>0.12522066912178342</v>
      </c>
      <c r="M15" s="19">
        <v>0.2</v>
      </c>
      <c r="N15" s="19">
        <f t="shared" ca="1" si="1"/>
        <v>2.4120685556105756E-3</v>
      </c>
      <c r="O15" s="19">
        <f t="shared" ca="1" si="2"/>
        <v>32.90758793144439</v>
      </c>
      <c r="P15" s="19">
        <f t="shared" si="3"/>
        <v>0.21646530136079198</v>
      </c>
      <c r="Q15" s="19">
        <f t="shared" si="4"/>
        <v>9808850.8887054585</v>
      </c>
      <c r="R15" s="19">
        <f t="shared" si="5"/>
        <v>2123275.8636266994</v>
      </c>
      <c r="S15" s="19">
        <f t="shared" ca="1" si="6"/>
        <v>17.947078835465469</v>
      </c>
    </row>
    <row r="16" spans="1:19">
      <c r="A16" s="20">
        <v>45807</v>
      </c>
      <c r="B16" s="21">
        <v>45838</v>
      </c>
      <c r="C16" s="19">
        <v>30</v>
      </c>
      <c r="D16" s="22">
        <v>20400</v>
      </c>
      <c r="E16" s="19">
        <v>24833.599999999999</v>
      </c>
      <c r="F16" s="18" t="s">
        <v>2</v>
      </c>
      <c r="G16" s="19">
        <v>29.89</v>
      </c>
      <c r="H16" s="19">
        <v>4.55</v>
      </c>
      <c r="I16" s="19">
        <v>97</v>
      </c>
      <c r="J16" s="19">
        <v>0.2</v>
      </c>
      <c r="K16" s="19">
        <v>0.5</v>
      </c>
      <c r="L16" s="19">
        <f t="shared" ca="1" si="0"/>
        <v>0.15026158584336502</v>
      </c>
      <c r="M16" s="19">
        <v>0.2</v>
      </c>
      <c r="N16" s="19">
        <f t="shared" ca="1" si="1"/>
        <v>2.2031858971031768E-3</v>
      </c>
      <c r="O16" s="19">
        <f t="shared" ca="1" si="2"/>
        <v>29.887796814102899</v>
      </c>
      <c r="P16" s="19">
        <f t="shared" si="3"/>
        <v>0.19666267406461219</v>
      </c>
      <c r="Q16" s="19">
        <f t="shared" si="4"/>
        <v>9808850.8887054585</v>
      </c>
      <c r="R16" s="19">
        <f t="shared" si="5"/>
        <v>1929034.8452738631</v>
      </c>
      <c r="S16" s="19">
        <f t="shared" ca="1" si="6"/>
        <v>17.851138474187906</v>
      </c>
    </row>
    <row r="17" spans="1:19">
      <c r="A17" s="20">
        <v>45807</v>
      </c>
      <c r="B17" s="21">
        <v>45838</v>
      </c>
      <c r="C17" s="19">
        <v>30</v>
      </c>
      <c r="D17" s="22">
        <v>20450</v>
      </c>
      <c r="E17" s="19">
        <v>24833.599999999999</v>
      </c>
      <c r="F17" s="18" t="s">
        <v>2</v>
      </c>
      <c r="G17" s="19">
        <v>30.2</v>
      </c>
      <c r="H17" s="19">
        <v>11.524999999999999</v>
      </c>
      <c r="I17" s="19">
        <v>18</v>
      </c>
      <c r="J17" s="19">
        <v>0.2</v>
      </c>
      <c r="K17" s="19">
        <v>0.5</v>
      </c>
      <c r="L17" s="19">
        <f t="shared" ca="1" si="0"/>
        <v>0.13618600476291143</v>
      </c>
      <c r="M17" s="19">
        <v>0.2</v>
      </c>
      <c r="N17" s="19">
        <f t="shared" ca="1" si="1"/>
        <v>2.177289234579792E-3</v>
      </c>
      <c r="O17" s="19">
        <f t="shared" ca="1" si="2"/>
        <v>30.197822710765418</v>
      </c>
      <c r="P17" s="19">
        <f t="shared" si="3"/>
        <v>0.19421469242597231</v>
      </c>
      <c r="Q17" s="19">
        <f t="shared" si="4"/>
        <v>9808850.8887054585</v>
      </c>
      <c r="R17" s="19">
        <f t="shared" si="5"/>
        <v>1905022.9584021557</v>
      </c>
      <c r="S17" s="19">
        <f t="shared" ca="1" si="6"/>
        <v>17.838612730594054</v>
      </c>
    </row>
    <row r="18" spans="1:19">
      <c r="A18" s="20">
        <v>45807</v>
      </c>
      <c r="B18" s="21">
        <v>45838</v>
      </c>
      <c r="C18" s="19">
        <v>30</v>
      </c>
      <c r="D18" s="22">
        <v>20500</v>
      </c>
      <c r="E18" s="19">
        <v>24833.599999999999</v>
      </c>
      <c r="F18" s="18" t="s">
        <v>2</v>
      </c>
      <c r="G18" s="19">
        <v>29.98</v>
      </c>
      <c r="H18" s="19">
        <v>4.8499999999999996</v>
      </c>
      <c r="I18" s="19">
        <v>3249</v>
      </c>
      <c r="J18" s="19">
        <v>0.2</v>
      </c>
      <c r="K18" s="19">
        <v>0.5</v>
      </c>
      <c r="L18" s="19">
        <f t="shared" ca="1" si="0"/>
        <v>0.24000202153077366</v>
      </c>
      <c r="M18" s="19">
        <v>0.2</v>
      </c>
      <c r="N18" s="19">
        <f t="shared" ca="1" si="1"/>
        <v>2.1514386573699106E-3</v>
      </c>
      <c r="O18" s="19">
        <f t="shared" ca="1" si="2"/>
        <v>29.977848561342629</v>
      </c>
      <c r="P18" s="19">
        <f t="shared" si="3"/>
        <v>0.19177268877042042</v>
      </c>
      <c r="Q18" s="19">
        <f t="shared" si="4"/>
        <v>9808850.8887054585</v>
      </c>
      <c r="R18" s="19">
        <f t="shared" si="5"/>
        <v>1881069.7086751736</v>
      </c>
      <c r="S18" s="19">
        <f t="shared" ca="1" si="6"/>
        <v>17.825959273207104</v>
      </c>
    </row>
    <row r="19" spans="1:19">
      <c r="A19" s="20">
        <v>45807</v>
      </c>
      <c r="B19" s="21">
        <v>45838</v>
      </c>
      <c r="C19" s="19">
        <v>30</v>
      </c>
      <c r="D19" s="22">
        <v>20550</v>
      </c>
      <c r="E19" s="19">
        <v>24833.599999999999</v>
      </c>
      <c r="F19" s="18" t="s">
        <v>2</v>
      </c>
      <c r="G19" s="19">
        <v>30.23</v>
      </c>
      <c r="H19" s="19">
        <v>7.1</v>
      </c>
      <c r="I19" s="19">
        <v>17</v>
      </c>
      <c r="J19" s="19">
        <v>0.2</v>
      </c>
      <c r="K19" s="19">
        <v>0.5</v>
      </c>
      <c r="L19" s="19">
        <f t="shared" ca="1" si="0"/>
        <v>0.42815682696012725</v>
      </c>
      <c r="M19" s="19">
        <v>0.2</v>
      </c>
      <c r="N19" s="19">
        <f t="shared" ca="1" si="1"/>
        <v>2.1256337422891564E-3</v>
      </c>
      <c r="O19" s="19">
        <f t="shared" ca="1" si="2"/>
        <v>30.227874366257712</v>
      </c>
      <c r="P19" s="19">
        <f t="shared" si="3"/>
        <v>0.18933663397253939</v>
      </c>
      <c r="Q19" s="19">
        <f t="shared" si="4"/>
        <v>9808850.8887054585</v>
      </c>
      <c r="R19" s="19">
        <f t="shared" si="5"/>
        <v>1857174.810406043</v>
      </c>
      <c r="S19" s="19">
        <f t="shared" ca="1" si="6"/>
        <v>17.81317507169279</v>
      </c>
    </row>
    <row r="20" spans="1:19">
      <c r="A20" s="20">
        <v>45807</v>
      </c>
      <c r="B20" s="21">
        <v>45838</v>
      </c>
      <c r="C20" s="19">
        <v>30</v>
      </c>
      <c r="D20" s="22">
        <v>20600</v>
      </c>
      <c r="E20" s="19">
        <v>24833.599999999999</v>
      </c>
      <c r="F20" s="18" t="s">
        <v>2</v>
      </c>
      <c r="G20" s="19">
        <v>47</v>
      </c>
      <c r="H20" s="19">
        <v>7.1</v>
      </c>
      <c r="I20" s="19">
        <v>27</v>
      </c>
      <c r="J20" s="19">
        <v>0.2</v>
      </c>
      <c r="K20" s="19">
        <v>0.5</v>
      </c>
      <c r="L20" s="19">
        <f t="shared" ca="1" si="0"/>
        <v>0.61007215310037299</v>
      </c>
      <c r="M20" s="19">
        <v>1.2</v>
      </c>
      <c r="N20" s="19">
        <f t="shared" ref="N20:N21" ca="1" si="7">($J$2 / Q20) * (R20 / S20) * (1 + (
((1 - $K$2)^2 * $J$2^2) / (24 * (E20 * D20)^(1 - $K$2)) +
($L$2 * $K$2 * $M$2 * $J$2) / (4 * (E20 * D20)^((1 - $K$2)/2)) +
((2 - 3 * $L$2^2) * $M$2^2) / 24
) * (C20 / 365))</f>
        <v>2.0998740642939146E-3</v>
      </c>
      <c r="O20" s="19">
        <f t="shared" ref="O20:O21" ca="1" si="8">G20-N20</f>
        <v>46.997900125935708</v>
      </c>
      <c r="P20" s="19">
        <f t="shared" ref="P20:P21" si="9">LN(E20/D20)</f>
        <v>0.18690649911924762</v>
      </c>
      <c r="Q20" s="19">
        <f t="shared" ref="Q20:Q21" si="10">(B20*A20)^((1-$K$2/2))</f>
        <v>9808850.8887054585</v>
      </c>
      <c r="R20" s="19">
        <f t="shared" ref="R20:R21" si="11">($M$2/$J$2) * Q20*P20</f>
        <v>1833337.9799906579</v>
      </c>
      <c r="S20" s="19">
        <f t="shared" ca="1" si="6"/>
        <v>17.800256989415285</v>
      </c>
    </row>
    <row r="21" spans="1:19">
      <c r="A21" s="20">
        <v>45807</v>
      </c>
      <c r="B21" s="21">
        <v>45838</v>
      </c>
      <c r="C21" s="19">
        <v>30</v>
      </c>
      <c r="D21" s="22">
        <v>20650</v>
      </c>
      <c r="E21" s="19">
        <v>24833.599999999999</v>
      </c>
      <c r="F21" s="18" t="s">
        <v>2</v>
      </c>
      <c r="G21" s="19">
        <v>29.73</v>
      </c>
      <c r="H21" s="19">
        <v>7.2249999999999996</v>
      </c>
      <c r="I21" s="19">
        <v>55</v>
      </c>
      <c r="J21" s="19">
        <v>0.2</v>
      </c>
      <c r="K21" s="19">
        <v>0.5</v>
      </c>
      <c r="L21" s="19">
        <f t="shared" ca="1" si="0"/>
        <v>0.55067092190106426</v>
      </c>
      <c r="M21" s="19">
        <v>2.2000000000000002</v>
      </c>
      <c r="N21" s="19">
        <f t="shared" ca="1" si="7"/>
        <v>2.0741591963185091E-3</v>
      </c>
      <c r="O21" s="19">
        <f t="shared" ca="1" si="8"/>
        <v>29.727925840803682</v>
      </c>
      <c r="P21" s="19">
        <f t="shared" si="9"/>
        <v>0.18448225550774131</v>
      </c>
      <c r="Q21" s="19">
        <f t="shared" si="10"/>
        <v>9808850.8887054585</v>
      </c>
      <c r="R21" s="19">
        <f t="shared" si="11"/>
        <v>1809558.9358874958</v>
      </c>
      <c r="S21" s="19">
        <f t="shared" ca="1" si="6"/>
        <v>17.787201778381274</v>
      </c>
    </row>
  </sheetData>
  <hyperlinks>
    <hyperlink ref="D2" r:id="rId1" display="javascript:;" xr:uid="{1E1C82AF-AE65-499F-A3DD-8B90138677DB}"/>
    <hyperlink ref="D3" r:id="rId2" display="javascript:;" xr:uid="{A1B58BBB-C20C-4CC2-AB93-5A5B483A070F}"/>
    <hyperlink ref="D4" r:id="rId3" display="javascript:;" xr:uid="{D922BCC9-7118-4CA1-855A-583E380BF7E0}"/>
    <hyperlink ref="D5" r:id="rId4" display="javascript:;" xr:uid="{2CE3F1B3-F4DB-4D29-87E7-926BA7A1B5B7}"/>
    <hyperlink ref="D6" r:id="rId5" display="javascript:;" xr:uid="{3D468346-08A7-490E-A90C-635AC1640BDD}"/>
    <hyperlink ref="D7" r:id="rId6" display="javascript:;" xr:uid="{3B751E42-AA20-4294-B1DF-C6D95A180BA7}"/>
    <hyperlink ref="D8" r:id="rId7" display="javascript:;" xr:uid="{9A6DC960-3C03-49B6-92EB-580D131975DD}"/>
    <hyperlink ref="D9" r:id="rId8" display="javascript:;" xr:uid="{0DC763E9-465B-4C3D-A264-40244784D849}"/>
    <hyperlink ref="D10" r:id="rId9" display="javascript:;" xr:uid="{F5DBFFFF-FED8-42CC-8E0A-F3F045D91115}"/>
    <hyperlink ref="D11" r:id="rId10" display="javascript:;" xr:uid="{26DF1592-BE3E-4829-BEA4-F159DE3876CA}"/>
    <hyperlink ref="D12" r:id="rId11" display="javascript:;" xr:uid="{5CE53CF8-8E30-4ADA-8F66-2AA374C9D0D5}"/>
    <hyperlink ref="D13" r:id="rId12" display="javascript:;" xr:uid="{4F499396-F65C-4470-A199-218829663F62}"/>
    <hyperlink ref="D14" r:id="rId13" display="javascript:;" xr:uid="{97CD2927-82DA-466A-822D-DFEBB4942469}"/>
    <hyperlink ref="D15" r:id="rId14" display="javascript:;" xr:uid="{BEACB563-4494-4DA9-AD28-6C6AA3563987}"/>
    <hyperlink ref="D16" r:id="rId15" display="javascript:;" xr:uid="{945EDDB2-BC5D-4D9C-B495-C676ADAEA5E8}"/>
    <hyperlink ref="D17" r:id="rId16" display="javascript:;" xr:uid="{5548E0E6-3391-4FC3-A464-CA7ED47CABD7}"/>
    <hyperlink ref="D18" r:id="rId17" display="javascript:;" xr:uid="{8EA28DF9-890A-4A89-8F5C-0CBD9987C3F3}"/>
    <hyperlink ref="D19" r:id="rId18" display="javascript:;" xr:uid="{4B51D3BF-AE87-43E5-8D21-D1362C8FD5D2}"/>
    <hyperlink ref="D20" r:id="rId19" display="javascript:;" xr:uid="{E408B249-5BFC-412B-8CBD-16ECAEC891AB}"/>
    <hyperlink ref="D21" r:id="rId20" display="javascript:;" xr:uid="{94786967-F9AB-4BF5-83C2-39AF541DA534}"/>
  </hyperlinks>
  <pageMargins left="0.7" right="0.7" top="0.75" bottom="0.75" header="0.3" footer="0.3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C753-ADBF-4DBE-8AA5-807F1415F2FB}">
  <sheetPr>
    <tabColor theme="7" tint="0.59999389629810485"/>
  </sheetPr>
  <dimension ref="A1:S19"/>
  <sheetViews>
    <sheetView workbookViewId="0">
      <selection activeCell="V9" sqref="V9"/>
    </sheetView>
  </sheetViews>
  <sheetFormatPr defaultRowHeight="12.5"/>
  <cols>
    <col min="1" max="2" width="10.08984375" bestFit="1" customWidth="1"/>
    <col min="3" max="3" width="4.453125" bestFit="1" customWidth="1"/>
    <col min="4" max="4" width="8.90625" bestFit="1" customWidth="1"/>
    <col min="5" max="5" width="7.81640625" bestFit="1" customWidth="1"/>
    <col min="6" max="6" width="10.9062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6" bestFit="1" customWidth="1"/>
    <col min="11" max="11" width="4.90625" bestFit="1" customWidth="1"/>
    <col min="12" max="12" width="11.81640625" bestFit="1" customWidth="1"/>
    <col min="13" max="13" width="3.81640625" bestFit="1" customWidth="1"/>
    <col min="14" max="14" width="14.1796875" bestFit="1" customWidth="1"/>
    <col min="15" max="15" width="11.81640625" bestFit="1" customWidth="1"/>
    <col min="16" max="16" width="12.453125" bestFit="1" customWidth="1"/>
    <col min="17" max="17" width="11.81640625" bestFit="1" customWidth="1"/>
    <col min="18" max="19" width="12.453125" bestFit="1" customWidth="1"/>
  </cols>
  <sheetData>
    <row r="1" spans="1:19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5" t="s">
        <v>28</v>
      </c>
      <c r="K1" s="25" t="s">
        <v>29</v>
      </c>
      <c r="L1" s="25" t="s">
        <v>30</v>
      </c>
      <c r="M1" s="25" t="s">
        <v>31</v>
      </c>
      <c r="N1" s="25" t="s">
        <v>32</v>
      </c>
      <c r="O1" s="25" t="s">
        <v>33</v>
      </c>
      <c r="P1" s="25" t="s">
        <v>34</v>
      </c>
      <c r="Q1" s="25" t="s">
        <v>35</v>
      </c>
      <c r="R1" s="25" t="s">
        <v>36</v>
      </c>
      <c r="S1" s="25" t="s">
        <v>37</v>
      </c>
    </row>
    <row r="2" spans="1:19">
      <c r="A2" s="23">
        <v>45807</v>
      </c>
      <c r="B2" s="23">
        <v>45894</v>
      </c>
      <c r="C2" s="24">
        <v>90</v>
      </c>
      <c r="D2" s="22">
        <v>20000</v>
      </c>
      <c r="E2" s="19">
        <v>24833.599999999999</v>
      </c>
      <c r="F2" s="18" t="s">
        <v>1</v>
      </c>
      <c r="G2" s="19">
        <v>11.32</v>
      </c>
      <c r="H2" s="19">
        <v>4300.0249999999996</v>
      </c>
      <c r="I2" s="19">
        <v>26</v>
      </c>
      <c r="J2" s="19">
        <v>0.2</v>
      </c>
      <c r="K2" s="19">
        <v>0.5</v>
      </c>
      <c r="L2" s="19">
        <f ca="1">RAND()</f>
        <v>4.7834841065229838E-2</v>
      </c>
      <c r="M2" s="19">
        <v>0.2</v>
      </c>
      <c r="N2" s="19">
        <f ca="1">($J$2 / Q2) * (R2 / S2) * (1 + (
((1 - $K$2)^2 * $J$2^2) / (24 * (E2 * D2)^(1 - $K$2)) +
($L$2 * $K$2 * $M$2 * $J$2) / (4 * (E2 * D2)^((1 - $K$2)/2)) +
((2 - 3 * $L$2^2) * $M$2^2) / 24
) * (C2 / 365))</f>
        <v>2.829794363703197E-3</v>
      </c>
      <c r="O2" s="19">
        <f ca="1">G2-N2</f>
        <v>11.317170205636296</v>
      </c>
      <c r="P2" s="19">
        <f>LN(E2/D2)</f>
        <v>0.21646530136079198</v>
      </c>
      <c r="Q2" s="19">
        <f>(B2*A2)^((1-$K$2/2))</f>
        <v>9817837.0760699511</v>
      </c>
      <c r="R2" s="19">
        <f>($M$2/$J$2) * Q2*P2</f>
        <v>2125221.0613826388</v>
      </c>
      <c r="S2" s="19">
        <f ca="1">LN((SQRT(1-2*$L$2*R2+R2^2) + R2-$L$2)/(1-$L$2))</f>
        <v>15.311550314829558</v>
      </c>
    </row>
    <row r="3" spans="1:19">
      <c r="A3" s="20">
        <v>45807</v>
      </c>
      <c r="B3" s="20">
        <v>45894</v>
      </c>
      <c r="C3" s="19">
        <v>90</v>
      </c>
      <c r="D3" s="22">
        <v>21000</v>
      </c>
      <c r="E3" s="19">
        <v>24833.599999999999</v>
      </c>
      <c r="F3" s="18" t="s">
        <v>1</v>
      </c>
      <c r="G3" s="19">
        <v>11.64</v>
      </c>
      <c r="H3" s="19">
        <v>3396</v>
      </c>
      <c r="I3" s="19">
        <v>595</v>
      </c>
      <c r="J3" s="19">
        <v>0.2</v>
      </c>
      <c r="K3" s="19">
        <v>0.5</v>
      </c>
      <c r="L3" s="19">
        <f t="shared" ref="L3:L19" ca="1" si="0">RAND()</f>
        <v>0.35740648604964942</v>
      </c>
      <c r="M3" s="19">
        <v>0.2</v>
      </c>
      <c r="N3" s="19">
        <f t="shared" ref="N3:N19" ca="1" si="1">($J$2 / Q3) * (R3 / S3) * (1 + (
((1 - $K$2)^2 * $J$2^2) / (24 * (E3 * D3)^(1 - $K$2)) +
($L$2 * $K$2 * $M$2 * $J$2) / (4 * (E3 * D3)^((1 - $K$2)/2)) +
((2 - 3 * $L$2^2) * $M$2^2) / 24
) * (C3 / 365))</f>
        <v>2.2291563630905992E-3</v>
      </c>
      <c r="O3" s="19">
        <f t="shared" ref="O3:O19" ca="1" si="2">G3-N3</f>
        <v>11.637770843636909</v>
      </c>
      <c r="P3" s="19">
        <f t="shared" ref="P3:P19" si="3">LN(E3/D3)</f>
        <v>0.16767513719135993</v>
      </c>
      <c r="Q3" s="19">
        <f t="shared" ref="Q3:Q19" si="4">(B3*A3)^((1-$K$2/2))</f>
        <v>9817837.0760699511</v>
      </c>
      <c r="R3" s="19">
        <f t="shared" ref="R3:R19" si="5">($M$2/$J$2) * Q3*P3</f>
        <v>1646207.178652449</v>
      </c>
      <c r="S3" s="19">
        <f t="shared" ref="S3:S19" ca="1" si="6">LN((SQRT(1-2*$L$2*R3+R3^2) + R3-$L$2)/(1-$L$2))</f>
        <v>15.056148444716733</v>
      </c>
    </row>
    <row r="4" spans="1:19">
      <c r="A4" s="20">
        <v>45807</v>
      </c>
      <c r="B4" s="20">
        <v>45894</v>
      </c>
      <c r="C4" s="19">
        <v>90</v>
      </c>
      <c r="D4" s="22">
        <v>22000</v>
      </c>
      <c r="E4" s="19">
        <v>24833.599999999999</v>
      </c>
      <c r="F4" s="18" t="s">
        <v>1</v>
      </c>
      <c r="G4" s="19">
        <v>11.8</v>
      </c>
      <c r="H4" s="19">
        <v>2458.25</v>
      </c>
      <c r="I4" s="19">
        <v>1746</v>
      </c>
      <c r="J4" s="19">
        <v>0.2</v>
      </c>
      <c r="K4" s="19">
        <v>0.5</v>
      </c>
      <c r="L4" s="19">
        <f t="shared" ca="1" si="0"/>
        <v>0.94509306827065032</v>
      </c>
      <c r="M4" s="19">
        <v>0.2</v>
      </c>
      <c r="N4" s="19">
        <f t="shared" ca="1" si="1"/>
        <v>1.6462267088205172E-3</v>
      </c>
      <c r="O4" s="19">
        <f t="shared" ca="1" si="2"/>
        <v>11.798353773291181</v>
      </c>
      <c r="P4" s="19">
        <f t="shared" si="3"/>
        <v>0.12115512155646722</v>
      </c>
      <c r="Q4" s="19">
        <f t="shared" si="4"/>
        <v>9817837.0760699511</v>
      </c>
      <c r="R4" s="19">
        <f t="shared" si="5"/>
        <v>1189481.2443728456</v>
      </c>
      <c r="S4" s="19">
        <f t="shared" ca="1" si="6"/>
        <v>14.731191754251551</v>
      </c>
    </row>
    <row r="5" spans="1:19">
      <c r="A5" s="20">
        <v>45807</v>
      </c>
      <c r="B5" s="20">
        <v>45894</v>
      </c>
      <c r="C5" s="19">
        <v>90</v>
      </c>
      <c r="D5" s="22">
        <v>23000</v>
      </c>
      <c r="E5" s="19">
        <v>24833.599999999999</v>
      </c>
      <c r="F5" s="18" t="s">
        <v>1</v>
      </c>
      <c r="G5" s="19">
        <v>12.18</v>
      </c>
      <c r="H5" s="19">
        <v>1656.2</v>
      </c>
      <c r="I5" s="19">
        <v>4678</v>
      </c>
      <c r="J5" s="19">
        <v>0.2</v>
      </c>
      <c r="K5" s="19">
        <v>0.5</v>
      </c>
      <c r="L5" s="19">
        <f t="shared" ca="1" si="0"/>
        <v>0.93561437220465937</v>
      </c>
      <c r="M5" s="19">
        <v>0.2</v>
      </c>
      <c r="N5" s="19">
        <f t="shared" ca="1" si="1"/>
        <v>1.0756040875577523E-3</v>
      </c>
      <c r="O5" s="19">
        <f t="shared" ca="1" si="2"/>
        <v>12.178924395912443</v>
      </c>
      <c r="P5" s="19">
        <f t="shared" si="3"/>
        <v>7.6703358985633366E-2</v>
      </c>
      <c r="Q5" s="19">
        <f t="shared" si="4"/>
        <v>9817837.0760699511</v>
      </c>
      <c r="R5" s="19">
        <f t="shared" si="5"/>
        <v>753061.08170825453</v>
      </c>
      <c r="S5" s="19">
        <f t="shared" ca="1" si="6"/>
        <v>14.274065511300213</v>
      </c>
    </row>
    <row r="6" spans="1:19">
      <c r="A6" s="20">
        <v>45807</v>
      </c>
      <c r="B6" s="20">
        <v>45894</v>
      </c>
      <c r="C6" s="19">
        <v>90</v>
      </c>
      <c r="D6" s="22">
        <v>24000</v>
      </c>
      <c r="E6" s="19">
        <v>24833.599999999999</v>
      </c>
      <c r="F6" s="18" t="s">
        <v>1</v>
      </c>
      <c r="G6" s="19">
        <v>13.12</v>
      </c>
      <c r="H6" s="19">
        <v>994.52499999999998</v>
      </c>
      <c r="I6" s="19">
        <v>7140</v>
      </c>
      <c r="J6" s="19">
        <v>0.2</v>
      </c>
      <c r="K6" s="19">
        <v>0.5</v>
      </c>
      <c r="L6" s="19">
        <f t="shared" ca="1" si="0"/>
        <v>0.76746884470660637</v>
      </c>
      <c r="M6" s="19">
        <v>0.2</v>
      </c>
      <c r="N6" s="19">
        <f t="shared" ca="1" si="1"/>
        <v>5.0757501232283027E-4</v>
      </c>
      <c r="O6" s="19">
        <f t="shared" ca="1" si="2"/>
        <v>13.119492424987676</v>
      </c>
      <c r="P6" s="19">
        <f t="shared" si="3"/>
        <v>3.4143744566837379E-2</v>
      </c>
      <c r="Q6" s="19">
        <f t="shared" si="4"/>
        <v>9817837.0760699511</v>
      </c>
      <c r="R6" s="19">
        <f t="shared" si="5"/>
        <v>335217.72132415796</v>
      </c>
      <c r="S6" s="19">
        <f t="shared" ca="1" si="6"/>
        <v>13.464699324930853</v>
      </c>
    </row>
    <row r="7" spans="1:19">
      <c r="A7" s="20">
        <v>45807</v>
      </c>
      <c r="B7" s="20">
        <v>45894</v>
      </c>
      <c r="C7" s="19">
        <v>90</v>
      </c>
      <c r="D7" s="22">
        <v>25000</v>
      </c>
      <c r="E7" s="19">
        <v>24833.599999999999</v>
      </c>
      <c r="F7" s="18" t="s">
        <v>1</v>
      </c>
      <c r="G7" s="19">
        <v>11.64</v>
      </c>
      <c r="H7" s="19">
        <v>507.625</v>
      </c>
      <c r="I7" s="19">
        <v>8098</v>
      </c>
      <c r="J7" s="19">
        <v>0.2</v>
      </c>
      <c r="K7" s="19">
        <v>0.5</v>
      </c>
      <c r="L7" s="19">
        <f t="shared" ca="1" si="0"/>
        <v>6.1805446411173914E-3</v>
      </c>
      <c r="M7" s="19">
        <v>0.2</v>
      </c>
      <c r="N7" s="19">
        <f t="shared" ca="1" si="1"/>
        <v>1.1388923530210698E-4</v>
      </c>
      <c r="O7" s="19">
        <f t="shared" ca="1" si="2"/>
        <v>11.639886110764698</v>
      </c>
      <c r="P7" s="19">
        <f t="shared" si="3"/>
        <v>-6.6782499534178072E-3</v>
      </c>
      <c r="Q7" s="19">
        <f t="shared" si="4"/>
        <v>9817837.0760699511</v>
      </c>
      <c r="R7" s="19">
        <f t="shared" si="5"/>
        <v>-65565.969995927764</v>
      </c>
      <c r="S7" s="19">
        <f t="shared" ca="1" si="6"/>
        <v>-11.73723327105235</v>
      </c>
    </row>
    <row r="8" spans="1:19">
      <c r="A8" s="20">
        <v>45807</v>
      </c>
      <c r="B8" s="20">
        <v>45894</v>
      </c>
      <c r="C8" s="19">
        <v>90</v>
      </c>
      <c r="D8" s="22">
        <v>26000</v>
      </c>
      <c r="E8" s="19">
        <v>24833.599999999999</v>
      </c>
      <c r="F8" s="18" t="s">
        <v>1</v>
      </c>
      <c r="G8" s="19">
        <v>11.8</v>
      </c>
      <c r="H8" s="19">
        <v>220.75</v>
      </c>
      <c r="I8" s="19">
        <v>4881</v>
      </c>
      <c r="J8" s="19">
        <v>0.2</v>
      </c>
      <c r="K8" s="19">
        <v>0.5</v>
      </c>
      <c r="L8" s="19">
        <f t="shared" ca="1" si="0"/>
        <v>0.34895664743353449</v>
      </c>
      <c r="M8" s="19">
        <v>0.2</v>
      </c>
      <c r="N8" s="19">
        <f t="shared" ca="1" si="1"/>
        <v>6.7233488085719254E-4</v>
      </c>
      <c r="O8" s="19">
        <f t="shared" ca="1" si="2"/>
        <v>11.799327665119144</v>
      </c>
      <c r="P8" s="19">
        <f t="shared" si="3"/>
        <v>-4.5898963106699046E-2</v>
      </c>
      <c r="Q8" s="19">
        <f t="shared" si="4"/>
        <v>9817837.0760699511</v>
      </c>
      <c r="R8" s="19">
        <f t="shared" si="5"/>
        <v>-450628.54174211674</v>
      </c>
      <c r="S8" s="19">
        <f t="shared" ca="1" si="6"/>
        <v>-13.664790351899617</v>
      </c>
    </row>
    <row r="9" spans="1:19">
      <c r="A9" s="20">
        <v>45807</v>
      </c>
      <c r="B9" s="20">
        <v>45894</v>
      </c>
      <c r="C9" s="19">
        <v>90</v>
      </c>
      <c r="D9" s="22">
        <v>27000</v>
      </c>
      <c r="E9" s="19">
        <v>24833.599999999999</v>
      </c>
      <c r="F9" s="18" t="s">
        <v>1</v>
      </c>
      <c r="G9" s="19">
        <v>12.18</v>
      </c>
      <c r="H9" s="19">
        <v>89.825000000000003</v>
      </c>
      <c r="I9" s="19">
        <v>5209</v>
      </c>
      <c r="J9" s="19">
        <v>0.2</v>
      </c>
      <c r="K9" s="19">
        <v>0.5</v>
      </c>
      <c r="L9" s="19">
        <f t="shared" ca="1" si="0"/>
        <v>0.37479549780321486</v>
      </c>
      <c r="M9" s="19">
        <v>0.2</v>
      </c>
      <c r="N9" s="19">
        <f t="shared" ca="1" si="1"/>
        <v>1.1736142640478497E-3</v>
      </c>
      <c r="O9" s="19">
        <f t="shared" ca="1" si="2"/>
        <v>12.178826385735952</v>
      </c>
      <c r="P9" s="19">
        <f t="shared" si="3"/>
        <v>-8.3639291089546097E-2</v>
      </c>
      <c r="Q9" s="19">
        <f t="shared" si="4"/>
        <v>9817837.0760699511</v>
      </c>
      <c r="R9" s="19">
        <f t="shared" si="5"/>
        <v>-821156.9330751528</v>
      </c>
      <c r="S9" s="19">
        <f t="shared" ca="1" si="6"/>
        <v>-14.264964786513678</v>
      </c>
    </row>
    <row r="10" spans="1:19">
      <c r="A10" s="20">
        <v>45807</v>
      </c>
      <c r="B10" s="20">
        <v>45894</v>
      </c>
      <c r="C10" s="19">
        <v>90</v>
      </c>
      <c r="D10" s="22">
        <v>28000</v>
      </c>
      <c r="E10" s="19">
        <v>24833.599999999999</v>
      </c>
      <c r="F10" s="18" t="s">
        <v>1</v>
      </c>
      <c r="G10" s="19">
        <v>13.12</v>
      </c>
      <c r="H10" s="19">
        <v>41.325000000000003</v>
      </c>
      <c r="I10" s="19">
        <v>2743</v>
      </c>
      <c r="J10" s="19">
        <v>0.2</v>
      </c>
      <c r="K10" s="19">
        <v>0.5</v>
      </c>
      <c r="L10" s="19">
        <f t="shared" ca="1" si="0"/>
        <v>0.69601049246634095</v>
      </c>
      <c r="M10" s="19">
        <v>0.2</v>
      </c>
      <c r="N10" s="19">
        <f t="shared" ca="1" si="1"/>
        <v>1.6423931887247615E-3</v>
      </c>
      <c r="O10" s="19">
        <f t="shared" ca="1" si="2"/>
        <v>13.118357606811275</v>
      </c>
      <c r="P10" s="19">
        <f t="shared" si="3"/>
        <v>-0.12000693526042094</v>
      </c>
      <c r="Q10" s="19">
        <f t="shared" si="4"/>
        <v>9817837.0760699511</v>
      </c>
      <c r="R10" s="19">
        <f t="shared" si="5"/>
        <v>-1178208.5383852872</v>
      </c>
      <c r="S10" s="19">
        <f t="shared" ca="1" si="6"/>
        <v>-14.625642316281343</v>
      </c>
    </row>
    <row r="11" spans="1:19">
      <c r="A11" s="20">
        <v>45807</v>
      </c>
      <c r="B11" s="20">
        <v>45894</v>
      </c>
      <c r="C11" s="19">
        <v>90</v>
      </c>
      <c r="D11" s="22">
        <v>27000</v>
      </c>
      <c r="E11" s="19">
        <v>24833.599999999999</v>
      </c>
      <c r="F11" s="18" t="s">
        <v>1</v>
      </c>
      <c r="G11" s="19">
        <v>14.26</v>
      </c>
      <c r="H11" s="19">
        <v>23.25</v>
      </c>
      <c r="I11" s="19">
        <v>504</v>
      </c>
      <c r="J11" s="19">
        <v>0.2</v>
      </c>
      <c r="K11" s="19">
        <v>0.5</v>
      </c>
      <c r="L11" s="19">
        <f t="shared" ca="1" si="0"/>
        <v>0.46017177907199702</v>
      </c>
      <c r="M11" s="19">
        <v>0.2</v>
      </c>
      <c r="N11" s="19">
        <f t="shared" ca="1" si="1"/>
        <v>1.1736142640478497E-3</v>
      </c>
      <c r="O11" s="19">
        <f t="shared" ca="1" si="2"/>
        <v>14.258826385735953</v>
      </c>
      <c r="P11" s="19">
        <f t="shared" si="3"/>
        <v>-8.3639291089546097E-2</v>
      </c>
      <c r="Q11" s="19">
        <f t="shared" si="4"/>
        <v>9817837.0760699511</v>
      </c>
      <c r="R11" s="19">
        <f t="shared" si="5"/>
        <v>-821156.9330751528</v>
      </c>
      <c r="S11" s="19">
        <f t="shared" ca="1" si="6"/>
        <v>-14.264964786513678</v>
      </c>
    </row>
    <row r="12" spans="1:19">
      <c r="A12" s="20">
        <v>45807</v>
      </c>
      <c r="B12" s="20">
        <v>45894</v>
      </c>
      <c r="C12" s="19">
        <v>90</v>
      </c>
      <c r="D12" s="22">
        <v>20000</v>
      </c>
      <c r="E12" s="19">
        <v>24833.599999999999</v>
      </c>
      <c r="F12" s="18" t="s">
        <v>2</v>
      </c>
      <c r="G12" s="19">
        <v>22.74</v>
      </c>
      <c r="H12" s="19">
        <v>29.8</v>
      </c>
      <c r="I12" s="19">
        <v>5906</v>
      </c>
      <c r="J12" s="19">
        <v>0.2</v>
      </c>
      <c r="K12" s="19">
        <v>0.5</v>
      </c>
      <c r="L12" s="19">
        <f t="shared" ca="1" si="0"/>
        <v>0.96357879089926834</v>
      </c>
      <c r="M12" s="19">
        <v>0.2</v>
      </c>
      <c r="N12" s="19">
        <f t="shared" ca="1" si="1"/>
        <v>2.829794363703197E-3</v>
      </c>
      <c r="O12" s="19">
        <f t="shared" ca="1" si="2"/>
        <v>22.737170205636296</v>
      </c>
      <c r="P12" s="19">
        <f t="shared" si="3"/>
        <v>0.21646530136079198</v>
      </c>
      <c r="Q12" s="19">
        <f t="shared" si="4"/>
        <v>9817837.0760699511</v>
      </c>
      <c r="R12" s="19">
        <f t="shared" si="5"/>
        <v>2125221.0613826388</v>
      </c>
      <c r="S12" s="19">
        <f t="shared" ca="1" si="6"/>
        <v>15.311550314829558</v>
      </c>
    </row>
    <row r="13" spans="1:19">
      <c r="A13" s="20">
        <v>45807</v>
      </c>
      <c r="B13" s="20">
        <v>45894</v>
      </c>
      <c r="C13" s="19">
        <v>90</v>
      </c>
      <c r="D13" s="22">
        <v>21000</v>
      </c>
      <c r="E13" s="19">
        <v>24833.599999999999</v>
      </c>
      <c r="F13" s="18" t="s">
        <v>2</v>
      </c>
      <c r="G13" s="19">
        <v>21.05</v>
      </c>
      <c r="H13" s="19">
        <v>52.424999999999997</v>
      </c>
      <c r="I13" s="19">
        <v>5152</v>
      </c>
      <c r="J13" s="19">
        <v>0.2</v>
      </c>
      <c r="K13" s="19">
        <v>0.5</v>
      </c>
      <c r="L13" s="19">
        <f t="shared" ca="1" si="0"/>
        <v>0.28687213788826316</v>
      </c>
      <c r="M13" s="19">
        <v>0.2</v>
      </c>
      <c r="N13" s="19">
        <f t="shared" ca="1" si="1"/>
        <v>2.2291563630905992E-3</v>
      </c>
      <c r="O13" s="19">
        <f t="shared" ca="1" si="2"/>
        <v>21.047770843636911</v>
      </c>
      <c r="P13" s="19">
        <f t="shared" si="3"/>
        <v>0.16767513719135993</v>
      </c>
      <c r="Q13" s="19">
        <f t="shared" si="4"/>
        <v>9817837.0760699511</v>
      </c>
      <c r="R13" s="19">
        <f t="shared" si="5"/>
        <v>1646207.178652449</v>
      </c>
      <c r="S13" s="19">
        <f t="shared" ca="1" si="6"/>
        <v>15.056148444716733</v>
      </c>
    </row>
    <row r="14" spans="1:19">
      <c r="A14" s="20">
        <v>45807</v>
      </c>
      <c r="B14" s="20">
        <v>45894</v>
      </c>
      <c r="C14" s="19">
        <v>90</v>
      </c>
      <c r="D14" s="22">
        <v>22000</v>
      </c>
      <c r="E14" s="19">
        <v>24833.599999999999</v>
      </c>
      <c r="F14" s="18" t="s">
        <v>2</v>
      </c>
      <c r="G14" s="19">
        <v>19.510000000000002</v>
      </c>
      <c r="H14" s="19">
        <v>96.974999999999994</v>
      </c>
      <c r="I14" s="19">
        <v>7140</v>
      </c>
      <c r="J14" s="19">
        <v>0.2</v>
      </c>
      <c r="K14" s="19">
        <v>0.5</v>
      </c>
      <c r="L14" s="19">
        <f t="shared" ca="1" si="0"/>
        <v>0.27560902190421666</v>
      </c>
      <c r="M14" s="19">
        <v>0.2</v>
      </c>
      <c r="N14" s="19">
        <f t="shared" ca="1" si="1"/>
        <v>1.6462267088205172E-3</v>
      </c>
      <c r="O14" s="19">
        <f t="shared" ca="1" si="2"/>
        <v>19.50835377329118</v>
      </c>
      <c r="P14" s="19">
        <f t="shared" si="3"/>
        <v>0.12115512155646722</v>
      </c>
      <c r="Q14" s="19">
        <f t="shared" si="4"/>
        <v>9817837.0760699511</v>
      </c>
      <c r="R14" s="19">
        <f t="shared" si="5"/>
        <v>1189481.2443728456</v>
      </c>
      <c r="S14" s="19">
        <f t="shared" ca="1" si="6"/>
        <v>14.731191754251551</v>
      </c>
    </row>
    <row r="15" spans="1:19">
      <c r="A15" s="20">
        <v>45807</v>
      </c>
      <c r="B15" s="20">
        <v>45894</v>
      </c>
      <c r="C15" s="19">
        <v>90</v>
      </c>
      <c r="D15" s="22">
        <v>23000</v>
      </c>
      <c r="E15" s="19">
        <v>24833.599999999999</v>
      </c>
      <c r="F15" s="18" t="s">
        <v>2</v>
      </c>
      <c r="G15" s="19">
        <v>17.97</v>
      </c>
      <c r="H15" s="19">
        <v>177.52500000000001</v>
      </c>
      <c r="I15" s="19">
        <v>7759</v>
      </c>
      <c r="J15" s="19">
        <v>0.2</v>
      </c>
      <c r="K15" s="19">
        <v>0.5</v>
      </c>
      <c r="L15" s="19">
        <f t="shared" ca="1" si="0"/>
        <v>0.73585367933053825</v>
      </c>
      <c r="M15" s="19">
        <v>0.2</v>
      </c>
      <c r="N15" s="19">
        <f t="shared" ca="1" si="1"/>
        <v>1.0756040875577523E-3</v>
      </c>
      <c r="O15" s="19">
        <f t="shared" ca="1" si="2"/>
        <v>17.968924395912442</v>
      </c>
      <c r="P15" s="19">
        <f t="shared" si="3"/>
        <v>7.6703358985633366E-2</v>
      </c>
      <c r="Q15" s="19">
        <f t="shared" si="4"/>
        <v>9817837.0760699511</v>
      </c>
      <c r="R15" s="19">
        <f t="shared" si="5"/>
        <v>753061.08170825453</v>
      </c>
      <c r="S15" s="19">
        <f t="shared" ca="1" si="6"/>
        <v>14.274065511300213</v>
      </c>
    </row>
    <row r="16" spans="1:19">
      <c r="A16" s="20">
        <v>45807</v>
      </c>
      <c r="B16" s="20">
        <v>45894</v>
      </c>
      <c r="C16" s="19">
        <v>90</v>
      </c>
      <c r="D16" s="22">
        <v>24000</v>
      </c>
      <c r="E16" s="19">
        <v>24833.599999999999</v>
      </c>
      <c r="F16" s="18" t="s">
        <v>2</v>
      </c>
      <c r="G16" s="19">
        <v>17.05</v>
      </c>
      <c r="H16" s="19">
        <v>342.25</v>
      </c>
      <c r="I16" s="19">
        <v>12654</v>
      </c>
      <c r="J16" s="19">
        <v>0.2</v>
      </c>
      <c r="K16" s="19">
        <v>0.5</v>
      </c>
      <c r="L16" s="19">
        <f t="shared" ca="1" si="0"/>
        <v>0.88296566912756802</v>
      </c>
      <c r="M16" s="19">
        <v>0.2</v>
      </c>
      <c r="N16" s="19">
        <f t="shared" ca="1" si="1"/>
        <v>5.0757501232283027E-4</v>
      </c>
      <c r="O16" s="19">
        <f t="shared" ca="1" si="2"/>
        <v>17.04949242498768</v>
      </c>
      <c r="P16" s="19">
        <f t="shared" si="3"/>
        <v>3.4143744566837379E-2</v>
      </c>
      <c r="Q16" s="19">
        <f t="shared" si="4"/>
        <v>9817837.0760699511</v>
      </c>
      <c r="R16" s="19">
        <f t="shared" si="5"/>
        <v>335217.72132415796</v>
      </c>
      <c r="S16" s="19">
        <f t="shared" ca="1" si="6"/>
        <v>13.464699324930853</v>
      </c>
    </row>
    <row r="17" spans="1:19">
      <c r="A17" s="20">
        <v>45807</v>
      </c>
      <c r="B17" s="20">
        <v>45894</v>
      </c>
      <c r="C17" s="19">
        <v>90</v>
      </c>
      <c r="D17" s="22">
        <v>25000</v>
      </c>
      <c r="E17" s="19">
        <v>24833.599999999999</v>
      </c>
      <c r="F17" s="18" t="s">
        <v>2</v>
      </c>
      <c r="G17" s="19">
        <v>16.57</v>
      </c>
      <c r="H17" s="19">
        <v>641</v>
      </c>
      <c r="I17" s="19">
        <v>7434</v>
      </c>
      <c r="J17" s="19">
        <v>0.2</v>
      </c>
      <c r="K17" s="19">
        <v>0.5</v>
      </c>
      <c r="L17" s="19">
        <f t="shared" ca="1" si="0"/>
        <v>0.97935183942751358</v>
      </c>
      <c r="M17" s="19">
        <v>0.2</v>
      </c>
      <c r="N17" s="19">
        <f t="shared" ca="1" si="1"/>
        <v>1.1388923530210698E-4</v>
      </c>
      <c r="O17" s="19">
        <f t="shared" ca="1" si="2"/>
        <v>16.569886110764699</v>
      </c>
      <c r="P17" s="19">
        <f t="shared" si="3"/>
        <v>-6.6782499534178072E-3</v>
      </c>
      <c r="Q17" s="19">
        <f t="shared" si="4"/>
        <v>9817837.0760699511</v>
      </c>
      <c r="R17" s="19">
        <f t="shared" si="5"/>
        <v>-65565.969995927764</v>
      </c>
      <c r="S17" s="19">
        <f t="shared" ca="1" si="6"/>
        <v>-11.73723327105235</v>
      </c>
    </row>
    <row r="18" spans="1:19">
      <c r="A18" s="20">
        <v>45807</v>
      </c>
      <c r="B18" s="20">
        <v>45894</v>
      </c>
      <c r="C18" s="19">
        <v>90</v>
      </c>
      <c r="D18" s="22">
        <v>26000</v>
      </c>
      <c r="E18" s="19">
        <v>24833.599999999999</v>
      </c>
      <c r="F18" s="18" t="s">
        <v>2</v>
      </c>
      <c r="G18" s="19">
        <v>16.46</v>
      </c>
      <c r="H18" s="19">
        <v>1118.2750000000001</v>
      </c>
      <c r="I18" s="19">
        <v>6537</v>
      </c>
      <c r="J18" s="19">
        <v>0.2</v>
      </c>
      <c r="K18" s="19">
        <v>0.5</v>
      </c>
      <c r="L18" s="19">
        <f t="shared" ca="1" si="0"/>
        <v>0.92871003605807378</v>
      </c>
      <c r="M18" s="19">
        <v>0.2</v>
      </c>
      <c r="N18" s="19">
        <f t="shared" ca="1" si="1"/>
        <v>6.7233488085719254E-4</v>
      </c>
      <c r="O18" s="19">
        <f t="shared" ca="1" si="2"/>
        <v>16.459327665119144</v>
      </c>
      <c r="P18" s="19">
        <f t="shared" si="3"/>
        <v>-4.5898963106699046E-2</v>
      </c>
      <c r="Q18" s="19">
        <f t="shared" si="4"/>
        <v>9817837.0760699511</v>
      </c>
      <c r="R18" s="19">
        <f t="shared" si="5"/>
        <v>-450628.54174211674</v>
      </c>
      <c r="S18" s="19">
        <f t="shared" ca="1" si="6"/>
        <v>-13.664790351899617</v>
      </c>
    </row>
    <row r="19" spans="1:19">
      <c r="A19" s="20">
        <v>45807</v>
      </c>
      <c r="B19" s="20">
        <v>45894</v>
      </c>
      <c r="C19" s="19">
        <v>90</v>
      </c>
      <c r="D19" s="22">
        <v>27000</v>
      </c>
      <c r="E19" s="19">
        <v>24833.599999999999</v>
      </c>
      <c r="F19" s="18" t="s">
        <v>2</v>
      </c>
      <c r="G19" s="19">
        <v>17.36</v>
      </c>
      <c r="H19" s="19">
        <v>1795.7249999999999</v>
      </c>
      <c r="I19" s="19">
        <v>977</v>
      </c>
      <c r="J19" s="19">
        <v>0.2</v>
      </c>
      <c r="K19" s="19">
        <v>0.5</v>
      </c>
      <c r="L19" s="19">
        <f t="shared" ca="1" si="0"/>
        <v>0.28916596972936659</v>
      </c>
      <c r="M19" s="19">
        <v>0.2</v>
      </c>
      <c r="N19" s="19">
        <f t="shared" ca="1" si="1"/>
        <v>1.1736142640478497E-3</v>
      </c>
      <c r="O19" s="19">
        <f t="shared" ca="1" si="2"/>
        <v>17.358826385735952</v>
      </c>
      <c r="P19" s="19">
        <f t="shared" si="3"/>
        <v>-8.3639291089546097E-2</v>
      </c>
      <c r="Q19" s="19">
        <f t="shared" si="4"/>
        <v>9817837.0760699511</v>
      </c>
      <c r="R19" s="19">
        <f t="shared" si="5"/>
        <v>-821156.9330751528</v>
      </c>
      <c r="S19" s="19">
        <f t="shared" ca="1" si="6"/>
        <v>-14.264964786513678</v>
      </c>
    </row>
  </sheetData>
  <hyperlinks>
    <hyperlink ref="D2" r:id="rId1" display="javascript:;" xr:uid="{7A5BA3B9-F578-4B29-B8BA-C936BA25DB47}"/>
    <hyperlink ref="D3" r:id="rId2" display="javascript:;" xr:uid="{D2748704-4D6A-441A-BC76-88F83C4016A5}"/>
    <hyperlink ref="D4" r:id="rId3" display="javascript:;" xr:uid="{795E6AA7-678D-4CA9-9C7B-EC099E005966}"/>
    <hyperlink ref="D5" r:id="rId4" display="javascript:;" xr:uid="{3A09C56A-43C4-4F35-9934-1BADF2639214}"/>
    <hyperlink ref="D6" r:id="rId5" display="javascript:;" xr:uid="{911A33BC-205F-49A7-AE3F-B687BE1CD0AE}"/>
    <hyperlink ref="D7" r:id="rId6" display="javascript:;" xr:uid="{D50045FA-7D5B-4344-8D44-0343F3672F86}"/>
    <hyperlink ref="D8" r:id="rId7" display="javascript:;" xr:uid="{404DDEEE-452A-476C-B818-51C875683409}"/>
    <hyperlink ref="D9" r:id="rId8" display="javascript:;" xr:uid="{8984B76E-A8C4-4F3A-8212-99BCAF5BA1AF}"/>
    <hyperlink ref="D10" r:id="rId9" display="javascript:;" xr:uid="{22EF8834-1E2A-4875-96C4-A8A1820E607F}"/>
    <hyperlink ref="D11" r:id="rId10" display="javascript:;" xr:uid="{CCE1E1C1-1668-4FCC-A7FF-11E1F42BEF58}"/>
    <hyperlink ref="D12" r:id="rId11" display="javascript:;" xr:uid="{DB48B01B-D225-4846-8726-BC606780FB41}"/>
    <hyperlink ref="D13" r:id="rId12" display="javascript:;" xr:uid="{04D19335-DE88-4079-9766-4D42C887705D}"/>
    <hyperlink ref="D14" r:id="rId13" display="javascript:;" xr:uid="{FC612F9A-2088-4AF8-9138-44EEE404E504}"/>
    <hyperlink ref="D15" r:id="rId14" display="javascript:;" xr:uid="{B1AB8BCA-E2F6-4B25-AD67-C71BCDB4BD82}"/>
    <hyperlink ref="D16" r:id="rId15" display="javascript:;" xr:uid="{7C7FBA96-EA24-4972-A2AC-E59BCEDC413B}"/>
    <hyperlink ref="D17" r:id="rId16" display="javascript:;" xr:uid="{EF0203F6-5F9E-46B0-8227-5DC11DD95F7A}"/>
    <hyperlink ref="D18" r:id="rId17" display="javascript:;" xr:uid="{53B6231E-EFCE-45DF-9D13-749F95FE9715}"/>
    <hyperlink ref="D19" r:id="rId18" display="javascript:;" xr:uid="{23BE33D5-DC7D-41D2-B24B-7C99FE6EBD50}"/>
  </hyperlinks>
  <pageMargins left="0.7" right="0.7" top="0.75" bottom="0.75" header="0.3" footer="0.3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E2D8-421D-4EF8-9ACD-A2F7E5CFEED7}">
  <sheetPr>
    <tabColor theme="7" tint="0.59999389629810485"/>
  </sheetPr>
  <dimension ref="A1:S19"/>
  <sheetViews>
    <sheetView workbookViewId="0">
      <selection activeCell="V9" sqref="V9"/>
    </sheetView>
  </sheetViews>
  <sheetFormatPr defaultRowHeight="12.5"/>
  <cols>
    <col min="1" max="2" width="10.08984375" bestFit="1" customWidth="1"/>
    <col min="3" max="3" width="4.453125" bestFit="1" customWidth="1"/>
    <col min="4" max="4" width="8.90625" bestFit="1" customWidth="1"/>
    <col min="5" max="5" width="7.81640625" bestFit="1" customWidth="1"/>
    <col min="6" max="6" width="10.9062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6" bestFit="1" customWidth="1"/>
    <col min="11" max="11" width="4.90625" bestFit="1" customWidth="1"/>
    <col min="12" max="12" width="11.81640625" bestFit="1" customWidth="1"/>
    <col min="13" max="13" width="3.81640625" bestFit="1" customWidth="1"/>
    <col min="14" max="14" width="14.1796875" bestFit="1" customWidth="1"/>
    <col min="15" max="15" width="11.81640625" bestFit="1" customWidth="1"/>
    <col min="16" max="16" width="12.453125" bestFit="1" customWidth="1"/>
    <col min="17" max="17" width="10.81640625" bestFit="1" customWidth="1"/>
    <col min="18" max="19" width="12.453125" bestFit="1" customWidth="1"/>
  </cols>
  <sheetData>
    <row r="1" spans="1:19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5" t="s">
        <v>28</v>
      </c>
      <c r="K1" s="25" t="s">
        <v>29</v>
      </c>
      <c r="L1" s="25" t="s">
        <v>30</v>
      </c>
      <c r="M1" s="25" t="s">
        <v>31</v>
      </c>
      <c r="N1" s="25" t="s">
        <v>32</v>
      </c>
      <c r="O1" s="25" t="s">
        <v>33</v>
      </c>
      <c r="P1" s="25" t="s">
        <v>34</v>
      </c>
      <c r="Q1" s="25" t="s">
        <v>35</v>
      </c>
      <c r="R1" s="25" t="s">
        <v>36</v>
      </c>
      <c r="S1" s="25" t="s">
        <v>37</v>
      </c>
    </row>
    <row r="2" spans="1:19">
      <c r="A2" s="20">
        <v>45807</v>
      </c>
      <c r="B2" s="20">
        <v>45986</v>
      </c>
      <c r="C2" s="19">
        <v>180</v>
      </c>
      <c r="D2" s="22">
        <v>20000</v>
      </c>
      <c r="E2" s="19">
        <v>24833.599999999999</v>
      </c>
      <c r="F2" s="18" t="s">
        <v>1</v>
      </c>
      <c r="G2" s="19">
        <v>10</v>
      </c>
      <c r="H2" s="19">
        <v>5498.7</v>
      </c>
      <c r="I2" s="19">
        <v>1302</v>
      </c>
      <c r="J2" s="19">
        <v>0.2</v>
      </c>
      <c r="K2" s="19">
        <v>0.5</v>
      </c>
      <c r="L2" s="19">
        <f ca="1">RAND()</f>
        <v>0.69233578348606584</v>
      </c>
      <c r="M2" s="19">
        <v>0.2</v>
      </c>
      <c r="N2" s="26">
        <f ca="1">($J$2 / Q2) * (R2 / S2) * (1 + (
((1 - $K$2)^2 * $J$2^2) / (24 * (E2 * D2)^(1 - $K$2)) +
($L$2 * $K$2 * $M$2 * $J$2) / (4 * (E2 * D2)^((1 - $K$2)/2)) +
((2 - 3 * $L$2^2) * $M$2^2) / 24
) * (C2 / 365))</f>
        <v>2.6341987254046347E-3</v>
      </c>
      <c r="O2" s="26">
        <f ca="1">G2-N2</f>
        <v>9.9973658012745954</v>
      </c>
      <c r="P2" s="19">
        <f>LN(E2/D2)</f>
        <v>0.21646530136079198</v>
      </c>
      <c r="Q2" s="19">
        <f>(B2*A2)^((1-$K$2/2))</f>
        <v>9832594.1500017028</v>
      </c>
      <c r="R2" s="19">
        <f>($M$2/$J$2) * Q2*P2</f>
        <v>2128415.4558384786</v>
      </c>
      <c r="S2" s="19">
        <f ca="1">LN((SQRT(1-2*$L$2*R2+R2^2) + R2-$L$2)/(1-$L$2))</f>
        <v>16.442781495511781</v>
      </c>
    </row>
    <row r="3" spans="1:19">
      <c r="A3" s="20">
        <v>45807</v>
      </c>
      <c r="B3" s="20">
        <v>45986</v>
      </c>
      <c r="C3" s="19">
        <v>180</v>
      </c>
      <c r="D3" s="22">
        <v>21000</v>
      </c>
      <c r="E3" s="19">
        <v>24833.599999999999</v>
      </c>
      <c r="F3" s="18" t="s">
        <v>1</v>
      </c>
      <c r="G3" s="19">
        <v>12</v>
      </c>
      <c r="H3" s="19">
        <v>4621.25</v>
      </c>
      <c r="I3" s="19">
        <v>1483</v>
      </c>
      <c r="J3" s="19">
        <v>0.2</v>
      </c>
      <c r="K3" s="19">
        <v>0.5</v>
      </c>
      <c r="L3" s="19">
        <f t="shared" ref="L3:L19" ca="1" si="0">RAND()</f>
        <v>0.64331244226290318</v>
      </c>
      <c r="M3" s="19">
        <v>0.2</v>
      </c>
      <c r="N3" s="26">
        <f t="shared" ref="N3:N19" ca="1" si="1">($J$2 / Q3) * (R3 / S3) * (1 + (
((1 - $K$2)^2 * $J$2^2) / (24 * (E3 * D3)^(1 - $K$2)) +
($L$2 * $K$2 * $M$2 * $J$2) / (4 * (E3 * D3)^((1 - $K$2)/2)) +
((2 - 3 * $L$2^2) * $M$2^2) / 24
) * (C3 / 365))</f>
        <v>2.0726577329017739E-3</v>
      </c>
      <c r="O3" s="19">
        <f t="shared" ref="O3:O19" ca="1" si="2">G3-N3</f>
        <v>11.997927342267099</v>
      </c>
      <c r="P3" s="19">
        <f t="shared" ref="P3:P19" si="3">LN(E3/D3)</f>
        <v>0.16767513719135993</v>
      </c>
      <c r="Q3" s="19">
        <f t="shared" ref="Q3:Q19" si="4">(B3*A3)^((1-$K$2/2))</f>
        <v>9832594.1500017028</v>
      </c>
      <c r="R3" s="19">
        <f t="shared" ref="R3:R19" si="5">($M$2/$J$2) * Q3*P3</f>
        <v>1648681.5730484987</v>
      </c>
      <c r="S3" s="19">
        <f t="shared" ref="S3:S19" ca="1" si="6">LN((SQRT(1-2*$L$2*R3+R3^2) + R3-$L$2)/(1-$L$2))</f>
        <v>16.187379537297605</v>
      </c>
    </row>
    <row r="4" spans="1:19">
      <c r="A4" s="20">
        <v>45807</v>
      </c>
      <c r="B4" s="20">
        <v>45986</v>
      </c>
      <c r="C4" s="19">
        <v>180</v>
      </c>
      <c r="D4" s="22">
        <v>22000</v>
      </c>
      <c r="E4" s="19">
        <v>24833.599999999999</v>
      </c>
      <c r="F4" s="18" t="s">
        <v>1</v>
      </c>
      <c r="G4" s="19">
        <v>9.4</v>
      </c>
      <c r="H4" s="19">
        <v>3744.375</v>
      </c>
      <c r="I4" s="19">
        <v>3829</v>
      </c>
      <c r="J4" s="19">
        <v>0.2</v>
      </c>
      <c r="K4" s="19">
        <v>0.5</v>
      </c>
      <c r="L4" s="19">
        <f t="shared" ca="1" si="0"/>
        <v>7.6853919694179207E-2</v>
      </c>
      <c r="M4" s="19">
        <v>0.2</v>
      </c>
      <c r="N4" s="26">
        <f t="shared" ca="1" si="1"/>
        <v>1.528296689835175E-3</v>
      </c>
      <c r="O4" s="19">
        <f t="shared" ca="1" si="2"/>
        <v>9.3984717033101646</v>
      </c>
      <c r="P4" s="19">
        <f t="shared" si="3"/>
        <v>0.12115512155646722</v>
      </c>
      <c r="Q4" s="19">
        <f t="shared" si="4"/>
        <v>9832594.1500017028</v>
      </c>
      <c r="R4" s="19">
        <f t="shared" si="5"/>
        <v>1191269.1394588649</v>
      </c>
      <c r="S4" s="19">
        <f t="shared" ca="1" si="6"/>
        <v>15.862422696747611</v>
      </c>
    </row>
    <row r="5" spans="1:19">
      <c r="A5" s="20">
        <v>45807</v>
      </c>
      <c r="B5" s="20">
        <v>45986</v>
      </c>
      <c r="C5" s="19">
        <v>180</v>
      </c>
      <c r="D5" s="22">
        <v>23000</v>
      </c>
      <c r="E5" s="19">
        <v>24833.599999999999</v>
      </c>
      <c r="F5" s="18" t="s">
        <v>1</v>
      </c>
      <c r="G5" s="19">
        <v>9.4700000000000006</v>
      </c>
      <c r="H5" s="19">
        <v>2919.4749999999999</v>
      </c>
      <c r="I5" s="19">
        <v>5544</v>
      </c>
      <c r="J5" s="19">
        <v>0.2</v>
      </c>
      <c r="K5" s="19">
        <v>0.5</v>
      </c>
      <c r="L5" s="19">
        <f t="shared" ca="1" si="0"/>
        <v>0.88294763724989156</v>
      </c>
      <c r="M5" s="19">
        <v>0.2</v>
      </c>
      <c r="N5" s="26">
        <f t="shared" ca="1" si="1"/>
        <v>9.962760527919281E-4</v>
      </c>
      <c r="O5" s="19">
        <f t="shared" ca="1" si="2"/>
        <v>9.4690037239472087</v>
      </c>
      <c r="P5" s="19">
        <f t="shared" si="3"/>
        <v>7.6703358985633366E-2</v>
      </c>
      <c r="Q5" s="19">
        <f t="shared" si="4"/>
        <v>9832594.1500017028</v>
      </c>
      <c r="R5" s="19">
        <f t="shared" si="5"/>
        <v>754192.99884761916</v>
      </c>
      <c r="S5" s="19">
        <f t="shared" ca="1" si="6"/>
        <v>15.405296140294256</v>
      </c>
    </row>
    <row r="6" spans="1:19">
      <c r="A6" s="20">
        <v>45807</v>
      </c>
      <c r="B6" s="20">
        <v>45986</v>
      </c>
      <c r="C6" s="19">
        <v>180</v>
      </c>
      <c r="D6" s="22">
        <v>24000</v>
      </c>
      <c r="E6" s="19">
        <v>24833.599999999999</v>
      </c>
      <c r="F6" s="18" t="s">
        <v>1</v>
      </c>
      <c r="G6" s="19">
        <v>10.29</v>
      </c>
      <c r="H6" s="19">
        <v>2156.9499999999998</v>
      </c>
      <c r="I6" s="19">
        <v>11663</v>
      </c>
      <c r="J6" s="19">
        <v>0.2</v>
      </c>
      <c r="K6" s="19">
        <v>0.5</v>
      </c>
      <c r="L6" s="19">
        <f t="shared" ca="1" si="0"/>
        <v>0.41434510032714367</v>
      </c>
      <c r="M6" s="19">
        <v>0.2</v>
      </c>
      <c r="N6" s="26">
        <f t="shared" ca="1" si="1"/>
        <v>4.6807421637429762E-4</v>
      </c>
      <c r="O6" s="19">
        <f t="shared" ca="1" si="2"/>
        <v>10.289531925783624</v>
      </c>
      <c r="P6" s="19">
        <f t="shared" si="3"/>
        <v>3.4143744566837379E-2</v>
      </c>
      <c r="Q6" s="19">
        <f t="shared" si="4"/>
        <v>9832594.1500017028</v>
      </c>
      <c r="R6" s="19">
        <f t="shared" si="5"/>
        <v>335721.58308703767</v>
      </c>
      <c r="S6" s="19">
        <f t="shared" ca="1" si="6"/>
        <v>14.595928888849913</v>
      </c>
    </row>
    <row r="7" spans="1:19">
      <c r="A7" s="20">
        <v>45807</v>
      </c>
      <c r="B7" s="20">
        <v>45986</v>
      </c>
      <c r="C7" s="19">
        <v>180</v>
      </c>
      <c r="D7" s="22">
        <v>25000</v>
      </c>
      <c r="E7" s="19">
        <v>24833.599999999999</v>
      </c>
      <c r="F7" s="18" t="s">
        <v>1</v>
      </c>
      <c r="G7" s="19">
        <v>10.53</v>
      </c>
      <c r="H7" s="19">
        <v>1460.9</v>
      </c>
      <c r="I7" s="19">
        <v>10208</v>
      </c>
      <c r="J7" s="19">
        <v>0.2</v>
      </c>
      <c r="K7" s="19">
        <v>0.5</v>
      </c>
      <c r="L7" s="19">
        <f t="shared" ca="1" si="0"/>
        <v>0.83471818295309896</v>
      </c>
      <c r="M7" s="19">
        <v>0.2</v>
      </c>
      <c r="N7" s="26">
        <f t="shared" ca="1" si="1"/>
        <v>1.1868183467030216E-4</v>
      </c>
      <c r="O7" s="19">
        <f t="shared" ca="1" si="2"/>
        <v>10.529881318165328</v>
      </c>
      <c r="P7" s="19">
        <f t="shared" si="3"/>
        <v>-6.6782499534178072E-3</v>
      </c>
      <c r="Q7" s="19">
        <f t="shared" si="4"/>
        <v>9832594.1500017028</v>
      </c>
      <c r="R7" s="19">
        <f t="shared" si="5"/>
        <v>-65664.52142422508</v>
      </c>
      <c r="S7" s="19">
        <f t="shared" ca="1" si="6"/>
        <v>-11.259359325056664</v>
      </c>
    </row>
    <row r="8" spans="1:19">
      <c r="A8" s="20">
        <v>45807</v>
      </c>
      <c r="B8" s="20">
        <v>45986</v>
      </c>
      <c r="C8" s="19">
        <v>180</v>
      </c>
      <c r="D8" s="22">
        <v>26000</v>
      </c>
      <c r="E8" s="19">
        <v>24833.599999999999</v>
      </c>
      <c r="F8" s="18" t="s">
        <v>1</v>
      </c>
      <c r="G8" s="19">
        <v>10.81</v>
      </c>
      <c r="H8" s="19">
        <v>907.5</v>
      </c>
      <c r="I8" s="19">
        <v>19174</v>
      </c>
      <c r="J8" s="19">
        <v>0.2</v>
      </c>
      <c r="K8" s="19">
        <v>0.5</v>
      </c>
      <c r="L8" s="19">
        <f t="shared" ca="1" si="0"/>
        <v>0.34171717871800311</v>
      </c>
      <c r="M8" s="19">
        <v>0.2</v>
      </c>
      <c r="N8" s="26">
        <f t="shared" ca="1" si="1"/>
        <v>6.9645727688344157E-4</v>
      </c>
      <c r="O8" s="19">
        <f t="shared" ca="1" si="2"/>
        <v>10.809303542723118</v>
      </c>
      <c r="P8" s="19">
        <f t="shared" si="3"/>
        <v>-4.5898963106699046E-2</v>
      </c>
      <c r="Q8" s="19">
        <f t="shared" si="4"/>
        <v>9832594.1500017028</v>
      </c>
      <c r="R8" s="19">
        <f t="shared" si="5"/>
        <v>-451305.87613407301</v>
      </c>
      <c r="S8" s="19">
        <f t="shared" ca="1" si="6"/>
        <v>-13.186927212183036</v>
      </c>
    </row>
    <row r="9" spans="1:19">
      <c r="A9" s="20">
        <v>45807</v>
      </c>
      <c r="B9" s="20">
        <v>45986</v>
      </c>
      <c r="C9" s="19">
        <v>180</v>
      </c>
      <c r="D9" s="22">
        <v>27000</v>
      </c>
      <c r="E9" s="19">
        <v>24833.599999999999</v>
      </c>
      <c r="F9" s="18" t="s">
        <v>1</v>
      </c>
      <c r="G9" s="19">
        <v>11.14</v>
      </c>
      <c r="H9" s="19">
        <v>506.75</v>
      </c>
      <c r="I9" s="19">
        <v>16832</v>
      </c>
      <c r="J9" s="19">
        <v>0.2</v>
      </c>
      <c r="K9" s="19">
        <v>0.5</v>
      </c>
      <c r="L9" s="19">
        <f t="shared" ca="1" si="0"/>
        <v>0.26174619420163736</v>
      </c>
      <c r="M9" s="19">
        <v>0.2</v>
      </c>
      <c r="N9" s="26">
        <f t="shared" ca="1" si="1"/>
        <v>1.2138768947977082E-3</v>
      </c>
      <c r="O9" s="19">
        <f t="shared" ca="1" si="2"/>
        <v>11.138786123105202</v>
      </c>
      <c r="P9" s="19">
        <f t="shared" si="3"/>
        <v>-8.3639291089546097E-2</v>
      </c>
      <c r="Q9" s="19">
        <f t="shared" si="4"/>
        <v>9832594.1500017028</v>
      </c>
      <c r="R9" s="19">
        <f t="shared" si="5"/>
        <v>-822391.20427736046</v>
      </c>
      <c r="S9" s="19">
        <f t="shared" ca="1" si="6"/>
        <v>-13.787034719625076</v>
      </c>
    </row>
    <row r="10" spans="1:19">
      <c r="A10" s="20">
        <v>45807</v>
      </c>
      <c r="B10" s="20">
        <v>45986</v>
      </c>
      <c r="C10" s="19">
        <v>180</v>
      </c>
      <c r="D10" s="22">
        <v>28000</v>
      </c>
      <c r="E10" s="19">
        <v>24833.599999999999</v>
      </c>
      <c r="F10" s="18" t="s">
        <v>2</v>
      </c>
      <c r="G10" s="19">
        <v>11.73</v>
      </c>
      <c r="H10" s="19">
        <v>265.45000000000005</v>
      </c>
      <c r="I10" s="19">
        <v>10114</v>
      </c>
      <c r="J10" s="19">
        <v>0.2</v>
      </c>
      <c r="K10" s="19">
        <v>0.5</v>
      </c>
      <c r="L10" s="19">
        <f t="shared" ca="1" si="0"/>
        <v>0.41601408223743375</v>
      </c>
      <c r="M10" s="19">
        <v>0.2</v>
      </c>
      <c r="N10" s="26">
        <f t="shared" ca="1" si="1"/>
        <v>1.6971823973893742E-3</v>
      </c>
      <c r="O10" s="19">
        <f t="shared" ca="1" si="2"/>
        <v>11.728302817602611</v>
      </c>
      <c r="P10" s="19">
        <f t="shared" si="3"/>
        <v>-0.12000693526042094</v>
      </c>
      <c r="Q10" s="19">
        <f t="shared" si="4"/>
        <v>9832594.1500017028</v>
      </c>
      <c r="R10" s="19">
        <f t="shared" si="5"/>
        <v>-1179979.4896012479</v>
      </c>
      <c r="S10" s="19">
        <f t="shared" ca="1" si="6"/>
        <v>-14.148583282037597</v>
      </c>
    </row>
    <row r="11" spans="1:19">
      <c r="A11" s="20">
        <v>45807</v>
      </c>
      <c r="B11" s="20">
        <v>45986</v>
      </c>
      <c r="C11" s="19">
        <v>180</v>
      </c>
      <c r="D11" s="22">
        <v>29000</v>
      </c>
      <c r="E11" s="19">
        <v>24833.599999999999</v>
      </c>
      <c r="F11" s="18" t="s">
        <v>2</v>
      </c>
      <c r="G11" s="19">
        <v>12.59</v>
      </c>
      <c r="H11" s="19">
        <v>133.77500000000001</v>
      </c>
      <c r="I11" s="19">
        <v>3935</v>
      </c>
      <c r="J11" s="19">
        <v>0.2</v>
      </c>
      <c r="K11" s="19">
        <v>0.5</v>
      </c>
      <c r="L11" s="19">
        <f t="shared" ca="1" si="0"/>
        <v>0.56073658344034072</v>
      </c>
      <c r="M11" s="19">
        <v>0.2</v>
      </c>
      <c r="N11" s="26">
        <f t="shared" ca="1" si="1"/>
        <v>2.1544548224136143E-3</v>
      </c>
      <c r="O11" s="19">
        <f t="shared" ca="1" si="2"/>
        <v>12.587845545177586</v>
      </c>
      <c r="P11" s="19">
        <f t="shared" si="3"/>
        <v>-0.155098255071691</v>
      </c>
      <c r="Q11" s="19">
        <f t="shared" si="4"/>
        <v>9832594.1500017028</v>
      </c>
      <c r="R11" s="19">
        <f t="shared" si="5"/>
        <v>-1525018.195493381</v>
      </c>
      <c r="S11" s="19">
        <f t="shared" ca="1" si="6"/>
        <v>-14.404712995651145</v>
      </c>
    </row>
    <row r="12" spans="1:19">
      <c r="A12" s="20">
        <v>45807</v>
      </c>
      <c r="B12" s="20">
        <v>45986</v>
      </c>
      <c r="C12" s="19">
        <v>180</v>
      </c>
      <c r="D12" s="22">
        <v>20000</v>
      </c>
      <c r="E12" s="19">
        <v>24833.599999999999</v>
      </c>
      <c r="F12" s="18" t="s">
        <v>2</v>
      </c>
      <c r="G12" s="19">
        <v>21.78</v>
      </c>
      <c r="H12" s="19">
        <v>71.400000000000006</v>
      </c>
      <c r="I12" s="19">
        <v>9085</v>
      </c>
      <c r="J12" s="19">
        <v>0.2</v>
      </c>
      <c r="K12" s="19">
        <v>0.5</v>
      </c>
      <c r="L12" s="19">
        <f t="shared" ca="1" si="0"/>
        <v>0.61926171289931975</v>
      </c>
      <c r="M12" s="19">
        <v>0.2</v>
      </c>
      <c r="N12" s="26">
        <f t="shared" ca="1" si="1"/>
        <v>2.6341987254046347E-3</v>
      </c>
      <c r="O12" s="19">
        <f t="shared" ca="1" si="2"/>
        <v>21.777365801274595</v>
      </c>
      <c r="P12" s="19">
        <f t="shared" si="3"/>
        <v>0.21646530136079198</v>
      </c>
      <c r="Q12" s="19">
        <f t="shared" si="4"/>
        <v>9832594.1500017028</v>
      </c>
      <c r="R12" s="19">
        <f t="shared" si="5"/>
        <v>2128415.4558384786</v>
      </c>
      <c r="S12" s="19">
        <f t="shared" ca="1" si="6"/>
        <v>16.442781495511781</v>
      </c>
    </row>
    <row r="13" spans="1:19">
      <c r="A13" s="20">
        <v>45807</v>
      </c>
      <c r="B13" s="20">
        <v>45986</v>
      </c>
      <c r="C13" s="19">
        <v>180</v>
      </c>
      <c r="D13" s="22">
        <v>21000</v>
      </c>
      <c r="E13" s="19">
        <v>24833.599999999999</v>
      </c>
      <c r="F13" s="18" t="s">
        <v>2</v>
      </c>
      <c r="G13" s="19">
        <v>20.420000000000002</v>
      </c>
      <c r="H13" s="19">
        <v>112.75</v>
      </c>
      <c r="I13" s="19">
        <v>8155</v>
      </c>
      <c r="J13" s="19">
        <v>0.2</v>
      </c>
      <c r="K13" s="19">
        <v>0.5</v>
      </c>
      <c r="L13" s="19">
        <f t="shared" ca="1" si="0"/>
        <v>0.83167225260302025</v>
      </c>
      <c r="M13" s="19">
        <v>0.2</v>
      </c>
      <c r="N13" s="26">
        <f t="shared" ca="1" si="1"/>
        <v>2.0726577329017739E-3</v>
      </c>
      <c r="O13" s="19">
        <f t="shared" ca="1" si="2"/>
        <v>20.417927342267099</v>
      </c>
      <c r="P13" s="19">
        <f t="shared" si="3"/>
        <v>0.16767513719135993</v>
      </c>
      <c r="Q13" s="19">
        <f t="shared" si="4"/>
        <v>9832594.1500017028</v>
      </c>
      <c r="R13" s="19">
        <f t="shared" si="5"/>
        <v>1648681.5730484987</v>
      </c>
      <c r="S13" s="19">
        <f t="shared" ca="1" si="6"/>
        <v>16.187379537297605</v>
      </c>
    </row>
    <row r="14" spans="1:19">
      <c r="A14" s="20">
        <v>45807</v>
      </c>
      <c r="B14" s="20">
        <v>45986</v>
      </c>
      <c r="C14" s="19">
        <v>180</v>
      </c>
      <c r="D14" s="22">
        <v>22000</v>
      </c>
      <c r="E14" s="19">
        <v>24833.599999999999</v>
      </c>
      <c r="F14" s="18" t="s">
        <v>2</v>
      </c>
      <c r="G14" s="19">
        <v>19.420000000000002</v>
      </c>
      <c r="H14" s="19">
        <v>182</v>
      </c>
      <c r="I14" s="19">
        <v>15830</v>
      </c>
      <c r="J14" s="19">
        <v>0.2</v>
      </c>
      <c r="K14" s="19">
        <v>0.5</v>
      </c>
      <c r="L14" s="19">
        <f t="shared" ca="1" si="0"/>
        <v>0.88077023757871276</v>
      </c>
      <c r="M14" s="19">
        <v>0.2</v>
      </c>
      <c r="N14" s="26">
        <f t="shared" ca="1" si="1"/>
        <v>1.528296689835175E-3</v>
      </c>
      <c r="O14" s="19">
        <f t="shared" ca="1" si="2"/>
        <v>19.418471703310168</v>
      </c>
      <c r="P14" s="19">
        <f t="shared" si="3"/>
        <v>0.12115512155646722</v>
      </c>
      <c r="Q14" s="19">
        <f t="shared" si="4"/>
        <v>9832594.1500017028</v>
      </c>
      <c r="R14" s="19">
        <f t="shared" si="5"/>
        <v>1191269.1394588649</v>
      </c>
      <c r="S14" s="19">
        <f t="shared" ca="1" si="6"/>
        <v>15.862422696747611</v>
      </c>
    </row>
    <row r="15" spans="1:19">
      <c r="A15" s="20">
        <v>45807</v>
      </c>
      <c r="B15" s="20">
        <v>45986</v>
      </c>
      <c r="C15" s="19">
        <v>180</v>
      </c>
      <c r="D15" s="22">
        <v>23000</v>
      </c>
      <c r="E15" s="19">
        <v>24833.599999999999</v>
      </c>
      <c r="F15" s="18" t="s">
        <v>2</v>
      </c>
      <c r="G15" s="19">
        <v>18.36</v>
      </c>
      <c r="H15" s="19">
        <v>287.42499999999995</v>
      </c>
      <c r="I15" s="19">
        <v>19809</v>
      </c>
      <c r="J15" s="19">
        <v>0.2</v>
      </c>
      <c r="K15" s="19">
        <v>0.5</v>
      </c>
      <c r="L15" s="19">
        <f t="shared" ca="1" si="0"/>
        <v>0.44474769336016562</v>
      </c>
      <c r="M15" s="19">
        <v>0.2</v>
      </c>
      <c r="N15" s="26">
        <f t="shared" ca="1" si="1"/>
        <v>9.962760527919281E-4</v>
      </c>
      <c r="O15" s="19">
        <f t="shared" ca="1" si="2"/>
        <v>18.359003723947207</v>
      </c>
      <c r="P15" s="19">
        <f t="shared" si="3"/>
        <v>7.6703358985633366E-2</v>
      </c>
      <c r="Q15" s="19">
        <f t="shared" si="4"/>
        <v>9832594.1500017028</v>
      </c>
      <c r="R15" s="19">
        <f t="shared" si="5"/>
        <v>754192.99884761916</v>
      </c>
      <c r="S15" s="19">
        <f t="shared" ca="1" si="6"/>
        <v>15.405296140294256</v>
      </c>
    </row>
    <row r="16" spans="1:19">
      <c r="A16" s="20">
        <v>45807</v>
      </c>
      <c r="B16" s="20">
        <v>45986</v>
      </c>
      <c r="C16" s="19">
        <v>180</v>
      </c>
      <c r="D16" s="22">
        <v>24000</v>
      </c>
      <c r="E16" s="19">
        <v>24833.599999999999</v>
      </c>
      <c r="F16" s="18" t="s">
        <v>2</v>
      </c>
      <c r="G16" s="19">
        <v>17.59</v>
      </c>
      <c r="H16" s="19">
        <v>462.25</v>
      </c>
      <c r="I16" s="19">
        <v>35355</v>
      </c>
      <c r="J16" s="19">
        <v>0.2</v>
      </c>
      <c r="K16" s="19">
        <v>0.5</v>
      </c>
      <c r="L16" s="19">
        <f t="shared" ca="1" si="0"/>
        <v>0.67118881412651799</v>
      </c>
      <c r="M16" s="19">
        <v>0.2</v>
      </c>
      <c r="N16" s="26">
        <f t="shared" ca="1" si="1"/>
        <v>4.6807421637429762E-4</v>
      </c>
      <c r="O16" s="19">
        <f t="shared" ca="1" si="2"/>
        <v>17.589531925783625</v>
      </c>
      <c r="P16" s="19">
        <f t="shared" si="3"/>
        <v>3.4143744566837379E-2</v>
      </c>
      <c r="Q16" s="19">
        <f t="shared" si="4"/>
        <v>9832594.1500017028</v>
      </c>
      <c r="R16" s="19">
        <f t="shared" si="5"/>
        <v>335721.58308703767</v>
      </c>
      <c r="S16" s="19">
        <f t="shared" ca="1" si="6"/>
        <v>14.595928888849913</v>
      </c>
    </row>
    <row r="17" spans="1:19">
      <c r="A17" s="20">
        <v>45807</v>
      </c>
      <c r="B17" s="20">
        <v>45986</v>
      </c>
      <c r="C17" s="19">
        <v>180</v>
      </c>
      <c r="D17" s="22">
        <v>25000</v>
      </c>
      <c r="E17" s="19">
        <v>24833.599999999999</v>
      </c>
      <c r="F17" s="18" t="s">
        <v>2</v>
      </c>
      <c r="G17" s="19">
        <v>16.97</v>
      </c>
      <c r="H17" s="19">
        <v>722</v>
      </c>
      <c r="I17" s="19">
        <v>20407</v>
      </c>
      <c r="J17" s="19">
        <v>0.2</v>
      </c>
      <c r="K17" s="19">
        <v>0.5</v>
      </c>
      <c r="L17" s="19">
        <f t="shared" ca="1" si="0"/>
        <v>0.55930574011494749</v>
      </c>
      <c r="M17" s="19">
        <v>0.2</v>
      </c>
      <c r="N17" s="26">
        <f t="shared" ca="1" si="1"/>
        <v>1.1868183467030216E-4</v>
      </c>
      <c r="O17" s="19">
        <f t="shared" ca="1" si="2"/>
        <v>16.969881318165328</v>
      </c>
      <c r="P17" s="19">
        <f t="shared" si="3"/>
        <v>-6.6782499534178072E-3</v>
      </c>
      <c r="Q17" s="19">
        <f t="shared" si="4"/>
        <v>9832594.1500017028</v>
      </c>
      <c r="R17" s="19">
        <f t="shared" si="5"/>
        <v>-65664.52142422508</v>
      </c>
      <c r="S17" s="19">
        <f t="shared" ca="1" si="6"/>
        <v>-11.259359325056664</v>
      </c>
    </row>
    <row r="18" spans="1:19">
      <c r="A18" s="20">
        <v>45807</v>
      </c>
      <c r="B18" s="20">
        <v>45986</v>
      </c>
      <c r="C18" s="19">
        <v>180</v>
      </c>
      <c r="D18" s="22">
        <v>26000</v>
      </c>
      <c r="E18" s="19">
        <v>24833.599999999999</v>
      </c>
      <c r="F18" s="18" t="s">
        <v>2</v>
      </c>
      <c r="G18" s="19">
        <v>16.93</v>
      </c>
      <c r="H18" s="19">
        <v>1128.45</v>
      </c>
      <c r="I18" s="19">
        <v>9505</v>
      </c>
      <c r="J18" s="19">
        <v>0.2</v>
      </c>
      <c r="K18" s="19">
        <v>0.5</v>
      </c>
      <c r="L18" s="19">
        <f t="shared" ca="1" si="0"/>
        <v>0.34982941320209882</v>
      </c>
      <c r="M18" s="19">
        <v>0.2</v>
      </c>
      <c r="N18" s="26">
        <f t="shared" ca="1" si="1"/>
        <v>6.9645727688344157E-4</v>
      </c>
      <c r="O18" s="19">
        <f t="shared" ca="1" si="2"/>
        <v>16.929303542723115</v>
      </c>
      <c r="P18" s="19">
        <f t="shared" si="3"/>
        <v>-4.5898963106699046E-2</v>
      </c>
      <c r="Q18" s="19">
        <f t="shared" si="4"/>
        <v>9832594.1500017028</v>
      </c>
      <c r="R18" s="19">
        <f t="shared" si="5"/>
        <v>-451305.87613407301</v>
      </c>
      <c r="S18" s="19">
        <f t="shared" ca="1" si="6"/>
        <v>-13.186927212183036</v>
      </c>
    </row>
    <row r="19" spans="1:19">
      <c r="A19" s="20">
        <v>45807</v>
      </c>
      <c r="B19" s="20">
        <v>45986</v>
      </c>
      <c r="C19" s="19">
        <v>180</v>
      </c>
      <c r="D19" s="22">
        <v>27000</v>
      </c>
      <c r="E19" s="19">
        <v>24833.599999999999</v>
      </c>
      <c r="F19" s="18" t="s">
        <v>2</v>
      </c>
      <c r="G19" s="19">
        <v>17.149999999999999</v>
      </c>
      <c r="H19" s="19">
        <v>1670.3</v>
      </c>
      <c r="I19" s="19">
        <v>7731</v>
      </c>
      <c r="J19" s="19">
        <v>0.2</v>
      </c>
      <c r="K19" s="19">
        <v>0.5</v>
      </c>
      <c r="L19" s="19">
        <f t="shared" ca="1" si="0"/>
        <v>5.0077297320852643E-2</v>
      </c>
      <c r="M19" s="19">
        <v>0.2</v>
      </c>
      <c r="N19" s="26">
        <f t="shared" ca="1" si="1"/>
        <v>1.2138768947977082E-3</v>
      </c>
      <c r="O19" s="19">
        <f t="shared" ca="1" si="2"/>
        <v>17.1487861231052</v>
      </c>
      <c r="P19" s="19">
        <f t="shared" si="3"/>
        <v>-8.3639291089546097E-2</v>
      </c>
      <c r="Q19" s="19">
        <f t="shared" si="4"/>
        <v>9832594.1500017028</v>
      </c>
      <c r="R19" s="19">
        <f t="shared" si="5"/>
        <v>-822391.20427736046</v>
      </c>
      <c r="S19" s="19">
        <f t="shared" ca="1" si="6"/>
        <v>-13.787034719625076</v>
      </c>
    </row>
  </sheetData>
  <hyperlinks>
    <hyperlink ref="D2" r:id="rId1" display="javascript:;" xr:uid="{5C93A6D5-0A8E-42EA-A553-CD632363C1B6}"/>
    <hyperlink ref="D3" r:id="rId2" display="javascript:;" xr:uid="{7E1BB434-D8E0-4516-BB15-EFBDAB4C3B41}"/>
    <hyperlink ref="D4" r:id="rId3" display="javascript:;" xr:uid="{F29A5B99-1E0C-4A4B-B630-B34AC9D879FA}"/>
    <hyperlink ref="D5" r:id="rId4" display="javascript:;" xr:uid="{B710AE60-2DE1-41D2-9340-F5A2CA9D9240}"/>
    <hyperlink ref="D6" r:id="rId5" display="javascript:;" xr:uid="{EE406511-8514-45B9-9CDC-09642B3A4D96}"/>
    <hyperlink ref="D7" r:id="rId6" display="javascript:;" xr:uid="{6E2CEBDB-D51E-452F-805C-063932C3A3AB}"/>
    <hyperlink ref="D8" r:id="rId7" display="javascript:;" xr:uid="{5901979A-FE42-4154-A869-4EC3DB90DF09}"/>
    <hyperlink ref="D9" r:id="rId8" display="javascript:;" xr:uid="{473A764F-50D6-4BAE-BFC6-1E0A0A9D2239}"/>
    <hyperlink ref="D10" r:id="rId9" display="javascript:;" xr:uid="{BBE2904C-1801-4FC6-813A-450FAABDEC69}"/>
    <hyperlink ref="D11" r:id="rId10" display="javascript:;" xr:uid="{67A35E8D-3C21-4EF7-840A-B6CBE8E3ACF5}"/>
    <hyperlink ref="D12" r:id="rId11" display="javascript:;" xr:uid="{42D60A45-D8A5-467F-A0B1-C0D2C57ED280}"/>
    <hyperlink ref="D13" r:id="rId12" display="javascript:;" xr:uid="{B486A67B-069C-4906-BD53-1B45F3C2854F}"/>
    <hyperlink ref="D14" r:id="rId13" display="javascript:;" xr:uid="{01ABB684-CD93-4E66-96E1-3717DF4F95F9}"/>
    <hyperlink ref="D15" r:id="rId14" display="javascript:;" xr:uid="{CAC641F1-8B14-4EC1-ADF5-A9FEF9269E10}"/>
    <hyperlink ref="D16" r:id="rId15" display="javascript:;" xr:uid="{BC09C19A-045F-4AC2-9E59-AF734A9E8929}"/>
    <hyperlink ref="D17" r:id="rId16" display="javascript:;" xr:uid="{49105788-9027-4461-A4DD-6AD734A1C8B3}"/>
    <hyperlink ref="D18" r:id="rId17" display="javascript:;" xr:uid="{0BA71986-35CB-41BA-BF7D-7A69517EBACD}"/>
    <hyperlink ref="D19" r:id="rId18" display="javascript:;" xr:uid="{29B2A778-08F0-4FBC-A22C-8CC99C65B927}"/>
  </hyperlinks>
  <pageMargins left="0.7" right="0.7" top="0.75" bottom="0.75" header="0.3" footer="0.3"/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D3AA-D78C-476F-B69D-9909D0138826}">
  <sheetPr>
    <tabColor theme="6" tint="0.59999389629810485"/>
  </sheetPr>
  <dimension ref="A2:H130"/>
  <sheetViews>
    <sheetView workbookViewId="0">
      <selection activeCell="R3" sqref="R3"/>
    </sheetView>
  </sheetViews>
  <sheetFormatPr defaultRowHeight="12.5"/>
  <cols>
    <col min="1" max="1" width="16.90625" customWidth="1"/>
    <col min="2" max="2" width="39" customWidth="1"/>
  </cols>
  <sheetData>
    <row r="2" spans="1:8" ht="13">
      <c r="A2" s="63" t="s">
        <v>78</v>
      </c>
      <c r="B2" s="63"/>
      <c r="C2" s="63"/>
      <c r="D2" s="63"/>
      <c r="E2" s="63"/>
      <c r="F2" s="63"/>
      <c r="G2" s="63"/>
      <c r="H2" s="63"/>
    </row>
    <row r="4" spans="1:8" ht="13">
      <c r="A4" t="s">
        <v>79</v>
      </c>
    </row>
    <row r="6" spans="1:8">
      <c r="A6" t="s">
        <v>80</v>
      </c>
    </row>
    <row r="8" spans="1:8">
      <c r="A8" t="s">
        <v>81</v>
      </c>
    </row>
    <row r="10" spans="1:8">
      <c r="A10" t="s">
        <v>82</v>
      </c>
    </row>
    <row r="12" spans="1:8">
      <c r="A12" t="s">
        <v>83</v>
      </c>
    </row>
    <row r="14" spans="1:8">
      <c r="A14" t="s">
        <v>84</v>
      </c>
    </row>
    <row r="16" spans="1:8">
      <c r="A16" t="s">
        <v>85</v>
      </c>
    </row>
    <row r="20" spans="1:8" ht="13">
      <c r="A20" s="63" t="s">
        <v>100</v>
      </c>
      <c r="B20" s="63"/>
      <c r="C20" s="63"/>
      <c r="D20" s="63"/>
      <c r="E20" s="63"/>
      <c r="F20" s="63"/>
      <c r="G20" s="63"/>
      <c r="H20" s="63"/>
    </row>
    <row r="22" spans="1:8" ht="13">
      <c r="A22" s="30" t="s">
        <v>66</v>
      </c>
      <c r="B22" s="30" t="s">
        <v>86</v>
      </c>
    </row>
    <row r="23" spans="1:8">
      <c r="A23" s="33" t="s">
        <v>87</v>
      </c>
      <c r="B23" s="32" t="s">
        <v>88</v>
      </c>
    </row>
    <row r="24" spans="1:8">
      <c r="A24" s="33" t="s">
        <v>89</v>
      </c>
      <c r="B24" s="32" t="s">
        <v>60</v>
      </c>
    </row>
    <row r="25" spans="1:8">
      <c r="A25" s="33" t="s">
        <v>90</v>
      </c>
      <c r="B25" s="32" t="s">
        <v>91</v>
      </c>
    </row>
    <row r="26" spans="1:8">
      <c r="A26" s="33" t="s">
        <v>92</v>
      </c>
      <c r="B26" s="32" t="s">
        <v>93</v>
      </c>
    </row>
    <row r="27" spans="1:8">
      <c r="A27" s="33" t="s">
        <v>94</v>
      </c>
      <c r="B27" s="32" t="s">
        <v>95</v>
      </c>
    </row>
    <row r="28" spans="1:8">
      <c r="A28" s="33" t="s">
        <v>96</v>
      </c>
      <c r="B28" s="32" t="s">
        <v>97</v>
      </c>
    </row>
    <row r="29" spans="1:8" ht="13">
      <c r="A29" s="33" t="s">
        <v>98</v>
      </c>
      <c r="B29" s="32" t="s">
        <v>99</v>
      </c>
    </row>
    <row r="32" spans="1:8" ht="13">
      <c r="A32" s="63" t="s">
        <v>101</v>
      </c>
      <c r="B32" s="63"/>
      <c r="C32" s="63"/>
      <c r="D32" s="63"/>
      <c r="E32" s="63"/>
      <c r="F32" s="63"/>
      <c r="G32" s="63"/>
      <c r="H32" s="63"/>
    </row>
    <row r="54" spans="1:8" ht="13">
      <c r="A54" s="63" t="s">
        <v>102</v>
      </c>
      <c r="B54" s="63"/>
      <c r="C54" s="63"/>
      <c r="D54" s="63"/>
      <c r="E54" s="63"/>
      <c r="F54" s="63"/>
      <c r="G54" s="63"/>
      <c r="H54" s="63"/>
    </row>
    <row r="56" spans="1:8" ht="17.5">
      <c r="A56" s="39" t="s">
        <v>103</v>
      </c>
    </row>
    <row r="57" spans="1:8">
      <c r="A57" s="36"/>
    </row>
    <row r="58" spans="1:8">
      <c r="A58" s="38" t="s">
        <v>104</v>
      </c>
    </row>
    <row r="59" spans="1:8">
      <c r="A59" s="36"/>
    </row>
    <row r="60" spans="1:8">
      <c r="A60" s="38" t="s">
        <v>105</v>
      </c>
    </row>
    <row r="61" spans="1:8">
      <c r="A61" s="36"/>
    </row>
    <row r="62" spans="1:8">
      <c r="A62" s="38" t="s">
        <v>106</v>
      </c>
    </row>
    <row r="66" spans="1:1" ht="17.5">
      <c r="A66" s="39" t="s">
        <v>122</v>
      </c>
    </row>
    <row r="67" spans="1:1">
      <c r="A67" s="36"/>
    </row>
    <row r="68" spans="1:1" ht="13">
      <c r="A68" s="38" t="s">
        <v>107</v>
      </c>
    </row>
    <row r="72" spans="1:1" ht="17.5">
      <c r="A72" s="39" t="s">
        <v>123</v>
      </c>
    </row>
    <row r="73" spans="1:1">
      <c r="A73" s="36"/>
    </row>
    <row r="74" spans="1:1" ht="13">
      <c r="A74" s="38" t="s">
        <v>108</v>
      </c>
    </row>
    <row r="75" spans="1:1">
      <c r="A75" s="36"/>
    </row>
    <row r="76" spans="1:1">
      <c r="A76" s="36"/>
    </row>
    <row r="77" spans="1:1">
      <c r="A77" s="40"/>
    </row>
    <row r="78" spans="1:1">
      <c r="A78" s="41" t="s">
        <v>109</v>
      </c>
    </row>
    <row r="82" spans="1:1" ht="17.5">
      <c r="A82" s="39" t="s">
        <v>124</v>
      </c>
    </row>
    <row r="83" spans="1:1">
      <c r="A83" s="36"/>
    </row>
    <row r="84" spans="1:1" ht="13">
      <c r="A84" s="38" t="s">
        <v>110</v>
      </c>
    </row>
    <row r="88" spans="1:1" ht="17.5">
      <c r="A88" s="39" t="s">
        <v>125</v>
      </c>
    </row>
    <row r="89" spans="1:1">
      <c r="A89" s="36"/>
    </row>
    <row r="90" spans="1:1">
      <c r="A90" s="38" t="s">
        <v>111</v>
      </c>
    </row>
    <row r="91" spans="1:1">
      <c r="A91" s="36"/>
    </row>
    <row r="92" spans="1:1">
      <c r="A92" s="36"/>
    </row>
    <row r="93" spans="1:1">
      <c r="A93" s="40"/>
    </row>
    <row r="94" spans="1:1">
      <c r="A94" s="41" t="s">
        <v>112</v>
      </c>
    </row>
    <row r="95" spans="1:1">
      <c r="A95" s="40"/>
    </row>
    <row r="96" spans="1:1" ht="13">
      <c r="A96" s="42" t="s">
        <v>113</v>
      </c>
    </row>
    <row r="97" spans="1:1">
      <c r="A97" s="36"/>
    </row>
    <row r="98" spans="1:1" ht="13">
      <c r="A98" s="38" t="s">
        <v>114</v>
      </c>
    </row>
    <row r="102" spans="1:1" ht="17.5">
      <c r="A102" s="39" t="s">
        <v>126</v>
      </c>
    </row>
    <row r="103" spans="1:1">
      <c r="A103" s="36"/>
    </row>
    <row r="104" spans="1:1" ht="13">
      <c r="A104" s="38" t="s">
        <v>115</v>
      </c>
    </row>
    <row r="105" spans="1:1">
      <c r="A105" s="36"/>
    </row>
    <row r="106" spans="1:1">
      <c r="A106" s="36"/>
    </row>
    <row r="107" spans="1:1">
      <c r="A107" s="40"/>
    </row>
    <row r="108" spans="1:1" ht="13">
      <c r="A108" s="41" t="s">
        <v>116</v>
      </c>
    </row>
    <row r="109" spans="1:1">
      <c r="A109" s="40"/>
    </row>
    <row r="110" spans="1:1" ht="13">
      <c r="A110" s="41" t="s">
        <v>117</v>
      </c>
    </row>
    <row r="114" spans="1:1" ht="17.5">
      <c r="A114" s="39" t="s">
        <v>127</v>
      </c>
    </row>
    <row r="115" spans="1:1">
      <c r="A115" s="36"/>
    </row>
    <row r="116" spans="1:1" ht="13">
      <c r="A116" s="38" t="s">
        <v>118</v>
      </c>
    </row>
    <row r="120" spans="1:1" ht="17.5">
      <c r="A120" s="39" t="s">
        <v>128</v>
      </c>
    </row>
    <row r="121" spans="1:1">
      <c r="A121" s="36"/>
    </row>
    <row r="122" spans="1:1" ht="13">
      <c r="A122" s="38" t="s">
        <v>119</v>
      </c>
    </row>
    <row r="123" spans="1:1">
      <c r="A123" s="36"/>
    </row>
    <row r="124" spans="1:1" ht="13">
      <c r="A124" s="38" t="s">
        <v>120</v>
      </c>
    </row>
    <row r="128" spans="1:1" ht="17.5">
      <c r="A128" s="39" t="s">
        <v>129</v>
      </c>
    </row>
    <row r="129" spans="1:1">
      <c r="A129" s="36"/>
    </row>
    <row r="130" spans="1:1">
      <c r="A130" s="38" t="s">
        <v>121</v>
      </c>
    </row>
  </sheetData>
  <mergeCells count="4">
    <mergeCell ref="A2:H2"/>
    <mergeCell ref="A20:H20"/>
    <mergeCell ref="A32:H32"/>
    <mergeCell ref="A54:H5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76C9-04B8-4513-B455-BF3953499AF1}">
  <sheetPr>
    <tabColor theme="6" tint="0.59999389629810485"/>
  </sheetPr>
  <dimension ref="A1:O59"/>
  <sheetViews>
    <sheetView topLeftCell="A7" workbookViewId="0">
      <selection activeCell="N8" sqref="N7:N11"/>
    </sheetView>
  </sheetViews>
  <sheetFormatPr defaultRowHeight="12.5"/>
  <cols>
    <col min="1" max="1" width="15" bestFit="1" customWidth="1"/>
    <col min="2" max="2" width="10.08984375" bestFit="1" customWidth="1"/>
    <col min="3" max="3" width="4.453125" bestFit="1" customWidth="1"/>
    <col min="4" max="4" width="12" bestFit="1" customWidth="1"/>
    <col min="5" max="5" width="8.90625" bestFit="1" customWidth="1"/>
    <col min="6" max="6" width="7.81640625" bestFit="1" customWidth="1"/>
    <col min="7" max="7" width="10.90625" bestFit="1" customWidth="1"/>
    <col min="8" max="8" width="6.26953125" bestFit="1" customWidth="1"/>
    <col min="9" max="9" width="8.81640625" bestFit="1" customWidth="1"/>
    <col min="10" max="10" width="5.81640625" bestFit="1" customWidth="1"/>
    <col min="11" max="11" width="16.08984375" bestFit="1" customWidth="1"/>
    <col min="12" max="12" width="14" bestFit="1" customWidth="1"/>
    <col min="13" max="14" width="13.08984375" bestFit="1" customWidth="1"/>
    <col min="15" max="15" width="17.54296875" bestFit="1" customWidth="1"/>
  </cols>
  <sheetData>
    <row r="1" spans="1:15" ht="13">
      <c r="A1" s="25" t="s">
        <v>20</v>
      </c>
      <c r="B1" s="25" t="s">
        <v>21</v>
      </c>
      <c r="C1" s="25" t="s">
        <v>22</v>
      </c>
      <c r="D1" s="25" t="s">
        <v>131</v>
      </c>
      <c r="E1" s="25" t="s">
        <v>14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5</v>
      </c>
      <c r="K1" s="25" t="s">
        <v>130</v>
      </c>
      <c r="L1" s="25" t="s">
        <v>132</v>
      </c>
      <c r="M1" s="25" t="s">
        <v>133</v>
      </c>
      <c r="N1" s="25" t="s">
        <v>134</v>
      </c>
      <c r="O1" s="25" t="s">
        <v>135</v>
      </c>
    </row>
    <row r="2" spans="1:15">
      <c r="A2" s="20">
        <v>45807</v>
      </c>
      <c r="B2" s="21">
        <v>45838</v>
      </c>
      <c r="C2" s="19">
        <v>30</v>
      </c>
      <c r="D2" s="19">
        <f>C2/365</f>
        <v>8.2191780821917804E-2</v>
      </c>
      <c r="E2">
        <v>17000</v>
      </c>
      <c r="F2" s="19">
        <v>24833.599999999999</v>
      </c>
      <c r="G2" s="18" t="s">
        <v>1</v>
      </c>
      <c r="H2" s="46">
        <f>0.5153</f>
        <v>0.51529999999999998</v>
      </c>
      <c r="I2" s="19">
        <v>7900.8250000000007</v>
      </c>
      <c r="J2" s="19">
        <v>2655</v>
      </c>
      <c r="K2" s="45">
        <f>0.045</f>
        <v>4.4999999999999998E-2</v>
      </c>
      <c r="L2" s="19">
        <f>(LN(F2/E2) + (K2 + (O2^2)/2)*D2) / (O2*SQRT(D2))</f>
        <v>2.670181216788019</v>
      </c>
      <c r="M2" s="19">
        <f t="shared" ref="M2:M11" si="0" xml:space="preserve"> L2 - O2*SQRT(D2)</f>
        <v>2.5227964659275308</v>
      </c>
      <c r="N2" s="19">
        <f xml:space="preserve"> F2 * _xlfn.NORM.S.DIST(L2, TRUE) -E2* EXP(- K2*D2) * _xlfn.NORM.S.DIST(M2, TRUE)</f>
        <v>7900.8249722722649</v>
      </c>
      <c r="O2" s="45">
        <v>0.51408905347115297</v>
      </c>
    </row>
    <row r="3" spans="1:15">
      <c r="A3" s="20">
        <v>45807</v>
      </c>
      <c r="B3" s="21">
        <v>45838</v>
      </c>
      <c r="C3" s="19">
        <v>30</v>
      </c>
      <c r="D3" s="19">
        <f t="shared" ref="D3:D11" si="1">C3/365</f>
        <v>8.2191780821917804E-2</v>
      </c>
      <c r="E3">
        <v>18000</v>
      </c>
      <c r="F3" s="19">
        <v>24833.599999999999</v>
      </c>
      <c r="G3" s="18" t="s">
        <v>1</v>
      </c>
      <c r="H3" s="45">
        <v>0.4481</v>
      </c>
      <c r="I3" s="19">
        <v>6904.625</v>
      </c>
      <c r="J3" s="19">
        <v>1204</v>
      </c>
      <c r="K3" s="45">
        <f t="shared" ref="K3:K11" si="2">0.045</f>
        <v>4.4999999999999998E-2</v>
      </c>
      <c r="L3" s="19">
        <f t="shared" ref="L3:L11" si="3">(LN(F3/E3) + (K3 + (O3^2)/2)*D3) / (O3*SQRT(D3))</f>
        <v>2.6565526875539796</v>
      </c>
      <c r="M3" s="19">
        <f t="shared" si="0"/>
        <v>2.5310518144516645</v>
      </c>
      <c r="N3" s="19">
        <f t="shared" ref="N3:N6" si="4" xml:space="preserve"> F3 * _xlfn.NORM.S.DIST(L3, TRUE) -E3* EXP(- K3*D3) * _xlfn.NORM.S.DIST(M3, TRUE)</f>
        <v>6904.0001394618012</v>
      </c>
      <c r="O3" s="45">
        <v>0.43775644825050264</v>
      </c>
    </row>
    <row r="4" spans="1:15">
      <c r="A4" s="20">
        <v>45807</v>
      </c>
      <c r="B4" s="21">
        <v>45838</v>
      </c>
      <c r="C4" s="19">
        <v>30</v>
      </c>
      <c r="D4" s="19">
        <f t="shared" si="1"/>
        <v>8.2191780821917804E-2</v>
      </c>
      <c r="E4">
        <v>19000</v>
      </c>
      <c r="F4" s="19">
        <v>24833.599999999999</v>
      </c>
      <c r="G4" s="18" t="s">
        <v>1</v>
      </c>
      <c r="H4" s="45">
        <v>0.38829999999999998</v>
      </c>
      <c r="I4" s="19">
        <v>5915.0499999999993</v>
      </c>
      <c r="J4" s="19">
        <v>1974</v>
      </c>
      <c r="K4" s="45">
        <f t="shared" si="2"/>
        <v>4.4999999999999998E-2</v>
      </c>
      <c r="L4" s="19">
        <f t="shared" si="3"/>
        <v>2.3052110781669697</v>
      </c>
      <c r="M4" s="19">
        <f t="shared" si="0"/>
        <v>2.1842810403272437</v>
      </c>
      <c r="N4" s="19">
        <f t="shared" si="4"/>
        <v>5915.000002274759</v>
      </c>
      <c r="O4" s="45">
        <v>0.42181303239507756</v>
      </c>
    </row>
    <row r="5" spans="1:15">
      <c r="A5" s="20">
        <v>45807</v>
      </c>
      <c r="B5" s="21">
        <v>45838</v>
      </c>
      <c r="C5" s="19">
        <v>30</v>
      </c>
      <c r="D5" s="19">
        <f t="shared" si="1"/>
        <v>8.2191780821917804E-2</v>
      </c>
      <c r="E5">
        <v>20000</v>
      </c>
      <c r="F5" s="19">
        <v>24833.599999999999</v>
      </c>
      <c r="G5" s="18" t="s">
        <v>1</v>
      </c>
      <c r="H5" s="45">
        <v>0.3291</v>
      </c>
      <c r="I5" s="19">
        <v>4920.9750000000004</v>
      </c>
      <c r="J5" s="19">
        <v>5793</v>
      </c>
      <c r="K5" s="45">
        <f t="shared" si="2"/>
        <v>4.4999999999999998E-2</v>
      </c>
      <c r="L5" s="19">
        <f t="shared" si="3"/>
        <v>2.2069152558581795</v>
      </c>
      <c r="M5" s="19">
        <f t="shared" si="0"/>
        <v>2.1047914584452343</v>
      </c>
      <c r="N5" s="19">
        <f t="shared" si="4"/>
        <v>4920.0003358964532</v>
      </c>
      <c r="O5" s="45">
        <v>0.3562154567713518</v>
      </c>
    </row>
    <row r="6" spans="1:15">
      <c r="A6" s="20">
        <v>45807</v>
      </c>
      <c r="B6" s="21">
        <v>45838</v>
      </c>
      <c r="C6" s="19">
        <v>30</v>
      </c>
      <c r="D6" s="19">
        <f t="shared" si="1"/>
        <v>8.2191780821917804E-2</v>
      </c>
      <c r="E6">
        <v>20450</v>
      </c>
      <c r="F6" s="19">
        <v>24833.599999999999</v>
      </c>
      <c r="G6" s="18" t="s">
        <v>1</v>
      </c>
      <c r="H6" s="45">
        <v>0.30199999999999999</v>
      </c>
      <c r="I6" s="19">
        <v>4508.625</v>
      </c>
      <c r="J6" s="19">
        <v>7</v>
      </c>
      <c r="K6" s="45">
        <f t="shared" si="2"/>
        <v>4.4999999999999998E-2</v>
      </c>
      <c r="L6" s="19">
        <f t="shared" si="3"/>
        <v>1.7470615849346316</v>
      </c>
      <c r="M6" s="19">
        <f t="shared" si="0"/>
        <v>1.6298458627822416</v>
      </c>
      <c r="N6" s="19">
        <f t="shared" si="4"/>
        <v>4508.6249948559234</v>
      </c>
      <c r="O6" s="45">
        <v>0.40885722099093025</v>
      </c>
    </row>
    <row r="7" spans="1:15">
      <c r="A7" s="20">
        <v>45807</v>
      </c>
      <c r="B7" s="21">
        <v>45838</v>
      </c>
      <c r="C7" s="19">
        <v>30</v>
      </c>
      <c r="D7" s="19">
        <f t="shared" si="1"/>
        <v>8.2191780821917804E-2</v>
      </c>
      <c r="E7">
        <v>17000</v>
      </c>
      <c r="F7" s="19">
        <v>24833.599999999999</v>
      </c>
      <c r="G7" s="18" t="s">
        <v>2</v>
      </c>
      <c r="H7" s="45">
        <v>0.55300000000000005</v>
      </c>
      <c r="I7" s="19">
        <v>3.3</v>
      </c>
      <c r="J7" s="19">
        <v>1877</v>
      </c>
      <c r="K7" s="45">
        <f t="shared" si="2"/>
        <v>4.4999999999999998E-2</v>
      </c>
      <c r="L7" s="19">
        <f t="shared" si="3"/>
        <v>2.7519327878203286</v>
      </c>
      <c r="M7" s="19">
        <f t="shared" si="0"/>
        <v>2.6091700494006633</v>
      </c>
      <c r="N7" s="19">
        <f xml:space="preserve"> E7 * EXP(-K7 * D7) * _xlfn.NORM.S.DIST(-M7, TRUE) - F7 * _xlfn.NORM.S.DIST(-L7, TRUE)</f>
        <v>3.300060942015179</v>
      </c>
      <c r="O7" s="45">
        <v>0.49796712778371421</v>
      </c>
    </row>
    <row r="8" spans="1:15">
      <c r="A8" s="20">
        <v>45807</v>
      </c>
      <c r="B8" s="21">
        <v>45838</v>
      </c>
      <c r="C8" s="19">
        <v>30</v>
      </c>
      <c r="D8" s="19">
        <f t="shared" si="1"/>
        <v>8.2191780821917804E-2</v>
      </c>
      <c r="E8">
        <v>18000</v>
      </c>
      <c r="F8" s="19">
        <v>24833.599999999999</v>
      </c>
      <c r="G8" s="18" t="s">
        <v>2</v>
      </c>
      <c r="H8" s="45">
        <v>0.14480999999999999</v>
      </c>
      <c r="I8" s="19">
        <v>3.45</v>
      </c>
      <c r="J8" s="19">
        <v>5501</v>
      </c>
      <c r="K8" s="45">
        <f t="shared" si="2"/>
        <v>4.4999999999999998E-2</v>
      </c>
      <c r="L8" s="19">
        <f t="shared" si="3"/>
        <v>2.6933111149695343</v>
      </c>
      <c r="M8" s="19">
        <f t="shared" si="0"/>
        <v>2.5696061697675048</v>
      </c>
      <c r="N8" s="19">
        <f t="shared" ref="N8:N11" si="5" xml:space="preserve"> E8 * EXP(-K8 * D8) * _xlfn.NORM.S.DIST(-M8, TRUE) - F8 * _xlfn.NORM.S.DIST(-L8, TRUE)</f>
        <v>3.4503145510411173</v>
      </c>
      <c r="O8" s="45">
        <v>0.43149211717846209</v>
      </c>
    </row>
    <row r="9" spans="1:15">
      <c r="A9" s="20">
        <v>45807</v>
      </c>
      <c r="B9" s="21">
        <v>45838</v>
      </c>
      <c r="C9" s="19">
        <v>30</v>
      </c>
      <c r="D9" s="19">
        <f t="shared" si="1"/>
        <v>8.2191780821917804E-2</v>
      </c>
      <c r="E9">
        <v>19000</v>
      </c>
      <c r="F9" s="19">
        <v>24833.599999999999</v>
      </c>
      <c r="G9" s="18" t="s">
        <v>2</v>
      </c>
      <c r="H9" s="45">
        <v>0.38829999999999998</v>
      </c>
      <c r="I9" s="19">
        <v>3.875</v>
      </c>
      <c r="J9" s="19">
        <v>8571</v>
      </c>
      <c r="K9" s="45">
        <f t="shared" si="2"/>
        <v>4.4999999999999998E-2</v>
      </c>
      <c r="L9" s="19">
        <f t="shared" si="3"/>
        <v>2.5580443840420592</v>
      </c>
      <c r="M9" s="19">
        <f t="shared" si="0"/>
        <v>2.4496278531561608</v>
      </c>
      <c r="N9" s="19">
        <f t="shared" si="5"/>
        <v>4.6496539991876205</v>
      </c>
      <c r="O9" s="45">
        <v>0.37816498259386483</v>
      </c>
    </row>
    <row r="10" spans="1:15">
      <c r="A10" s="20">
        <v>45807</v>
      </c>
      <c r="B10" s="21">
        <v>45838</v>
      </c>
      <c r="C10" s="19">
        <v>30</v>
      </c>
      <c r="D10" s="19">
        <f t="shared" si="1"/>
        <v>8.2191780821917804E-2</v>
      </c>
      <c r="E10">
        <v>20000</v>
      </c>
      <c r="F10" s="19">
        <v>24833.599999999999</v>
      </c>
      <c r="G10" s="18" t="s">
        <v>2</v>
      </c>
      <c r="H10" s="45">
        <v>0.3291</v>
      </c>
      <c r="I10" s="19">
        <v>4.6500000000000004</v>
      </c>
      <c r="J10" s="19">
        <v>20400</v>
      </c>
      <c r="K10" s="45">
        <f t="shared" si="2"/>
        <v>4.4999999999999998E-2</v>
      </c>
      <c r="L10" s="19">
        <f t="shared" si="3"/>
        <v>2.5385719021765332</v>
      </c>
      <c r="M10" s="19">
        <f t="shared" si="0"/>
        <v>2.4503100700777902</v>
      </c>
      <c r="N10" s="19">
        <f t="shared" si="5"/>
        <v>3.9999543285846926</v>
      </c>
      <c r="O10" s="45">
        <v>0.30786388317895413</v>
      </c>
    </row>
    <row r="11" spans="1:15">
      <c r="A11" s="20">
        <v>45807</v>
      </c>
      <c r="B11" s="21">
        <v>45838</v>
      </c>
      <c r="C11" s="19">
        <v>30</v>
      </c>
      <c r="D11" s="19">
        <f t="shared" si="1"/>
        <v>8.2191780821917804E-2</v>
      </c>
      <c r="E11">
        <v>20400</v>
      </c>
      <c r="F11" s="19">
        <v>24833.599999999999</v>
      </c>
      <c r="G11" s="18" t="s">
        <v>2</v>
      </c>
      <c r="H11" s="45">
        <v>0.2989</v>
      </c>
      <c r="I11" s="19">
        <v>4.55</v>
      </c>
      <c r="J11" s="19">
        <v>97</v>
      </c>
      <c r="K11" s="45">
        <f t="shared" si="2"/>
        <v>4.4999999999999998E-2</v>
      </c>
      <c r="L11" s="19">
        <f t="shared" si="3"/>
        <v>2.4473424200903087</v>
      </c>
      <c r="M11" s="19">
        <f t="shared" si="0"/>
        <v>2.3640563260570362</v>
      </c>
      <c r="N11" s="19">
        <f t="shared" si="5"/>
        <v>4.9999893208596404</v>
      </c>
      <c r="O11" s="45">
        <v>0.29050813601065018</v>
      </c>
    </row>
    <row r="59" spans="1:7">
      <c r="A59" s="62" t="s">
        <v>136</v>
      </c>
      <c r="B59" s="62"/>
      <c r="C59" s="62"/>
      <c r="D59" s="62"/>
      <c r="E59" s="62"/>
      <c r="F59" s="62"/>
      <c r="G59" s="62"/>
    </row>
  </sheetData>
  <mergeCells count="1">
    <mergeCell ref="A59:G5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8100-7298-4349-9704-8F050320894A}">
  <sheetPr>
    <tabColor theme="6" tint="0.59999389629810485"/>
  </sheetPr>
  <dimension ref="A1:O12"/>
  <sheetViews>
    <sheetView workbookViewId="0">
      <selection activeCell="O18" sqref="O18"/>
    </sheetView>
  </sheetViews>
  <sheetFormatPr defaultRowHeight="12.5"/>
  <cols>
    <col min="1" max="2" width="10.08984375" bestFit="1" customWidth="1"/>
    <col min="3" max="3" width="4.453125" customWidth="1"/>
    <col min="4" max="4" width="12" bestFit="1" customWidth="1"/>
    <col min="5" max="5" width="8.90625" bestFit="1" customWidth="1"/>
    <col min="6" max="6" width="7.81640625" bestFit="1" customWidth="1"/>
    <col min="7" max="7" width="10.90625" bestFit="1" customWidth="1"/>
    <col min="8" max="8" width="6.81640625" bestFit="1" customWidth="1"/>
    <col min="9" max="9" width="8.81640625" bestFit="1" customWidth="1"/>
    <col min="10" max="10" width="5.81640625" bestFit="1" customWidth="1"/>
    <col min="11" max="11" width="16.08984375" bestFit="1" customWidth="1"/>
    <col min="12" max="14" width="11.81640625" bestFit="1" customWidth="1"/>
    <col min="15" max="15" width="17.54296875" bestFit="1" customWidth="1"/>
  </cols>
  <sheetData>
    <row r="1" spans="1:15" ht="13">
      <c r="A1" s="47" t="s">
        <v>20</v>
      </c>
      <c r="B1" s="47" t="s">
        <v>21</v>
      </c>
      <c r="C1" s="47" t="s">
        <v>22</v>
      </c>
      <c r="D1" s="47" t="s">
        <v>131</v>
      </c>
      <c r="E1" s="47" t="s">
        <v>14</v>
      </c>
      <c r="F1" s="47" t="s">
        <v>23</v>
      </c>
      <c r="G1" s="47" t="s">
        <v>24</v>
      </c>
      <c r="H1" s="47" t="s">
        <v>25</v>
      </c>
      <c r="I1" s="47" t="s">
        <v>26</v>
      </c>
      <c r="J1" s="47" t="s">
        <v>5</v>
      </c>
      <c r="K1" s="28" t="s">
        <v>130</v>
      </c>
      <c r="L1" s="47" t="s">
        <v>132</v>
      </c>
      <c r="M1" s="47" t="s">
        <v>133</v>
      </c>
      <c r="N1" s="47" t="s">
        <v>134</v>
      </c>
      <c r="O1" s="47" t="s">
        <v>135</v>
      </c>
    </row>
    <row r="2" spans="1:15">
      <c r="A2" s="23">
        <v>45807</v>
      </c>
      <c r="B2" s="23">
        <v>45894</v>
      </c>
      <c r="C2" s="24">
        <v>90</v>
      </c>
      <c r="D2" s="19">
        <f>C2/365</f>
        <v>0.24657534246575341</v>
      </c>
      <c r="E2">
        <v>20000</v>
      </c>
      <c r="F2" s="19">
        <v>24833.599999999999</v>
      </c>
      <c r="G2" s="18" t="s">
        <v>1</v>
      </c>
      <c r="H2" s="45">
        <v>0.13120000000000001</v>
      </c>
      <c r="I2" s="49">
        <v>11241.1329544666</v>
      </c>
      <c r="J2" s="19">
        <v>26</v>
      </c>
      <c r="K2" s="48">
        <v>5.5E-2</v>
      </c>
      <c r="L2" s="19">
        <f>(LN(F2/E2) + (K2 + (O2^2)/2)*D2) / (O2*SQRT(D2))</f>
        <v>0.74588040438072412</v>
      </c>
      <c r="M2" s="19">
        <f t="shared" ref="M2" si="0" xml:space="preserve"> L2 - O2*SQRT(D2)</f>
        <v>0.31029612831348002</v>
      </c>
      <c r="N2" s="19">
        <f xml:space="preserve"> F2 * _xlfn.NORM.S.DIST(L2, TRUE) -E2* EXP(- K2*D2) * _xlfn.NORM.S.DIST(M2, TRUE)</f>
        <v>6905.6522999039644</v>
      </c>
      <c r="O2" s="45">
        <v>0.87719747218257005</v>
      </c>
    </row>
    <row r="3" spans="1:15">
      <c r="A3" s="20">
        <v>45807</v>
      </c>
      <c r="B3" s="20">
        <v>45894</v>
      </c>
      <c r="C3" s="19">
        <v>90</v>
      </c>
      <c r="D3" s="19">
        <f t="shared" ref="D3:D11" si="1">C3/365</f>
        <v>0.24657534246575341</v>
      </c>
      <c r="E3">
        <v>21000</v>
      </c>
      <c r="F3" s="19">
        <v>24833.599999999999</v>
      </c>
      <c r="G3" s="18" t="s">
        <v>1</v>
      </c>
      <c r="H3" s="19">
        <v>0.1426</v>
      </c>
      <c r="I3" s="49">
        <v>4689.9378150877501</v>
      </c>
      <c r="J3" s="19">
        <v>595</v>
      </c>
      <c r="K3" s="48">
        <v>5.5E-2</v>
      </c>
      <c r="L3" s="19">
        <f t="shared" ref="L3:L11" si="2">(LN(F3/E3) + (K3 + (O3^2)/2)*D3) / (O3*SQRT(D3))</f>
        <v>2.2425536830335333</v>
      </c>
      <c r="M3" s="19">
        <f t="shared" ref="M3:M11" si="3" xml:space="preserve"> L3 - O3*SQRT(D3)</f>
        <v>2.1602253260327524</v>
      </c>
      <c r="N3" s="19">
        <f t="shared" ref="N3:N6" si="4" xml:space="preserve"> F3 * _xlfn.NORM.S.DIST(L3, TRUE) -E3* EXP(- K3*D3) * _xlfn.NORM.S.DIST(M3, TRUE)</f>
        <v>4125.5557895294587</v>
      </c>
      <c r="O3" s="45">
        <v>0.16579622042848999</v>
      </c>
    </row>
    <row r="4" spans="1:15">
      <c r="A4" s="20">
        <v>45807</v>
      </c>
      <c r="B4" s="20">
        <v>45894</v>
      </c>
      <c r="C4" s="19">
        <v>90</v>
      </c>
      <c r="D4" s="19">
        <f t="shared" si="1"/>
        <v>0.24657534246575341</v>
      </c>
      <c r="E4">
        <v>22000</v>
      </c>
      <c r="F4" s="19">
        <v>24833.599999999999</v>
      </c>
      <c r="G4" s="18" t="s">
        <v>1</v>
      </c>
      <c r="H4" s="18">
        <f>22.74/100</f>
        <v>0.22739999999999999</v>
      </c>
      <c r="I4" s="49">
        <v>3908.6906373061001</v>
      </c>
      <c r="J4" s="19">
        <v>1746</v>
      </c>
      <c r="K4" s="48">
        <v>5.5E-2</v>
      </c>
      <c r="L4" s="19">
        <f t="shared" si="2"/>
        <v>0.52777547934198221</v>
      </c>
      <c r="M4" s="19">
        <f t="shared" si="3"/>
        <v>9.5464264573146607E-2</v>
      </c>
      <c r="N4" s="19">
        <f t="shared" si="4"/>
        <v>5735.4820739096995</v>
      </c>
      <c r="O4" s="45">
        <v>0.87060604715872625</v>
      </c>
    </row>
    <row r="5" spans="1:15">
      <c r="A5" s="20">
        <v>45807</v>
      </c>
      <c r="B5" s="20">
        <v>45894</v>
      </c>
      <c r="C5" s="19">
        <v>90</v>
      </c>
      <c r="D5" s="19">
        <f t="shared" si="1"/>
        <v>0.24657534246575341</v>
      </c>
      <c r="E5">
        <v>23000</v>
      </c>
      <c r="F5" s="19">
        <v>24833.599999999999</v>
      </c>
      <c r="G5" s="18" t="s">
        <v>1</v>
      </c>
      <c r="H5" s="19">
        <v>8.539999999999999E-2</v>
      </c>
      <c r="I5" s="49">
        <v>2972.7330833935616</v>
      </c>
      <c r="J5" s="19">
        <v>4678</v>
      </c>
      <c r="K5" s="48">
        <v>5.5E-2</v>
      </c>
      <c r="L5" s="19">
        <f t="shared" si="2"/>
        <v>2.3272465111332732</v>
      </c>
      <c r="M5" s="19">
        <f t="shared" si="3"/>
        <v>2.288131621637945</v>
      </c>
      <c r="N5" s="19">
        <f t="shared" si="4"/>
        <v>2146.7357439457483</v>
      </c>
      <c r="O5" s="45">
        <v>7.8771168004019995E-2</v>
      </c>
    </row>
    <row r="6" spans="1:15">
      <c r="A6" s="20">
        <v>45807</v>
      </c>
      <c r="B6" s="20">
        <v>45894</v>
      </c>
      <c r="C6" s="19">
        <v>90</v>
      </c>
      <c r="D6" s="19">
        <f t="shared" si="1"/>
        <v>0.24657534246575341</v>
      </c>
      <c r="E6">
        <v>24000</v>
      </c>
      <c r="F6" s="19">
        <v>24833.599999999999</v>
      </c>
      <c r="G6" s="18" t="s">
        <v>1</v>
      </c>
      <c r="H6" s="19">
        <v>0.11320000000000001</v>
      </c>
      <c r="I6" s="49">
        <v>2612.3541299584999</v>
      </c>
      <c r="J6" s="19">
        <v>7140</v>
      </c>
      <c r="K6" s="48">
        <v>5.5E-2</v>
      </c>
      <c r="L6" s="19">
        <f t="shared" si="2"/>
        <v>0.30925754905434066</v>
      </c>
      <c r="M6" s="19">
        <f t="shared" si="3"/>
        <v>1.5147766904408999E-2</v>
      </c>
      <c r="N6" s="19">
        <f t="shared" si="4"/>
        <v>3451.0888508781518</v>
      </c>
      <c r="O6" s="45">
        <v>0.59229033650025142</v>
      </c>
    </row>
    <row r="7" spans="1:15">
      <c r="A7" s="20">
        <v>45807</v>
      </c>
      <c r="B7" s="20">
        <v>45894</v>
      </c>
      <c r="C7" s="19">
        <v>90</v>
      </c>
      <c r="D7" s="19">
        <f t="shared" si="1"/>
        <v>0.24657534246575341</v>
      </c>
      <c r="E7">
        <v>20000</v>
      </c>
      <c r="F7" s="19">
        <v>24833.599999999999</v>
      </c>
      <c r="G7" s="18" t="s">
        <v>2</v>
      </c>
      <c r="H7" s="19">
        <v>0.22739999999999999</v>
      </c>
      <c r="I7" s="49">
        <v>5628.1759507602019</v>
      </c>
      <c r="J7" s="19">
        <v>5906</v>
      </c>
      <c r="K7" s="48">
        <v>5.5E-2</v>
      </c>
      <c r="L7" s="19">
        <f t="shared" si="2"/>
        <v>0.72562979831407903</v>
      </c>
      <c r="M7" s="19">
        <f t="shared" si="3"/>
        <v>0.25784629880708798</v>
      </c>
      <c r="N7" s="19">
        <f xml:space="preserve"> E7 * EXP(-K7 * D7) * _xlfn.NORM.S.DIST(-M7, TRUE) - F7 * _xlfn.NORM.S.DIST(-L7, TRUE)</f>
        <v>2046.0837457448288</v>
      </c>
      <c r="O7" s="45">
        <v>0.94204158837198781</v>
      </c>
    </row>
    <row r="8" spans="1:15">
      <c r="A8" s="20">
        <v>45807</v>
      </c>
      <c r="B8" s="20">
        <v>45894</v>
      </c>
      <c r="C8" s="19">
        <v>90</v>
      </c>
      <c r="D8" s="19">
        <f t="shared" si="1"/>
        <v>0.24657534246575341</v>
      </c>
      <c r="E8">
        <v>21000</v>
      </c>
      <c r="F8" s="19">
        <v>24833.599999999999</v>
      </c>
      <c r="G8" s="18" t="s">
        <v>2</v>
      </c>
      <c r="H8" s="19">
        <v>0.21050000000000002</v>
      </c>
      <c r="I8" s="49">
        <v>4670.3777465334169</v>
      </c>
      <c r="J8" s="19">
        <v>5152</v>
      </c>
      <c r="K8" s="48">
        <v>5.5E-2</v>
      </c>
      <c r="L8" s="19">
        <f t="shared" si="2"/>
        <v>0.65855968100068629</v>
      </c>
      <c r="M8" s="19">
        <f t="shared" si="3"/>
        <v>0.26688441577914029</v>
      </c>
      <c r="N8" s="19">
        <f t="shared" ref="N8:N11" si="5" xml:space="preserve"> E8 * EXP(-K8 * D8) * _xlfn.NORM.S.DIST(-M8, TRUE) - F8 * _xlfn.NORM.S.DIST(-L8, TRUE)</f>
        <v>1843.9035033730343</v>
      </c>
      <c r="O8" s="45">
        <v>0.7887717060652979</v>
      </c>
    </row>
    <row r="9" spans="1:15">
      <c r="A9" s="20">
        <v>45807</v>
      </c>
      <c r="B9" s="20">
        <v>45894</v>
      </c>
      <c r="C9" s="19">
        <v>90</v>
      </c>
      <c r="D9" s="19">
        <f t="shared" si="1"/>
        <v>0.24657534246575341</v>
      </c>
      <c r="E9">
        <v>22000</v>
      </c>
      <c r="F9" s="19">
        <v>24833.599999999999</v>
      </c>
      <c r="G9" s="18" t="s">
        <v>2</v>
      </c>
      <c r="H9" s="19">
        <v>0.19510000000000002</v>
      </c>
      <c r="I9" s="49">
        <v>3741.3010106678871</v>
      </c>
      <c r="J9" s="19">
        <v>7140</v>
      </c>
      <c r="K9" s="48">
        <v>5.5E-2</v>
      </c>
      <c r="L9" s="19">
        <f t="shared" si="2"/>
        <v>1.5585551668513038</v>
      </c>
      <c r="M9" s="19">
        <f t="shared" si="3"/>
        <v>1.4695784012208155</v>
      </c>
      <c r="N9" s="19">
        <f t="shared" si="5"/>
        <v>58.581420979480527</v>
      </c>
      <c r="O9" s="45">
        <v>0.17918505828249001</v>
      </c>
    </row>
    <row r="10" spans="1:15">
      <c r="A10" s="20">
        <v>45807</v>
      </c>
      <c r="B10" s="20">
        <v>45894</v>
      </c>
      <c r="C10" s="19">
        <v>90</v>
      </c>
      <c r="D10" s="19">
        <f t="shared" si="1"/>
        <v>0.24657534246575341</v>
      </c>
      <c r="E10">
        <v>23000</v>
      </c>
      <c r="F10" s="19">
        <v>24833.599999999999</v>
      </c>
      <c r="G10" s="18" t="s">
        <v>2</v>
      </c>
      <c r="H10" s="19">
        <v>0.1797</v>
      </c>
      <c r="I10" s="49">
        <v>2771.4854168295828</v>
      </c>
      <c r="J10" s="19">
        <v>7759</v>
      </c>
      <c r="K10" s="48">
        <v>5.5E-2</v>
      </c>
      <c r="L10" s="19">
        <f t="shared" si="2"/>
        <v>1.0758621054934125</v>
      </c>
      <c r="M10" s="19">
        <f t="shared" si="3"/>
        <v>0.98840743845552836</v>
      </c>
      <c r="N10" s="19">
        <f t="shared" si="5"/>
        <v>162.53358675197023</v>
      </c>
      <c r="O10" s="45">
        <v>0.17611979373736</v>
      </c>
    </row>
    <row r="11" spans="1:15">
      <c r="A11" s="20">
        <v>45807</v>
      </c>
      <c r="B11" s="20">
        <v>45894</v>
      </c>
      <c r="C11" s="19">
        <v>90</v>
      </c>
      <c r="D11" s="19">
        <f t="shared" si="1"/>
        <v>0.24657534246575341</v>
      </c>
      <c r="E11">
        <v>24000</v>
      </c>
      <c r="F11" s="19">
        <v>24833.599999999999</v>
      </c>
      <c r="G11" s="18" t="s">
        <v>2</v>
      </c>
      <c r="H11" s="19">
        <v>0.17050000000000001</v>
      </c>
      <c r="I11" s="49">
        <v>2066.5561056572274</v>
      </c>
      <c r="J11" s="19">
        <v>12654</v>
      </c>
      <c r="K11" s="48">
        <v>5.5E-2</v>
      </c>
      <c r="L11" s="19">
        <f t="shared" si="2"/>
        <v>0.31388496693399204</v>
      </c>
      <c r="M11" s="19">
        <f t="shared" si="3"/>
        <v>5.5794226065477848E-2</v>
      </c>
      <c r="N11" s="19">
        <f t="shared" si="5"/>
        <v>1954.2148479581047</v>
      </c>
      <c r="O11" s="45">
        <v>0.51975371454555674</v>
      </c>
    </row>
    <row r="12" spans="1:15">
      <c r="I12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Raw_Data_NSE</vt:lpstr>
      <vt:lpstr>CleanDate</vt:lpstr>
      <vt:lpstr>SABR_Model_Notes</vt:lpstr>
      <vt:lpstr>1M_IV_SABR_Model</vt:lpstr>
      <vt:lpstr>3M_IV_SABR_Model</vt:lpstr>
      <vt:lpstr>6M_IV_SABR_Model</vt:lpstr>
      <vt:lpstr>Black-Scholes Model_Notes</vt:lpstr>
      <vt:lpstr>1M_IV_BS_Model</vt:lpstr>
      <vt:lpstr>3M_IV_BS_Model</vt:lpstr>
      <vt:lpstr>6M_IV_BS_Model</vt:lpstr>
      <vt:lpstr> EWMA_Notes</vt:lpstr>
      <vt:lpstr>EWMA_Model</vt:lpstr>
      <vt:lpstr>ARCH_Notes</vt:lpstr>
      <vt:lpstr>ARCH_Model</vt:lpstr>
      <vt:lpstr>GARCH_Notes</vt:lpstr>
      <vt:lpstr>GARCH_Model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Patil</cp:lastModifiedBy>
  <dcterms:modified xsi:type="dcterms:W3CDTF">2025-06-15T08:41:39Z</dcterms:modified>
</cp:coreProperties>
</file>