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Excelr\Excel\Chandoo\AChocolate ssalary analysis\"/>
    </mc:Choice>
  </mc:AlternateContent>
  <xr:revisionPtr revIDLastSave="0" documentId="13_ncr:1_{A172A3C7-C11C-451B-B8AA-1310F5F60BA1}" xr6:coauthVersionLast="47" xr6:coauthVersionMax="47" xr10:uidLastSave="{00000000-0000-0000-0000-000000000000}"/>
  <bookViews>
    <workbookView xWindow="-110" yWindow="-110" windowWidth="19420" windowHeight="10300" tabRatio="795" firstSheet="6" activeTab="9" xr2:uid="{26D4546B-D2A1-4444-8EAF-A6228F96F0C1}"/>
  </bookViews>
  <sheets>
    <sheet name="Req" sheetId="11" r:id="rId1"/>
    <sheet name="Data" sheetId="1" r:id="rId2"/>
    <sheet name="India Staff" sheetId="2" r:id="rId3"/>
    <sheet name="All_Staff" sheetId="3" r:id="rId4"/>
    <sheet name="Info_finder" sheetId="4" r:id="rId5"/>
    <sheet name="Male Vs Female" sheetId="5" r:id="rId6"/>
    <sheet name="Salary Spread" sheetId="7" r:id="rId7"/>
    <sheet name="Salary Vs Rating" sheetId="8" r:id="rId8"/>
    <sheet name="Company Growth" sheetId="6" r:id="rId9"/>
    <sheet name="Regional ScoreCard" sheetId="9" r:id="rId10"/>
    <sheet name="Sheet6" sheetId="10" r:id="rId11"/>
  </sheets>
  <definedNames>
    <definedName name="_xlnm._FilterDatabase" localSheetId="1" hidden="1">Data!$C$5:$I$105</definedName>
    <definedName name="_xlnm._FilterDatabase" localSheetId="2" hidden="1">'India Staff'!$B$2:$H$114</definedName>
    <definedName name="_xlchart.v1.0" hidden="1">All_Staff!$G$1</definedName>
    <definedName name="_xlchart.v1.1" hidden="1">All_Staff!$G$2:$G$184</definedName>
    <definedName name="_xlchart.v1.2" hidden="1">All_Staff!$G$1</definedName>
    <definedName name="_xlchart.v1.3" hidden="1">All_Staff!$G$2:$G$184</definedName>
    <definedName name="_xlcn.WorksheetConnection_blankdatafile.xlsxStaff1" hidden="1">Staff[]</definedName>
    <definedName name="ExternalData_1" localSheetId="3" hidden="1">All_Staff!$A$1:$H$184</definedName>
    <definedName name="Slicer_Country">#N/A</definedName>
  </definedNames>
  <calcPr calcId="191029"/>
  <pivotCaches>
    <pivotCache cacheId="0" r:id="rId12"/>
    <pivotCache cacheId="1" r:id="rId13"/>
    <pivotCache cacheId="2" r:id="rId14"/>
    <pivotCache cacheId="14" r:id="rId15"/>
  </pivotCaches>
  <extLst>
    <ext xmlns:x14="http://schemas.microsoft.com/office/spreadsheetml/2009/9/main" uri="{876F7934-8845-4945-9796-88D515C7AA90}">
      <x14:pivotCaches>
        <pivotCache cacheId="4"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blank-data-file.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8" i="3" l="1"/>
  <c r="I7" i="6" a="1"/>
  <c r="I7" i="6" s="1"/>
  <c r="J7" i="6" s="1" a="1"/>
  <c r="N8" i="9"/>
  <c r="J8" i="9"/>
  <c r="L8" i="9" s="1"/>
  <c r="G8" i="9"/>
  <c r="C8" i="9"/>
  <c r="E8" i="9" s="1"/>
  <c r="K2"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6" i="4"/>
  <c r="Q4" i="4" a="1"/>
  <c r="Q4" i="4" s="1"/>
  <c r="I162" i="3"/>
  <c r="J162" i="3" s="1"/>
  <c r="I18" i="3"/>
  <c r="J18" i="3" s="1"/>
  <c r="I142" i="3"/>
  <c r="J142" i="3" s="1"/>
  <c r="I20" i="3"/>
  <c r="J20" i="3" s="1"/>
  <c r="I175" i="3"/>
  <c r="J175" i="3" s="1"/>
  <c r="I46" i="3"/>
  <c r="J46" i="3" s="1"/>
  <c r="I130" i="3"/>
  <c r="J130" i="3" s="1"/>
  <c r="I124" i="3"/>
  <c r="J124" i="3" s="1"/>
  <c r="I90" i="3"/>
  <c r="J90" i="3" s="1"/>
  <c r="I156" i="3"/>
  <c r="J156" i="3" s="1"/>
  <c r="I146" i="3"/>
  <c r="J146" i="3" s="1"/>
  <c r="I134" i="3"/>
  <c r="J134" i="3" s="1"/>
  <c r="I24" i="3"/>
  <c r="J24" i="3" s="1"/>
  <c r="I8" i="3"/>
  <c r="J8" i="3" s="1"/>
  <c r="I163" i="3"/>
  <c r="J163" i="3" s="1"/>
  <c r="I32" i="3"/>
  <c r="J32" i="3" s="1"/>
  <c r="I181" i="3"/>
  <c r="J181" i="3" s="1"/>
  <c r="I82" i="3"/>
  <c r="J82" i="3" s="1"/>
  <c r="I108" i="3"/>
  <c r="J108" i="3" s="1"/>
  <c r="I102" i="3"/>
  <c r="J102" i="3" s="1"/>
  <c r="I44" i="3"/>
  <c r="J44" i="3" s="1"/>
  <c r="I120" i="3"/>
  <c r="J120" i="3" s="1"/>
  <c r="I6" i="3"/>
  <c r="J6" i="3" s="1"/>
  <c r="I92" i="3"/>
  <c r="J92" i="3" s="1"/>
  <c r="I10" i="3"/>
  <c r="J10" i="3" s="1"/>
  <c r="I140" i="3"/>
  <c r="J140" i="3" s="1"/>
  <c r="I50" i="3"/>
  <c r="J50" i="3" s="1"/>
  <c r="I171" i="3"/>
  <c r="J171" i="3" s="1"/>
  <c r="I12" i="3"/>
  <c r="J12" i="3" s="1"/>
  <c r="I160" i="3"/>
  <c r="J160" i="3" s="1"/>
  <c r="I22" i="3"/>
  <c r="J22" i="3" s="1"/>
  <c r="I70" i="3"/>
  <c r="J70" i="3" s="1"/>
  <c r="I138" i="3"/>
  <c r="J138" i="3" s="1"/>
  <c r="I110" i="3"/>
  <c r="J110" i="3" s="1"/>
  <c r="I34" i="3"/>
  <c r="J34" i="3" s="1"/>
  <c r="I158" i="3"/>
  <c r="J158" i="3" s="1"/>
  <c r="I183" i="3"/>
  <c r="J183" i="3" s="1"/>
  <c r="I165" i="3"/>
  <c r="J165" i="3" s="1"/>
  <c r="I173" i="3"/>
  <c r="J173" i="3" s="1"/>
  <c r="I30" i="3"/>
  <c r="J30" i="3" s="1"/>
  <c r="I98" i="3"/>
  <c r="J98" i="3" s="1"/>
  <c r="I36" i="3"/>
  <c r="J36" i="3" s="1"/>
  <c r="I114" i="3"/>
  <c r="J114" i="3" s="1"/>
  <c r="I2" i="3"/>
  <c r="J2" i="3" s="1"/>
  <c r="I94" i="3"/>
  <c r="J94" i="3" s="1"/>
  <c r="I52" i="3"/>
  <c r="J52" i="3" s="1"/>
  <c r="I148" i="3"/>
  <c r="J148" i="3" s="1"/>
  <c r="I48" i="3"/>
  <c r="J48" i="3" s="1"/>
  <c r="I126" i="3"/>
  <c r="J126" i="3" s="1"/>
  <c r="I84" i="3"/>
  <c r="J84" i="3" s="1"/>
  <c r="I100" i="3"/>
  <c r="J100" i="3" s="1"/>
  <c r="I122" i="3"/>
  <c r="J122" i="3" s="1"/>
  <c r="I60" i="3"/>
  <c r="J60" i="3" s="1"/>
  <c r="I177" i="3"/>
  <c r="J177" i="3" s="1"/>
  <c r="I66" i="3"/>
  <c r="J66" i="3" s="1"/>
  <c r="I64" i="3"/>
  <c r="J64" i="3" s="1"/>
  <c r="I128" i="3"/>
  <c r="J128" i="3" s="1"/>
  <c r="I28" i="3"/>
  <c r="J28" i="3" s="1"/>
  <c r="I112" i="3"/>
  <c r="J112" i="3" s="1"/>
  <c r="I118" i="3"/>
  <c r="J118" i="3" s="1"/>
  <c r="I76" i="3"/>
  <c r="J76" i="3" s="1"/>
  <c r="I38" i="3"/>
  <c r="J38" i="3" s="1"/>
  <c r="I16" i="3"/>
  <c r="J16" i="3" s="1"/>
  <c r="I154" i="3"/>
  <c r="J154" i="3" s="1"/>
  <c r="I136" i="3"/>
  <c r="J136" i="3" s="1"/>
  <c r="I14" i="3"/>
  <c r="J14" i="3" s="1"/>
  <c r="I88" i="3"/>
  <c r="J88" i="3" s="1"/>
  <c r="I167" i="3"/>
  <c r="J167" i="3" s="1"/>
  <c r="I116" i="3"/>
  <c r="J116" i="3" s="1"/>
  <c r="I39" i="3"/>
  <c r="J39" i="3" s="1"/>
  <c r="I78" i="3"/>
  <c r="J78" i="3" s="1"/>
  <c r="I72" i="3"/>
  <c r="J72" i="3" s="1"/>
  <c r="I80" i="3"/>
  <c r="J80" i="3" s="1"/>
  <c r="I58" i="3"/>
  <c r="J58" i="3" s="1"/>
  <c r="I150" i="3"/>
  <c r="J150" i="3" s="1"/>
  <c r="I179" i="3"/>
  <c r="J179" i="3" s="1"/>
  <c r="I104" i="3"/>
  <c r="J104" i="3" s="1"/>
  <c r="I169" i="3"/>
  <c r="J169" i="3" s="1"/>
  <c r="I144" i="3"/>
  <c r="J144" i="3" s="1"/>
  <c r="I74" i="3"/>
  <c r="J74" i="3" s="1"/>
  <c r="I4" i="3"/>
  <c r="J4" i="3" s="1"/>
  <c r="I62" i="3"/>
  <c r="J62" i="3" s="1"/>
  <c r="I152" i="3"/>
  <c r="J152" i="3" s="1"/>
  <c r="I68" i="3"/>
  <c r="J68" i="3" s="1"/>
  <c r="I96" i="3"/>
  <c r="J96" i="3" s="1"/>
  <c r="I42" i="3"/>
  <c r="J42" i="3" s="1"/>
  <c r="I106" i="3"/>
  <c r="J106" i="3" s="1"/>
  <c r="I54" i="3"/>
  <c r="J54" i="3" s="1"/>
  <c r="I86" i="3"/>
  <c r="J86" i="3" s="1"/>
  <c r="I56" i="3"/>
  <c r="J56" i="3" s="1"/>
  <c r="I26" i="3"/>
  <c r="J26" i="3" s="1"/>
  <c r="I132" i="3"/>
  <c r="J132" i="3" s="1"/>
  <c r="I166" i="3"/>
  <c r="J166" i="3" s="1"/>
  <c r="I87" i="3"/>
  <c r="J87" i="3" s="1"/>
  <c r="I37" i="3"/>
  <c r="J37" i="3" s="1"/>
  <c r="I176" i="3"/>
  <c r="J176" i="3" s="1"/>
  <c r="I40" i="3"/>
  <c r="J40" i="3" s="1"/>
  <c r="I161" i="3"/>
  <c r="J161" i="3" s="1"/>
  <c r="I27" i="3"/>
  <c r="J27" i="3" s="1"/>
  <c r="I63" i="3"/>
  <c r="J63" i="3" s="1"/>
  <c r="I43" i="3"/>
  <c r="J43" i="3" s="1"/>
  <c r="I184" i="3"/>
  <c r="J184" i="3" s="1"/>
  <c r="I159" i="3"/>
  <c r="J159" i="3" s="1"/>
  <c r="I69" i="3"/>
  <c r="J69" i="3" s="1"/>
  <c r="I79" i="3"/>
  <c r="J79" i="3" s="1"/>
  <c r="I153" i="3"/>
  <c r="J153" i="3" s="1"/>
  <c r="I19" i="3"/>
  <c r="J19" i="3" s="1"/>
  <c r="I137" i="3"/>
  <c r="J137" i="3" s="1"/>
  <c r="I9" i="3"/>
  <c r="J9" i="3" s="1"/>
  <c r="I49" i="3"/>
  <c r="J49" i="3" s="1"/>
  <c r="I15" i="3"/>
  <c r="J15" i="3" s="1"/>
  <c r="I99" i="3"/>
  <c r="J99" i="3" s="1"/>
  <c r="I53" i="3"/>
  <c r="J53" i="3" s="1"/>
  <c r="I73" i="3"/>
  <c r="J73" i="3" s="1"/>
  <c r="I51" i="3"/>
  <c r="J51" i="3" s="1"/>
  <c r="I31" i="3"/>
  <c r="J31" i="3" s="1"/>
  <c r="I65" i="3"/>
  <c r="J65" i="3" s="1"/>
  <c r="I93" i="3"/>
  <c r="J93" i="3" s="1"/>
  <c r="I119" i="3"/>
  <c r="J119" i="3" s="1"/>
  <c r="I5" i="3"/>
  <c r="J5" i="3" s="1"/>
  <c r="I101" i="3"/>
  <c r="J101" i="3" s="1"/>
  <c r="I59" i="3"/>
  <c r="J59" i="3" s="1"/>
  <c r="I97" i="3"/>
  <c r="J97" i="3" s="1"/>
  <c r="I178" i="3"/>
  <c r="J178" i="3" s="1"/>
  <c r="I107" i="3"/>
  <c r="J107" i="3" s="1"/>
  <c r="I157" i="3"/>
  <c r="J157" i="3" s="1"/>
  <c r="I33" i="3"/>
  <c r="J33" i="3" s="1"/>
  <c r="I139" i="3"/>
  <c r="J139" i="3" s="1"/>
  <c r="I133" i="3"/>
  <c r="J133" i="3" s="1"/>
  <c r="I143" i="3"/>
  <c r="J143" i="3" s="1"/>
  <c r="I29" i="3"/>
  <c r="J29" i="3" s="1"/>
  <c r="I35" i="3"/>
  <c r="J35" i="3" s="1"/>
  <c r="I105" i="3"/>
  <c r="J105" i="3" s="1"/>
  <c r="I117" i="3"/>
  <c r="J117" i="3" s="1"/>
  <c r="I113" i="3"/>
  <c r="J113" i="3" s="1"/>
  <c r="I129" i="3"/>
  <c r="J129" i="3" s="1"/>
  <c r="I164" i="3"/>
  <c r="J164" i="3" s="1"/>
  <c r="I109" i="3"/>
  <c r="J109" i="3" s="1"/>
  <c r="I77" i="3"/>
  <c r="J77" i="3" s="1"/>
  <c r="I111" i="3"/>
  <c r="J111" i="3" s="1"/>
  <c r="I55" i="3"/>
  <c r="J55" i="3" s="1"/>
  <c r="I182" i="3"/>
  <c r="J182" i="3" s="1"/>
  <c r="I25" i="3"/>
  <c r="J25" i="3" s="1"/>
  <c r="I21" i="3"/>
  <c r="J21" i="3" s="1"/>
  <c r="I174" i="3"/>
  <c r="J174" i="3" s="1"/>
  <c r="I83" i="3"/>
  <c r="J83" i="3" s="1"/>
  <c r="I89" i="3"/>
  <c r="J89" i="3" s="1"/>
  <c r="I155" i="3"/>
  <c r="J155" i="3" s="1"/>
  <c r="I168" i="3"/>
  <c r="J168" i="3" s="1"/>
  <c r="I81" i="3"/>
  <c r="J81" i="3" s="1"/>
  <c r="I180" i="3"/>
  <c r="J180" i="3" s="1"/>
  <c r="I103" i="3"/>
  <c r="J103" i="3" s="1"/>
  <c r="I172" i="3"/>
  <c r="J172" i="3" s="1"/>
  <c r="I125" i="3"/>
  <c r="J125" i="3" s="1"/>
  <c r="I149" i="3"/>
  <c r="J149" i="3" s="1"/>
  <c r="I45" i="3"/>
  <c r="J45" i="3" s="1"/>
  <c r="I123" i="3"/>
  <c r="J123" i="3" s="1"/>
  <c r="I47" i="3"/>
  <c r="J47" i="3" s="1"/>
  <c r="I131" i="3"/>
  <c r="J131" i="3" s="1"/>
  <c r="I71" i="3"/>
  <c r="J71" i="3" s="1"/>
  <c r="I23" i="3"/>
  <c r="J23" i="3" s="1"/>
  <c r="I61" i="3"/>
  <c r="J61" i="3" s="1"/>
  <c r="I145" i="3"/>
  <c r="J145" i="3" s="1"/>
  <c r="I121" i="3"/>
  <c r="J121" i="3" s="1"/>
  <c r="I141" i="3"/>
  <c r="J141" i="3" s="1"/>
  <c r="I170" i="3"/>
  <c r="J170" i="3" s="1"/>
  <c r="I3" i="3"/>
  <c r="J3" i="3" s="1"/>
  <c r="I151" i="3"/>
  <c r="J151" i="3" s="1"/>
  <c r="I11" i="3"/>
  <c r="J11" i="3" s="1"/>
  <c r="I127" i="3"/>
  <c r="J127" i="3" s="1"/>
  <c r="I7" i="3"/>
  <c r="J7" i="3" s="1"/>
  <c r="I147" i="3"/>
  <c r="J147" i="3" s="1"/>
  <c r="I135" i="3"/>
  <c r="J135" i="3" s="1"/>
  <c r="I115" i="3"/>
  <c r="J115" i="3" s="1"/>
  <c r="I17" i="3"/>
  <c r="J17" i="3" s="1"/>
  <c r="I57" i="3"/>
  <c r="J57" i="3" s="1"/>
  <c r="I67" i="3"/>
  <c r="J67" i="3" s="1"/>
  <c r="I13" i="3"/>
  <c r="J13" i="3" s="1"/>
  <c r="I95" i="3"/>
  <c r="J95" i="3" s="1"/>
  <c r="I91" i="3"/>
  <c r="J91" i="3" s="1"/>
  <c r="I75" i="3"/>
  <c r="J75" i="3" s="1"/>
  <c r="I85" i="3"/>
  <c r="J85" i="3" s="1"/>
  <c r="I41" i="3"/>
  <c r="J41" i="3" s="1"/>
  <c r="O11" i="3"/>
  <c r="O6" i="3"/>
  <c r="O7" i="3"/>
  <c r="O5" i="3"/>
  <c r="O4" i="3"/>
  <c r="O12" i="3" s="1"/>
  <c r="H115" i="2"/>
  <c r="H106" i="1"/>
  <c r="I106" i="1"/>
  <c r="J7" i="6" l="1"/>
  <c r="K7" i="6" s="1"/>
  <c r="L7" i="6" s="1"/>
  <c r="K17" i="6"/>
  <c r="K29" i="6"/>
  <c r="K41" i="6"/>
  <c r="K22" i="6"/>
  <c r="K11" i="6"/>
  <c r="K36" i="6"/>
  <c r="K37" i="6"/>
  <c r="K14" i="6"/>
  <c r="K27" i="6"/>
  <c r="K16" i="6"/>
  <c r="K18" i="6"/>
  <c r="K30" i="6"/>
  <c r="K42" i="6"/>
  <c r="K8" i="6"/>
  <c r="K21" i="6"/>
  <c r="K34" i="6"/>
  <c r="K35" i="6"/>
  <c r="K12" i="6"/>
  <c r="K25" i="6"/>
  <c r="K26" i="6"/>
  <c r="K39" i="6"/>
  <c r="K40" i="6"/>
  <c r="K19" i="6"/>
  <c r="K31" i="6"/>
  <c r="K20" i="6"/>
  <c r="K32" i="6"/>
  <c r="K9" i="6"/>
  <c r="L9" i="6" s="1"/>
  <c r="K33" i="6"/>
  <c r="K10" i="6"/>
  <c r="K23" i="6"/>
  <c r="K24" i="6"/>
  <c r="K13" i="6"/>
  <c r="K38" i="6"/>
  <c r="K15" i="6"/>
  <c r="K28" i="6"/>
  <c r="B10" i="4" a="1"/>
  <c r="B10" i="4" s="1"/>
  <c r="O19" i="3" a="1"/>
  <c r="O19" i="3" s="1"/>
  <c r="O10" i="3"/>
  <c r="O9" i="3"/>
  <c r="L22" i="6" l="1"/>
  <c r="L24" i="6"/>
  <c r="L26" i="6"/>
  <c r="L21" i="6"/>
  <c r="L11" i="6"/>
  <c r="L28" i="6"/>
  <c r="L12" i="6"/>
  <c r="L38" i="6"/>
  <c r="L40" i="6"/>
  <c r="L10" i="6"/>
  <c r="L17" i="6"/>
  <c r="L16" i="6"/>
  <c r="L34" i="6"/>
  <c r="L30" i="6"/>
  <c r="L39" i="6"/>
  <c r="L19" i="6"/>
  <c r="L29" i="6"/>
  <c r="L31" i="6"/>
  <c r="L13" i="6"/>
  <c r="L20" i="6"/>
  <c r="L14" i="6"/>
  <c r="L32" i="6"/>
  <c r="L25" i="6"/>
  <c r="L18" i="6"/>
  <c r="L35" i="6"/>
  <c r="L23" i="6"/>
  <c r="L8" i="6"/>
  <c r="L36" i="6"/>
  <c r="L27" i="6"/>
  <c r="L42" i="6"/>
  <c r="L15" i="6"/>
  <c r="L33" i="6"/>
  <c r="L41" i="6"/>
  <c r="L37"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B834022-FA9D-43B1-85C0-5006B1DA92B9}" keepAlive="1" name="Query - India_staff" description="Connection to the 'India_staff' query in the workbook." type="5" refreshedVersion="0" background="1">
    <dbPr connection="Provider=Microsoft.Mashup.OleDb.1;Data Source=$Workbook$;Location=India_staff;Extended Properties=&quot;&quot;" command="SELECT * FROM [India_staff]"/>
  </connection>
  <connection id="2" xr16:uid="{CDA6E43C-9738-42B9-A8CD-491E320F8E82}"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85E2387F-3D15-40F5-B037-EA3846E3BF18}"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198D3646-5C01-4784-B12B-11CD8F3CA30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D33B4101-5D5D-45DF-ABA4-20E454883D1B}" name="WorksheetConnection_blank-data-file.xlsx!Staff" type="102" refreshedVersion="8" minRefreshableVersion="5">
    <extLst>
      <ext xmlns:x15="http://schemas.microsoft.com/office/spreadsheetml/2010/11/main" uri="{DE250136-89BD-433C-8126-D09CA5730AF9}">
        <x15:connection id="Staff" autoDelete="1">
          <x15:rangePr sourceName="_xlcn.WorksheetConnection_blankdatafile.xlsxStaff1"/>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3">
    <s v="ThisWorkbookDataModel"/>
    <s v="{[Staff].[Country].&amp;[IND]}"/>
    <s v="{[Staff].[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1" v="0"/>
    </bk>
  </cellMetadata>
  <valueMetadata count="2">
    <bk>
      <rc t="2" v="0"/>
    </bk>
    <bk>
      <rc t="2" v="1"/>
    </bk>
  </valueMetadata>
</metadata>
</file>

<file path=xl/sharedStrings.xml><?xml version="1.0" encoding="utf-8"?>
<sst xmlns="http://schemas.openxmlformats.org/spreadsheetml/2006/main" count="1863" uniqueCount="249">
  <si>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</si>
  <si>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</si>
  <si>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</si>
  <si>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</si>
  <si>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</si>
  <si>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</si>
  <si>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</si>
  <si>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</si>
  <si>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</si>
  <si>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</si>
  <si>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</si>
  <si>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</si>
  <si>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</si>
  <si>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</si>
  <si>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</si>
  <si>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</si>
  <si>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</si>
  <si>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</si>
  <si>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</si>
  <si>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</si>
  <si>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</si>
  <si>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</si>
  <si>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</si>
  <si>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</si>
  <si>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</si>
  <si>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</si>
  <si>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</si>
  <si>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</si>
  <si>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</si>
  <si>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</si>
  <si>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</si>
  <si>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</si>
  <si>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</si>
  <si>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</si>
  <si>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</si>
  <si>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</si>
  <si>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</si>
  <si>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</si>
  <si>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</si>
  <si>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</si>
  <si>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</si>
  <si>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</si>
  <si>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</si>
  <si>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</si>
  <si>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</si>
  <si>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</si>
  <si>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</si>
  <si>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</si>
  <si>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</si>
  <si>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</si>
  <si>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</si>
  <si>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</si>
  <si>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</si>
  <si>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</si>
  <si>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</si>
  <si>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</si>
  <si>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</si>
  <si>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</si>
  <si>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</si>
  <si>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</si>
  <si>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</si>
  <si>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</si>
  <si>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</si>
  <si>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</si>
  <si>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</si>
  <si>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</si>
  <si>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</si>
  <si>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</si>
  <si>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</si>
  <si>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</si>
  <si>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</si>
  <si>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</si>
  <si>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</si>
  <si>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</si>
  <si>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</si>
  <si>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</si>
  <si>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</si>
  <si>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</si>
  <si>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</si>
  <si>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</si>
  <si>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</si>
  <si>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</si>
  <si>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</si>
  <si>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</si>
  <si>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</si>
  <si>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</si>
  <si>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</si>
  <si>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</si>
  <si>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</si>
  <si>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</si>
  <si>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</si>
  <si>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</si>
  <si>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</si>
  <si>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</si>
  <si>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</si>
  <si>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</si>
  <si>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</si>
  <si>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</si>
  <si>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</si>
  <si>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</si>
  <si>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</si>
  <si>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</si>
  <si>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</si>
  <si>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</si>
  <si>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</si>
  <si>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</si>
  <si>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</si>
  <si>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</si>
  <si>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</si>
  <si>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</si>
  <si>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</si>
  <si>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</si>
  <si>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</si>
  <si>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</si>
  <si>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</si>
  <si>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</si>
  <si>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</si>
  <si>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</si>
  <si>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</si>
  <si>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</si>
  <si>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</si>
  <si>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</si>
  <si>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</si>
  <si>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</si>
  <si>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</si>
  <si>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</si>
  <si>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</si>
  <si>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</si>
  <si>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</si>
  <si>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</si>
  <si>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</si>
  <si>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</si>
  <si>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</si>
  <si>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</si>
  <si>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</si>
  <si>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</si>
  <si>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</si>
  <si>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</si>
  <si>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</si>
  <si>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</si>
  <si>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</si>
  <si>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</si>
  <si>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</si>
  <si>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</si>
  <si>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</si>
  <si>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</si>
  <si>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</si>
  <si>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</si>
  <si>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</si>
  <si>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</si>
  <si>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</si>
  <si>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</si>
  <si>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</si>
  <si>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</si>
  <si>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</si>
  <si>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</si>
  <si>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</si>
  <si>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</si>
  <si>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</si>
  <si>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</si>
  <si>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</si>
  <si>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</si>
  <si>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</si>
  <si>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</si>
  <si>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</si>
  <si>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</si>
  <si>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</si>
  <si>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</si>
  <si>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</si>
  <si>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</si>
  <si>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</si>
  <si>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</si>
  <si>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</si>
  <si>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</si>
  <si>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</si>
  <si>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</si>
  <si>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</si>
  <si>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</si>
  <si>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</si>
  <si>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</si>
  <si>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</si>
  <si>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</si>
  <si>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</si>
  <si>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</si>
  <si>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</si>
  <si>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</si>
  <si>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</si>
  <si>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</si>
  <si>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</si>
  <si>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</si>
  <si>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</si>
  <si>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</si>
  <si>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</si>
  <si>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</si>
  <si>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</si>
  <si>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</si>
  <si>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</si>
  <si>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</si>
  <si>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</si>
  <si>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</si>
  <si>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</si>
  <si>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</si>
  <si>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</si>
  <si>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0</t>
  </si>
  <si>
    <t>Total</t>
  </si>
  <si>
    <t>Country</t>
  </si>
  <si>
    <t>IND</t>
  </si>
  <si>
    <t>Other</t>
  </si>
  <si>
    <t>NZ</t>
  </si>
  <si>
    <t>Count of Employees</t>
  </si>
  <si>
    <t>Avgerage Age</t>
  </si>
  <si>
    <t>Average Salary</t>
  </si>
  <si>
    <t>Avg Tenure</t>
  </si>
  <si>
    <t>Female Ratio</t>
  </si>
  <si>
    <t>Female Count</t>
  </si>
  <si>
    <t>Tenure</t>
  </si>
  <si>
    <t>Department Name</t>
  </si>
  <si>
    <t>Number of People</t>
  </si>
  <si>
    <t>Male Vs Female</t>
  </si>
  <si>
    <t>Column Labels</t>
  </si>
  <si>
    <t>Grand Total</t>
  </si>
  <si>
    <t>Count of Name</t>
  </si>
  <si>
    <t>Average of Age</t>
  </si>
  <si>
    <t>Values</t>
  </si>
  <si>
    <t>Average of Salary</t>
  </si>
  <si>
    <t>Average of Tenure</t>
  </si>
  <si>
    <t>Bonus</t>
  </si>
  <si>
    <t>Analyze salary spread</t>
  </si>
  <si>
    <t>Relationship between salary and rating</t>
  </si>
  <si>
    <t>company growrth over time</t>
  </si>
  <si>
    <t>Regional scorecard India vs Newzealand</t>
  </si>
  <si>
    <t>Row Labels</t>
  </si>
  <si>
    <t>Rating as Number</t>
  </si>
  <si>
    <t>New Zealand</t>
  </si>
  <si>
    <t>India</t>
  </si>
  <si>
    <t>Headcount By Department</t>
  </si>
  <si>
    <t>Month</t>
  </si>
  <si>
    <t>Headcount</t>
  </si>
  <si>
    <t>Running Total</t>
  </si>
  <si>
    <t>Median Age</t>
  </si>
  <si>
    <t>Median Salary</t>
  </si>
  <si>
    <t>% of staff who have more than 90000 salary</t>
  </si>
  <si>
    <t>Quick Statistics</t>
  </si>
  <si>
    <t>Employee Information</t>
  </si>
  <si>
    <t>Department Information Finder</t>
  </si>
  <si>
    <t xml:space="preserve">Count </t>
  </si>
  <si>
    <t>Relationship Between Salary &amp; Rating</t>
  </si>
  <si>
    <t>Company Growth Over Time</t>
  </si>
  <si>
    <t>Employee Salary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</si>
</sst>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 ;_-[$$-409]* \-#,##0.00\ ;_-[$$-409]* &quot;-&quot;??_ ;_-@_ "/>
    <numFmt numFmtId="165" formatCode="[$$-409]#,##0.00"/>
    <numFmt numFmtId="166" formatCode="[$$-409]#,##0"/>
  </numFmts>
  <fonts count="17" x14ac:knownFonts="1">
    <font>
      <sz val="11"/>
      <color theme="1"/>
      <name val="Calibri"/>
      <family val="2"/>
      <scheme val="minor"/>
    </font>
    <font>
      <sz val="11"/>
      <color theme="1"/>
      <name val="Calibri"/>
      <family val="2"/>
      <scheme val="minor"/>
    </font>
    <font>
      <b/>
      <sz val="14"/>
      <color rgb="FFC00000"/>
      <name val="Calibri"/>
      <family val="2"/>
      <scheme val="minor"/>
    </font>
    <font>
      <b/>
      <sz val="24"/>
      <color theme="0"/>
      <name val="Bahnschrift"/>
      <family val="2"/>
    </font>
    <font>
      <b/>
      <sz val="60"/>
      <color theme="0"/>
      <name val="Bahnschrift"/>
      <family val="2"/>
    </font>
    <font>
      <b/>
      <sz val="24"/>
      <color theme="2" tint="-0.749992370372631"/>
      <name val="Bahnschrift"/>
      <family val="2"/>
    </font>
    <font>
      <sz val="14"/>
      <color theme="1" tint="0.34998626667073579"/>
      <name val="Bahnschrift"/>
      <family val="2"/>
    </font>
    <font>
      <b/>
      <sz val="16"/>
      <color theme="1"/>
      <name val="Nirmala UI"/>
      <family val="2"/>
    </font>
    <font>
      <sz val="13"/>
      <color theme="1"/>
      <name val="Nirmala UI"/>
      <family val="2"/>
    </font>
    <font>
      <b/>
      <sz val="14"/>
      <color rgb="FFC00000"/>
      <name val="Nirmala UI"/>
      <family val="2"/>
    </font>
    <font>
      <sz val="11"/>
      <color theme="1"/>
      <name val="Nirmala UI"/>
      <family val="2"/>
    </font>
    <font>
      <sz val="13"/>
      <color theme="0" tint="-4.9989318521683403E-2"/>
      <name val="Nirmala UI"/>
      <family val="2"/>
    </font>
    <font>
      <sz val="11"/>
      <name val="Nirmala UI"/>
      <family val="2"/>
    </font>
    <font>
      <b/>
      <sz val="16"/>
      <name val="Nirmala UI"/>
      <family val="2"/>
    </font>
    <font>
      <sz val="16"/>
      <color theme="1" tint="0.34998626667073579"/>
      <name val="Nirmala UI"/>
      <family val="2"/>
    </font>
    <font>
      <sz val="16"/>
      <name val="Nirmala UI"/>
      <family val="2"/>
    </font>
    <font>
      <sz val="14"/>
      <color theme="1"/>
      <name val="Nirmala UI"/>
      <family val="2"/>
    </font>
  </fonts>
  <fills count="7">
    <fill>
      <patternFill patternType="none"/>
    </fill>
    <fill>
      <patternFill patternType="gray125"/>
    </fill>
    <fill>
      <patternFill patternType="solid">
        <fgColor theme="5" tint="0.39997558519241921"/>
        <bgColor indexed="64"/>
      </patternFill>
    </fill>
    <fill>
      <patternFill patternType="solid">
        <fgColor theme="5"/>
        <bgColor indexed="64"/>
      </patternFill>
    </fill>
    <fill>
      <patternFill patternType="solid">
        <fgColor theme="8" tint="-0.249977111117893"/>
        <bgColor indexed="64"/>
      </patternFill>
    </fill>
    <fill>
      <patternFill patternType="solid">
        <fgColor theme="2" tint="-9.9978637043366805E-2"/>
        <bgColor indexed="64"/>
      </patternFill>
    </fill>
    <fill>
      <patternFill patternType="solid">
        <fgColor theme="9" tint="-0.249977111117893"/>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auto="1"/>
      </top>
      <bottom style="thin">
        <color auto="1"/>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59">
    <xf numFmtId="0" fontId="0" fillId="0" borderId="0" xfId="0"/>
    <xf numFmtId="15" fontId="0" fillId="0" borderId="0" xfId="0" applyNumberFormat="1"/>
    <xf numFmtId="164" fontId="0" fillId="0" borderId="0" xfId="0" applyNumberFormat="1"/>
    <xf numFmtId="14" fontId="0" fillId="0" borderId="0" xfId="0" applyNumberFormat="1"/>
    <xf numFmtId="2" fontId="0" fillId="0" borderId="0" xfId="0" applyNumberFormat="1"/>
    <xf numFmtId="0" fontId="0" fillId="0" borderId="0" xfId="0" applyAlignment="1">
      <alignment horizontal="left"/>
    </xf>
    <xf numFmtId="1" fontId="2" fillId="2" borderId="1" xfId="0" applyNumberFormat="1" applyFont="1" applyFill="1" applyBorder="1" applyAlignment="1">
      <alignment horizontal="center"/>
    </xf>
    <xf numFmtId="0" fontId="0" fillId="0" borderId="0" xfId="0" pivotButton="1"/>
    <xf numFmtId="165" fontId="0" fillId="0" borderId="0" xfId="0" applyNumberFormat="1"/>
    <xf numFmtId="166" fontId="0" fillId="0" borderId="0" xfId="0" applyNumberForma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4" fillId="3" borderId="0" xfId="0" applyFont="1" applyFill="1" applyAlignment="1">
      <alignment horizontal="center" vertical="center"/>
    </xf>
    <xf numFmtId="9" fontId="3" fillId="3" borderId="0" xfId="1" applyFont="1" applyFill="1" applyAlignment="1">
      <alignment horizontal="center" vertical="center"/>
    </xf>
    <xf numFmtId="166" fontId="3" fillId="3" borderId="0" xfId="0" applyNumberFormat="1" applyFont="1" applyFill="1" applyAlignment="1">
      <alignment horizontal="center" vertical="center"/>
    </xf>
    <xf numFmtId="0" fontId="4" fillId="4" borderId="0" xfId="0" applyFont="1" applyFill="1" applyAlignment="1">
      <alignment horizontal="center" vertical="center"/>
    </xf>
    <xf numFmtId="166" fontId="3" fillId="4" borderId="0" xfId="0" applyNumberFormat="1" applyFont="1" applyFill="1" applyAlignment="1">
      <alignment horizontal="center" vertical="center"/>
    </xf>
    <xf numFmtId="9" fontId="3" fillId="4" borderId="0" xfId="1" applyFont="1" applyFill="1" applyAlignment="1">
      <alignment horizontal="center" vertical="center"/>
    </xf>
    <xf numFmtId="0" fontId="8" fillId="0" borderId="8" xfId="0" applyFont="1" applyBorder="1" applyAlignment="1">
      <alignment horizontal="left" vertical="center"/>
    </xf>
    <xf numFmtId="0" fontId="8" fillId="0" borderId="8" xfId="0" applyFont="1" applyBorder="1" applyAlignment="1">
      <alignment horizontal="right" vertical="center"/>
    </xf>
    <xf numFmtId="0" fontId="8" fillId="0" borderId="10" xfId="0" applyFont="1" applyBorder="1" applyAlignment="1">
      <alignment horizontal="left" vertical="center"/>
    </xf>
    <xf numFmtId="0" fontId="8" fillId="0" borderId="10" xfId="0" applyFont="1" applyBorder="1" applyAlignment="1">
      <alignment horizontal="right" vertical="center"/>
    </xf>
    <xf numFmtId="164" fontId="8" fillId="0" borderId="10" xfId="0" applyNumberFormat="1" applyFont="1" applyBorder="1" applyAlignment="1">
      <alignment horizontal="right" vertical="center"/>
    </xf>
    <xf numFmtId="9" fontId="8" fillId="0" borderId="10" xfId="1" applyFont="1" applyBorder="1" applyAlignment="1">
      <alignment horizontal="right" vertical="center"/>
    </xf>
    <xf numFmtId="0" fontId="8" fillId="0" borderId="3" xfId="0" applyFont="1" applyBorder="1" applyAlignment="1">
      <alignment horizontal="left" vertical="center"/>
    </xf>
    <xf numFmtId="9" fontId="8" fillId="0" borderId="3" xfId="1" applyFont="1" applyBorder="1" applyAlignment="1">
      <alignment horizontal="right" vertical="center"/>
    </xf>
    <xf numFmtId="0" fontId="7" fillId="0" borderId="0" xfId="0" applyFont="1" applyAlignment="1">
      <alignment horizontal="center"/>
    </xf>
    <xf numFmtId="0" fontId="8" fillId="0" borderId="0" xfId="0" applyFont="1" applyAlignment="1">
      <alignment horizontal="left" vertical="center"/>
    </xf>
    <xf numFmtId="1" fontId="9" fillId="2" borderId="1" xfId="0" applyNumberFormat="1" applyFont="1" applyFill="1" applyBorder="1" applyAlignment="1">
      <alignment horizontal="center" vertical="center"/>
    </xf>
    <xf numFmtId="0" fontId="10" fillId="0" borderId="8" xfId="0" applyFont="1" applyBorder="1"/>
    <xf numFmtId="0" fontId="10" fillId="0" borderId="10" xfId="0" applyFont="1" applyBorder="1"/>
    <xf numFmtId="0" fontId="10" fillId="0" borderId="3" xfId="0" applyFont="1" applyBorder="1"/>
    <xf numFmtId="1" fontId="2" fillId="2" borderId="12" xfId="0" applyNumberFormat="1" applyFont="1" applyFill="1" applyBorder="1" applyAlignment="1">
      <alignment horizontal="center"/>
    </xf>
    <xf numFmtId="0" fontId="7" fillId="0" borderId="11" xfId="0" applyFont="1" applyBorder="1" applyAlignment="1">
      <alignment horizontal="center"/>
    </xf>
    <xf numFmtId="0" fontId="7" fillId="0" borderId="0" xfId="0" applyFont="1" applyAlignment="1">
      <alignment horizontal="center"/>
    </xf>
    <xf numFmtId="0" fontId="11" fillId="6" borderId="0" xfId="0" applyFont="1" applyFill="1" applyAlignment="1">
      <alignment horizontal="center"/>
    </xf>
    <xf numFmtId="0" fontId="7" fillId="0" borderId="12" xfId="0" applyFont="1" applyBorder="1" applyAlignment="1">
      <alignment horizontal="center"/>
    </xf>
    <xf numFmtId="0" fontId="7" fillId="0" borderId="13" xfId="0" applyFont="1" applyBorder="1" applyAlignment="1">
      <alignment horizontal="center"/>
    </xf>
    <xf numFmtId="0" fontId="7" fillId="0" borderId="14" xfId="0" applyFont="1" applyBorder="1" applyAlignment="1">
      <alignment horizontal="center"/>
    </xf>
    <xf numFmtId="0" fontId="5" fillId="0" borderId="0" xfId="0" applyFont="1" applyAlignment="1">
      <alignment horizontal="center"/>
    </xf>
    <xf numFmtId="0" fontId="6" fillId="5" borderId="0" xfId="0" applyFont="1" applyFill="1" applyAlignment="1">
      <alignment horizontal="center" vertical="center"/>
    </xf>
    <xf numFmtId="0" fontId="0" fillId="0" borderId="0" xfId="0" applyNumberForma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applyAlignment="1">
      <alignment horizontal="center"/>
    </xf>
    <xf numFmtId="1" fontId="9" fillId="2" borderId="1" xfId="0" applyNumberFormat="1" applyFont="1" applyFill="1" applyBorder="1" applyAlignment="1">
      <alignment horizontal="center"/>
    </xf>
    <xf numFmtId="0" fontId="7" fillId="0" borderId="0" xfId="0" applyFont="1" applyBorder="1" applyAlignment="1">
      <alignment horizontal="center"/>
    </xf>
    <xf numFmtId="1" fontId="2" fillId="0" borderId="0" xfId="0" applyNumberFormat="1" applyFont="1" applyFill="1" applyBorder="1" applyAlignment="1">
      <alignment horizontal="center"/>
    </xf>
    <xf numFmtId="0" fontId="0" fillId="0" borderId="15" xfId="0" applyBorder="1"/>
    <xf numFmtId="17" fontId="0" fillId="0" borderId="15" xfId="0" applyNumberFormat="1" applyBorder="1"/>
    <xf numFmtId="1" fontId="0" fillId="0" borderId="15" xfId="0" applyNumberFormat="1" applyBorder="1"/>
  </cellXfs>
  <cellStyles count="2">
    <cellStyle name="Normal" xfId="0" builtinId="0"/>
    <cellStyle name="Percent" xfId="1" builtinId="5"/>
  </cellStyles>
  <dxfs count="21">
    <dxf>
      <numFmt numFmtId="2" formatCode="0.00"/>
    </dxf>
    <dxf>
      <numFmt numFmtId="2" formatCode="0.00"/>
    </dxf>
    <dxf>
      <numFmt numFmtId="165" formatCode="[$$-409]#,##0.00"/>
    </dxf>
    <dxf>
      <numFmt numFmtId="2" formatCode="0.00"/>
    </dxf>
    <dxf>
      <numFmt numFmtId="2" formatCode="0.00"/>
    </dxf>
    <dxf>
      <numFmt numFmtId="165" formatCode="[$$-409]#,##0.00"/>
    </dxf>
    <dxf>
      <numFmt numFmtId="2" formatCode="0.00"/>
    </dxf>
    <dxf>
      <numFmt numFmtId="2" formatCode="0.00"/>
    </dxf>
    <dxf>
      <numFmt numFmtId="165" formatCode="[$$-409]#,##0.00"/>
    </dxf>
    <dxf>
      <numFmt numFmtId="2" formatCode="0.00"/>
    </dxf>
    <dxf>
      <numFmt numFmtId="2" formatCode="0.00"/>
    </dxf>
    <dxf>
      <numFmt numFmtId="165" formatCode="[$$-409]#,##0.00"/>
    </dxf>
    <dxf>
      <numFmt numFmtId="165" formatCode="[$$-409]#,##0.00"/>
    </dxf>
    <dxf>
      <numFmt numFmtId="2" formatCode="0.00"/>
    </dxf>
    <dxf>
      <numFmt numFmtId="2" formatCode="0.00"/>
    </dxf>
    <dxf>
      <numFmt numFmtId="2" formatCode="0.00"/>
    </dxf>
    <dxf>
      <numFmt numFmtId="166" formatCode="[$$-409]#,##0"/>
    </dxf>
    <dxf>
      <numFmt numFmtId="2" formatCode="0.00"/>
    </dxf>
    <dxf>
      <numFmt numFmtId="19" formatCode="dd/mm/yyyy"/>
    </dxf>
    <dxf>
      <numFmt numFmtId="20" formatCode="dd/mmm/yy"/>
    </dxf>
    <dxf>
      <numFmt numFmtId="164" formatCode="_-[$$-409]* #,##0.00_ ;_-[$$-409]* \-#,##0.0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1.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Vs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All_Staff!$K$1</c:f>
              <c:strCache>
                <c:ptCount val="1"/>
                <c:pt idx="0">
                  <c:v>Rating as Number</c:v>
                </c:pt>
              </c:strCache>
            </c:strRef>
          </c:tx>
          <c:spPr>
            <a:ln w="19050" cap="rnd">
              <a:noFill/>
              <a:round/>
            </a:ln>
            <a:effectLst/>
          </c:spPr>
          <c:marker>
            <c:symbol val="circle"/>
            <c:size val="5"/>
            <c:spPr>
              <a:solidFill>
                <a:schemeClr val="accent1"/>
              </a:solidFill>
              <a:ln w="9525">
                <a:solidFill>
                  <a:schemeClr val="accent1"/>
                </a:solidFill>
              </a:ln>
              <a:effectLst/>
            </c:spPr>
          </c:marker>
          <c:xVal>
            <c:numRef>
              <c:f>All_Staff!$G$2:$G$185</c:f>
              <c:numCache>
                <c:formatCode>General</c:formatCode>
                <c:ptCount val="184"/>
                <c:pt idx="0">
                  <c:v>33920</c:v>
                </c:pt>
                <c:pt idx="1">
                  <c:v>33920</c:v>
                </c:pt>
                <c:pt idx="2">
                  <c:v>34980</c:v>
                </c:pt>
                <c:pt idx="3">
                  <c:v>34980</c:v>
                </c:pt>
                <c:pt idx="4">
                  <c:v>36040</c:v>
                </c:pt>
                <c:pt idx="5">
                  <c:v>25000</c:v>
                </c:pt>
                <c:pt idx="6">
                  <c:v>19320</c:v>
                </c:pt>
                <c:pt idx="7">
                  <c:v>37920</c:v>
                </c:pt>
                <c:pt idx="8">
                  <c:v>40400</c:v>
                </c:pt>
                <c:pt idx="9">
                  <c:v>40400</c:v>
                </c:pt>
                <c:pt idx="10">
                  <c:v>41570</c:v>
                </c:pt>
                <c:pt idx="11">
                  <c:v>41570</c:v>
                </c:pt>
                <c:pt idx="12">
                  <c:v>41980</c:v>
                </c:pt>
                <c:pt idx="13">
                  <c:v>41980</c:v>
                </c:pt>
                <c:pt idx="14">
                  <c:v>43510</c:v>
                </c:pt>
                <c:pt idx="15">
                  <c:v>43510</c:v>
                </c:pt>
                <c:pt idx="16">
                  <c:v>43840</c:v>
                </c:pt>
                <c:pt idx="17">
                  <c:v>43840</c:v>
                </c:pt>
                <c:pt idx="18">
                  <c:v>45510</c:v>
                </c:pt>
                <c:pt idx="19">
                  <c:v>45510</c:v>
                </c:pt>
                <c:pt idx="20">
                  <c:v>47360</c:v>
                </c:pt>
                <c:pt idx="21">
                  <c:v>47360</c:v>
                </c:pt>
                <c:pt idx="22">
                  <c:v>48170</c:v>
                </c:pt>
                <c:pt idx="23">
                  <c:v>48170</c:v>
                </c:pt>
                <c:pt idx="24">
                  <c:v>48530</c:v>
                </c:pt>
                <c:pt idx="25">
                  <c:v>48530</c:v>
                </c:pt>
                <c:pt idx="26">
                  <c:v>48950</c:v>
                </c:pt>
                <c:pt idx="27">
                  <c:v>48950</c:v>
                </c:pt>
                <c:pt idx="28">
                  <c:v>48980</c:v>
                </c:pt>
                <c:pt idx="29">
                  <c:v>48980</c:v>
                </c:pt>
                <c:pt idx="30">
                  <c:v>49630</c:v>
                </c:pt>
                <c:pt idx="31">
                  <c:v>49630</c:v>
                </c:pt>
                <c:pt idx="32">
                  <c:v>52610</c:v>
                </c:pt>
                <c:pt idx="33">
                  <c:v>52610</c:v>
                </c:pt>
                <c:pt idx="34">
                  <c:v>53240</c:v>
                </c:pt>
                <c:pt idx="35">
                  <c:v>53240</c:v>
                </c:pt>
                <c:pt idx="36">
                  <c:v>53540</c:v>
                </c:pt>
                <c:pt idx="37">
                  <c:v>53540</c:v>
                </c:pt>
                <c:pt idx="38">
                  <c:v>53540</c:v>
                </c:pt>
                <c:pt idx="39">
                  <c:v>53540</c:v>
                </c:pt>
                <c:pt idx="40">
                  <c:v>53870</c:v>
                </c:pt>
                <c:pt idx="41">
                  <c:v>53870</c:v>
                </c:pt>
                <c:pt idx="42">
                  <c:v>54970</c:v>
                </c:pt>
                <c:pt idx="43">
                  <c:v>54970</c:v>
                </c:pt>
                <c:pt idx="44">
                  <c:v>56870</c:v>
                </c:pt>
                <c:pt idx="45">
                  <c:v>56870</c:v>
                </c:pt>
                <c:pt idx="46">
                  <c:v>57090</c:v>
                </c:pt>
                <c:pt idx="47">
                  <c:v>57090</c:v>
                </c:pt>
                <c:pt idx="48">
                  <c:v>58100</c:v>
                </c:pt>
                <c:pt idx="49">
                  <c:v>58100</c:v>
                </c:pt>
                <c:pt idx="50">
                  <c:v>58940</c:v>
                </c:pt>
                <c:pt idx="51">
                  <c:v>58940</c:v>
                </c:pt>
                <c:pt idx="52">
                  <c:v>58960</c:v>
                </c:pt>
                <c:pt idx="53">
                  <c:v>58960</c:v>
                </c:pt>
                <c:pt idx="54">
                  <c:v>59430</c:v>
                </c:pt>
                <c:pt idx="55">
                  <c:v>59430</c:v>
                </c:pt>
                <c:pt idx="56">
                  <c:v>60130</c:v>
                </c:pt>
                <c:pt idx="57">
                  <c:v>60130</c:v>
                </c:pt>
                <c:pt idx="58">
                  <c:v>60570</c:v>
                </c:pt>
                <c:pt idx="59">
                  <c:v>60570</c:v>
                </c:pt>
                <c:pt idx="60">
                  <c:v>62780</c:v>
                </c:pt>
                <c:pt idx="61">
                  <c:v>62780</c:v>
                </c:pt>
                <c:pt idx="62">
                  <c:v>64000</c:v>
                </c:pt>
                <c:pt idx="63">
                  <c:v>64000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132000</c:v>
                </c:pt>
                <c:pt idx="179">
                  <c:v>148000</c:v>
                </c:pt>
                <c:pt idx="180">
                  <c:v>137000</c:v>
                </c:pt>
                <c:pt idx="181">
                  <c:v>119110</c:v>
                </c:pt>
                <c:pt idx="182">
                  <c:v>119110</c:v>
                </c:pt>
              </c:numCache>
            </c:numRef>
          </c:xVal>
          <c:yVal>
            <c:numRef>
              <c:f>All_Staff!$K$2:$K$185</c:f>
              <c:numCache>
                <c:formatCode>0.00</c:formatCode>
                <c:ptCount val="184"/>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4</c:v>
                </c:pt>
                <c:pt idx="18">
                  <c:v>3</c:v>
                </c:pt>
                <c:pt idx="19">
                  <c:v>3</c:v>
                </c:pt>
                <c:pt idx="20">
                  <c:v>3</c:v>
                </c:pt>
                <c:pt idx="21">
                  <c:v>3</c:v>
                </c:pt>
                <c:pt idx="22">
                  <c:v>4</c:v>
                </c:pt>
                <c:pt idx="23">
                  <c:v>4</c:v>
                </c:pt>
                <c:pt idx="24">
                  <c:v>4</c:v>
                </c:pt>
                <c:pt idx="25">
                  <c:v>4</c:v>
                </c:pt>
                <c:pt idx="26">
                  <c:v>3</c:v>
                </c:pt>
                <c:pt idx="27">
                  <c:v>3</c:v>
                </c:pt>
                <c:pt idx="28">
                  <c:v>3</c:v>
                </c:pt>
                <c:pt idx="29">
                  <c:v>3</c:v>
                </c:pt>
                <c:pt idx="30">
                  <c:v>2</c:v>
                </c:pt>
                <c:pt idx="31">
                  <c:v>2</c:v>
                </c:pt>
                <c:pt idx="32">
                  <c:v>2</c:v>
                </c:pt>
                <c:pt idx="33">
                  <c:v>2</c:v>
                </c:pt>
                <c:pt idx="34">
                  <c:v>3</c:v>
                </c:pt>
                <c:pt idx="35">
                  <c:v>3</c:v>
                </c:pt>
                <c:pt idx="36">
                  <c:v>3</c:v>
                </c:pt>
                <c:pt idx="37">
                  <c:v>3</c:v>
                </c:pt>
                <c:pt idx="38">
                  <c:v>3</c:v>
                </c:pt>
                <c:pt idx="39">
                  <c:v>3</c:v>
                </c:pt>
                <c:pt idx="40">
                  <c:v>3</c:v>
                </c:pt>
                <c:pt idx="41">
                  <c:v>3</c:v>
                </c:pt>
                <c:pt idx="42">
                  <c:v>3</c:v>
                </c:pt>
                <c:pt idx="43">
                  <c:v>3</c:v>
                </c:pt>
                <c:pt idx="44">
                  <c:v>4</c:v>
                </c:pt>
                <c:pt idx="45">
                  <c:v>4</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FF24-4E59-85AF-DEEDFD53B6A5}"/>
            </c:ext>
          </c:extLst>
        </c:ser>
        <c:dLbls>
          <c:showLegendKey val="0"/>
          <c:showVal val="0"/>
          <c:showCatName val="0"/>
          <c:showSerName val="0"/>
          <c:showPercent val="0"/>
          <c:showBubbleSize val="0"/>
        </c:dLbls>
        <c:axId val="1604836624"/>
        <c:axId val="1604837104"/>
      </c:scatterChart>
      <c:valAx>
        <c:axId val="1604836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4837104"/>
        <c:crosses val="autoZero"/>
        <c:crossBetween val="midCat"/>
      </c:valAx>
      <c:valAx>
        <c:axId val="160483710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48366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'Company Growth'!$L$6</c:f>
              <c:strCache>
                <c:ptCount val="1"/>
                <c:pt idx="0">
                  <c:v>Running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'Company Growth'!$J$7:$J$42</c:f>
              <c:numCache>
                <c:formatCode>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'Company Growth'!$L$7:$L$42</c:f>
              <c:numCache>
                <c:formatCode>0</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DF84-4D7D-86E2-86CD8DDD54DC}"/>
            </c:ext>
          </c:extLst>
        </c:ser>
        <c:dLbls>
          <c:showLegendKey val="0"/>
          <c:showVal val="0"/>
          <c:showCatName val="0"/>
          <c:showSerName val="0"/>
          <c:showPercent val="0"/>
          <c:showBubbleSize val="0"/>
        </c:dLbls>
        <c:marker val="1"/>
        <c:smooth val="0"/>
        <c:axId val="302549488"/>
        <c:axId val="302552848"/>
      </c:lineChart>
      <c:dateAx>
        <c:axId val="302549488"/>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552848"/>
        <c:crosses val="autoZero"/>
        <c:auto val="1"/>
        <c:lblOffset val="100"/>
        <c:baseTimeUnit val="months"/>
      </c:dateAx>
      <c:valAx>
        <c:axId val="3025528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549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[blank-data-file.xlsx]Sheet6!PivotTable3</c:name>
    <c:fmtId val="7"/>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Sheet6!$D$4</c:f>
              <c:strCache>
                <c:ptCount val="1"/>
                <c:pt idx="0">
                  <c:v>Total</c:v>
                </c:pt>
              </c:strCache>
            </c:strRef>
          </c:tx>
          <c:spPr>
            <a:solidFill>
              <a:schemeClr val="accent2"/>
            </a:solidFill>
            <a:ln>
              <a:noFill/>
            </a:ln>
            <a:effectLst/>
          </c:spPr>
          <c:invertIfNegative val="0"/>
          <c:cat>
            <c:strRef>
              <c:f>Sheet6!$C$5:$C$10</c:f>
              <c:strCache>
                <c:ptCount val="5"/>
                <c:pt idx="0">
                  <c:v>Procurement</c:v>
                </c:pt>
                <c:pt idx="1">
                  <c:v>Website</c:v>
                </c:pt>
                <c:pt idx="2">
                  <c:v>Finance</c:v>
                </c:pt>
                <c:pt idx="3">
                  <c:v>Sales</c:v>
                </c:pt>
                <c:pt idx="4">
                  <c:v>HR</c:v>
                </c:pt>
              </c:strCache>
            </c:strRef>
          </c:cat>
          <c:val>
            <c:numRef>
              <c:f>Sheet6!$D$5:$D$10</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969D-4DE9-85F0-172CAFB35057}"/>
            </c:ext>
          </c:extLst>
        </c:ser>
        <c:dLbls>
          <c:showLegendKey val="0"/>
          <c:showVal val="0"/>
          <c:showCatName val="0"/>
          <c:showSerName val="0"/>
          <c:showPercent val="0"/>
          <c:showBubbleSize val="0"/>
        </c:dLbls>
        <c:gapWidth val="50"/>
        <c:axId val="1357555616"/>
        <c:axId val="1357537856"/>
      </c:barChart>
      <c:catAx>
        <c:axId val="135755561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357537856"/>
        <c:crosses val="autoZero"/>
        <c:auto val="1"/>
        <c:lblAlgn val="ctr"/>
        <c:lblOffset val="100"/>
        <c:noMultiLvlLbl val="0"/>
      </c:catAx>
      <c:valAx>
        <c:axId val="1357537856"/>
        <c:scaling>
          <c:orientation val="minMax"/>
        </c:scaling>
        <c:delete val="0"/>
        <c:axPos val="t"/>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357555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[blank-data-file.xlsx]Sheet6!PivotTable5</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Sheet6!$G$4</c:f>
              <c:strCache>
                <c:ptCount val="1"/>
                <c:pt idx="0">
                  <c:v>Total</c:v>
                </c:pt>
              </c:strCache>
            </c:strRef>
          </c:tx>
          <c:spPr>
            <a:solidFill>
              <a:schemeClr val="accent5">
                <a:lumMod val="75000"/>
              </a:schemeClr>
            </a:solidFill>
            <a:ln>
              <a:noFill/>
            </a:ln>
            <a:effectLst/>
          </c:spPr>
          <c:invertIfNegative val="0"/>
          <c:cat>
            <c:strRef>
              <c:f>Sheet6!$F$5:$F$10</c:f>
              <c:strCache>
                <c:ptCount val="5"/>
                <c:pt idx="0">
                  <c:v>Website</c:v>
                </c:pt>
                <c:pt idx="1">
                  <c:v>Procurement</c:v>
                </c:pt>
                <c:pt idx="2">
                  <c:v>Finance</c:v>
                </c:pt>
                <c:pt idx="3">
                  <c:v>Sales</c:v>
                </c:pt>
                <c:pt idx="4">
                  <c:v>HR</c:v>
                </c:pt>
              </c:strCache>
            </c:strRef>
          </c:cat>
          <c:val>
            <c:numRef>
              <c:f>Sheet6!$G$5:$G$10</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E6AF-426D-9DFB-A8C6859AB59C}"/>
            </c:ext>
          </c:extLst>
        </c:ser>
        <c:dLbls>
          <c:showLegendKey val="0"/>
          <c:showVal val="0"/>
          <c:showCatName val="0"/>
          <c:showSerName val="0"/>
          <c:showPercent val="0"/>
          <c:showBubbleSize val="0"/>
        </c:dLbls>
        <c:gapWidth val="50"/>
        <c:axId val="1357545536"/>
        <c:axId val="1357562816"/>
      </c:barChart>
      <c:catAx>
        <c:axId val="1357545536"/>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562816"/>
        <c:crosses val="autoZero"/>
        <c:auto val="1"/>
        <c:lblAlgn val="ctr"/>
        <c:lblOffset val="100"/>
        <c:noMultiLvlLbl val="0"/>
      </c:catAx>
      <c:valAx>
        <c:axId val="1357562816"/>
        <c:scaling>
          <c:orientation val="minMax"/>
        </c:scaling>
        <c:delete val="0"/>
        <c:axPos val="t"/>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545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[blank-data-file.xlsx]Sheet6!PivotTable3</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Sheet6!$D$4</c:f>
              <c:strCache>
                <c:ptCount val="1"/>
                <c:pt idx="0">
                  <c:v>Total</c:v>
                </c:pt>
              </c:strCache>
            </c:strRef>
          </c:tx>
          <c:spPr>
            <a:solidFill>
              <a:schemeClr val="accent2"/>
            </a:solidFill>
            <a:ln>
              <a:noFill/>
            </a:ln>
            <a:effectLst/>
          </c:spPr>
          <c:invertIfNegative val="0"/>
          <c:cat>
            <c:strRef>
              <c:f>Sheet6!$C$5:$C$10</c:f>
              <c:strCache>
                <c:ptCount val="5"/>
                <c:pt idx="0">
                  <c:v>Procurement</c:v>
                </c:pt>
                <c:pt idx="1">
                  <c:v>Website</c:v>
                </c:pt>
                <c:pt idx="2">
                  <c:v>Finance</c:v>
                </c:pt>
                <c:pt idx="3">
                  <c:v>Sales</c:v>
                </c:pt>
                <c:pt idx="4">
                  <c:v>HR</c:v>
                </c:pt>
              </c:strCache>
            </c:strRef>
          </c:cat>
          <c:val>
            <c:numRef>
              <c:f>Sheet6!$D$5:$D$10</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FF33-4BD7-B280-8AE36485E21C}"/>
            </c:ext>
          </c:extLst>
        </c:ser>
        <c:dLbls>
          <c:showLegendKey val="0"/>
          <c:showVal val="0"/>
          <c:showCatName val="0"/>
          <c:showSerName val="0"/>
          <c:showPercent val="0"/>
          <c:showBubbleSize val="0"/>
        </c:dLbls>
        <c:gapWidth val="182"/>
        <c:axId val="1357555616"/>
        <c:axId val="1357537856"/>
      </c:barChart>
      <c:catAx>
        <c:axId val="13575556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537856"/>
        <c:crosses val="autoZero"/>
        <c:auto val="1"/>
        <c:lblAlgn val="ctr"/>
        <c:lblOffset val="100"/>
        <c:noMultiLvlLbl val="0"/>
      </c:catAx>
      <c:valAx>
        <c:axId val="13575378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555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[blank-data-file.xlsx]Sheet6!PivotTable5</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Sheet6!$G$4</c:f>
              <c:strCache>
                <c:ptCount val="1"/>
                <c:pt idx="0">
                  <c:v>Total</c:v>
                </c:pt>
              </c:strCache>
            </c:strRef>
          </c:tx>
          <c:spPr>
            <a:solidFill>
              <a:schemeClr val="accent1"/>
            </a:solidFill>
            <a:ln>
              <a:noFill/>
            </a:ln>
            <a:effectLst/>
          </c:spPr>
          <c:invertIfNegative val="0"/>
          <c:cat>
            <c:strRef>
              <c:f>Sheet6!$F$5:$F$10</c:f>
              <c:strCache>
                <c:ptCount val="5"/>
                <c:pt idx="0">
                  <c:v>Website</c:v>
                </c:pt>
                <c:pt idx="1">
                  <c:v>Procurement</c:v>
                </c:pt>
                <c:pt idx="2">
                  <c:v>Finance</c:v>
                </c:pt>
                <c:pt idx="3">
                  <c:v>Sales</c:v>
                </c:pt>
                <c:pt idx="4">
                  <c:v>HR</c:v>
                </c:pt>
              </c:strCache>
            </c:strRef>
          </c:cat>
          <c:val>
            <c:numRef>
              <c:f>Sheet6!$G$5:$G$10</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5B51-4046-9402-A799D2509F8C}"/>
            </c:ext>
          </c:extLst>
        </c:ser>
        <c:dLbls>
          <c:showLegendKey val="0"/>
          <c:showVal val="0"/>
          <c:showCatName val="0"/>
          <c:showSerName val="0"/>
          <c:showPercent val="0"/>
          <c:showBubbleSize val="0"/>
        </c:dLbls>
        <c:gapWidth val="182"/>
        <c:axId val="1357545536"/>
        <c:axId val="1357562816"/>
      </c:barChart>
      <c:catAx>
        <c:axId val="1357545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562816"/>
        <c:crosses val="autoZero"/>
        <c:auto val="1"/>
        <c:lblAlgn val="ctr"/>
        <c:lblOffset val="100"/>
        <c:noMultiLvlLbl val="0"/>
      </c:catAx>
      <c:valAx>
        <c:axId val="13575628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545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 by $10k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by $10k</a:t>
          </a:r>
        </a:p>
      </cx:txPr>
    </cx:title>
    <cx:plotArea>
      <cx:plotAreaRegion>
        <cx:series layoutId="clusteredColumn" uniqueId="{17B51505-0165-45CA-A73F-0C93ABA43857}">
          <cx:tx>
            <cx:txData>
              <cx:f>_xlchart.v1.0</cx:f>
              <cx:v>Salary</cx:v>
            </cx:txData>
          </cx:tx>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Salary Spread -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Box Plot</a:t>
          </a:r>
        </a:p>
      </cx:txPr>
    </cx:title>
    <cx:plotArea>
      <cx:plotAreaRegion>
        <cx:series layoutId="boxWhisker" uniqueId="{C6F2F62B-44C3-465E-A999-9AEC16415E51}">
          <cx:tx>
            <cx:txData>
              <cx:f>_xlchart.v1.2</cx:f>
              <cx:v>Salary</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5</xdr:col>
      <xdr:colOff>177800</xdr:colOff>
      <xdr:row>8</xdr:row>
      <xdr:rowOff>6351</xdr:rowOff>
    </xdr:from>
    <xdr:to>
      <xdr:col>6</xdr:col>
      <xdr:colOff>781050</xdr:colOff>
      <xdr:row>14</xdr:row>
      <xdr:rowOff>31750</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A60F94AA-BFAE-C3B0-B0AF-BD1C904EDAF1}"/>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3670300" y="889001"/>
              <a:ext cx="1352550" cy="11302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25400</xdr:colOff>
      <xdr:row>7</xdr:row>
      <xdr:rowOff>6350</xdr:rowOff>
    </xdr:from>
    <xdr:to>
      <xdr:col>11</xdr:col>
      <xdr:colOff>0</xdr:colOff>
      <xdr:row>21</xdr:row>
      <xdr:rowOff>165100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DA7C63F-869D-422F-B57E-B90DDB3A675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35000" y="838200"/>
              <a:ext cx="6070600" cy="27368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25400</xdr:colOff>
      <xdr:row>7</xdr:row>
      <xdr:rowOff>6350</xdr:rowOff>
    </xdr:from>
    <xdr:to>
      <xdr:col>15</xdr:col>
      <xdr:colOff>596900</xdr:colOff>
      <xdr:row>21</xdr:row>
      <xdr:rowOff>171450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E1E1F475-E698-4190-9802-B8FA4FEEB7C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731000" y="838200"/>
              <a:ext cx="30099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368300</xdr:colOff>
      <xdr:row>5</xdr:row>
      <xdr:rowOff>6350</xdr:rowOff>
    </xdr:from>
    <xdr:to>
      <xdr:col>12</xdr:col>
      <xdr:colOff>12700</xdr:colOff>
      <xdr:row>18</xdr:row>
      <xdr:rowOff>127000</xdr:rowOff>
    </xdr:to>
    <xdr:graphicFrame macro="">
      <xdr:nvGraphicFramePr>
        <xdr:cNvPr id="2" name="Chart 1">
          <a:extLst>
            <a:ext uri="{FF2B5EF4-FFF2-40B4-BE49-F238E27FC236}">
              <a16:creationId xmlns:a16="http://schemas.microsoft.com/office/drawing/2014/main" id="{CE216A5E-510D-4631-81BD-6317A7E93D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57729</xdr:colOff>
      <xdr:row>5</xdr:row>
      <xdr:rowOff>39512</xdr:rowOff>
    </xdr:from>
    <xdr:to>
      <xdr:col>7</xdr:col>
      <xdr:colOff>372020</xdr:colOff>
      <xdr:row>17</xdr:row>
      <xdr:rowOff>19243</xdr:rowOff>
    </xdr:to>
    <xdr:graphicFrame macro="">
      <xdr:nvGraphicFramePr>
        <xdr:cNvPr id="3" name="Chart 2">
          <a:extLst>
            <a:ext uri="{FF2B5EF4-FFF2-40B4-BE49-F238E27FC236}">
              <a16:creationId xmlns:a16="http://schemas.microsoft.com/office/drawing/2014/main" id="{E11DED12-B2E2-BA9F-64F2-4ED2214BE2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6350</xdr:colOff>
      <xdr:row>11</xdr:row>
      <xdr:rowOff>6350</xdr:rowOff>
    </xdr:from>
    <xdr:to>
      <xdr:col>14</xdr:col>
      <xdr:colOff>6350</xdr:colOff>
      <xdr:row>25</xdr:row>
      <xdr:rowOff>152400</xdr:rowOff>
    </xdr:to>
    <xdr:graphicFrame macro="">
      <xdr:nvGraphicFramePr>
        <xdr:cNvPr id="2" name="Chart 1">
          <a:extLst>
            <a:ext uri="{FF2B5EF4-FFF2-40B4-BE49-F238E27FC236}">
              <a16:creationId xmlns:a16="http://schemas.microsoft.com/office/drawing/2014/main" id="{70EFF42C-9D44-433E-9BDF-7996C02189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19050</xdr:colOff>
      <xdr:row>11</xdr:row>
      <xdr:rowOff>0</xdr:rowOff>
    </xdr:from>
    <xdr:to>
      <xdr:col>7</xdr:col>
      <xdr:colOff>12700</xdr:colOff>
      <xdr:row>25</xdr:row>
      <xdr:rowOff>0</xdr:rowOff>
    </xdr:to>
    <xdr:graphicFrame macro="">
      <xdr:nvGraphicFramePr>
        <xdr:cNvPr id="4" name="Chart 3">
          <a:extLst>
            <a:ext uri="{FF2B5EF4-FFF2-40B4-BE49-F238E27FC236}">
              <a16:creationId xmlns:a16="http://schemas.microsoft.com/office/drawing/2014/main" id="{B5B76CB0-C94E-154F-AEA9-3B8954643B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203200</xdr:colOff>
      <xdr:row>12</xdr:row>
      <xdr:rowOff>95250</xdr:rowOff>
    </xdr:from>
    <xdr:to>
      <xdr:col>6</xdr:col>
      <xdr:colOff>273050</xdr:colOff>
      <xdr:row>27</xdr:row>
      <xdr:rowOff>76200</xdr:rowOff>
    </xdr:to>
    <xdr:graphicFrame macro="">
      <xdr:nvGraphicFramePr>
        <xdr:cNvPr id="2" name="Chart 1">
          <a:extLst>
            <a:ext uri="{FF2B5EF4-FFF2-40B4-BE49-F238E27FC236}">
              <a16:creationId xmlns:a16="http://schemas.microsoft.com/office/drawing/2014/main" id="{A3C4DDE0-A3B9-727F-052C-14D22967F1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539750</xdr:colOff>
      <xdr:row>12</xdr:row>
      <xdr:rowOff>25400</xdr:rowOff>
    </xdr:from>
    <xdr:to>
      <xdr:col>13</xdr:col>
      <xdr:colOff>508000</xdr:colOff>
      <xdr:row>27</xdr:row>
      <xdr:rowOff>6350</xdr:rowOff>
    </xdr:to>
    <xdr:graphicFrame macro="">
      <xdr:nvGraphicFramePr>
        <xdr:cNvPr id="3" name="Chart 2">
          <a:extLst>
            <a:ext uri="{FF2B5EF4-FFF2-40B4-BE49-F238E27FC236}">
              <a16:creationId xmlns:a16="http://schemas.microsoft.com/office/drawing/2014/main" id="{14D61BD9-1B0A-6E05-FC49-7731DA70E6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HINI" refreshedDate="45451.818204050927" backgroundQuery="1" createdVersion="8" refreshedVersion="8" minRefreshableVersion="3" recordCount="0" supportSubquery="1" supportAdvancedDrill="1" xr:uid="{50D82A10-8E9D-4E89-BC85-5CFDB9DB0E04}">
  <cacheSource type="external" connectionId="4"/>
  <cacheFields count="3">
    <cacheField name="[Staff].[Department].[Department]" caption="Department" numFmtId="0" hierarchy="5" level="1">
      <sharedItems count="5">
        <s v="Finance"/>
        <s v="HR"/>
        <s v="Procurement"/>
        <s v="Sales"/>
        <s v="Website"/>
      </sharedItems>
    </cacheField>
    <cacheField name="[Measures].[Count of Name]" caption="Count of Name" numFmtId="0" hierarchy="15" level="32767"/>
    <cacheField name="[Staff].[Country].[Country]" caption="Country" numFmtId="0" hierarchy="7" level="1">
      <sharedItems containsSemiMixedTypes="0" containsNonDate="0" containsString="0"/>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HINI" refreshedDate="45451.818205324074" backgroundQuery="1" createdVersion="8" refreshedVersion="8" minRefreshableVersion="3" recordCount="0" supportSubquery="1" supportAdvancedDrill="1" xr:uid="{C5FC3D7D-5928-4C92-9BD7-7D1A56C38823}">
  <cacheSource type="external" connectionId="4"/>
  <cacheFields count="3">
    <cacheField name="[Staff].[Department].[Department]" caption="Department" numFmtId="0" hierarchy="5" level="1">
      <sharedItems count="5">
        <s v="Finance"/>
        <s v="HR"/>
        <s v="Procurement"/>
        <s v="Sales"/>
        <s v="Website"/>
      </sharedItems>
    </cacheField>
    <cacheField name="[Measures].[Count of Name]" caption="Count of Name" numFmtId="0" hierarchy="15" level="32767"/>
    <cacheField name="[Staff].[Country].[Country]" caption="Country" numFmtId="0" hierarchy="7" level="1">
      <sharedItems containsSemiMixedTypes="0" containsNonDate="0" containsString="0"/>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HINI" refreshedDate="45451.81820671296" backgroundQuery="1" createdVersion="8" refreshedVersion="8" minRefreshableVersion="3" recordCount="0" supportSubquery="1" supportAdvancedDrill="1" xr:uid="{1B74BFA0-A64A-487D-8453-10F239FD47EB}">
  <cacheSource type="external" connectionId="4"/>
  <cacheFields count="3">
    <cacheField name="[Staff].[Rating].[Rating]" caption="Rating" numFmtId="0" hierarchy="3" level="1">
      <sharedItems count="5">
        <s v="Above average"/>
        <s v="Average"/>
        <s v="Exceptional"/>
        <s v="Poor"/>
        <s v="Very poor"/>
      </sharedItems>
    </cacheField>
    <cacheField name="[Measures].[Count of Name]" caption="Count of Name" numFmtId="0" hierarchy="15" level="32767"/>
    <cacheField name="[Measures].[Average of Salary]" caption="Average of Salary" numFmtId="0" hierarchy="19"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HINI" refreshedDate="45452.802030324077" backgroundQuery="1" createdVersion="8" refreshedVersion="8" minRefreshableVersion="3" recordCount="0" supportSubquery="1" supportAdvancedDrill="1" xr:uid="{F2EEC684-CCC9-4D17-8FE6-CF201E76A1B7}">
  <cacheSource type="external" connectionId="4"/>
  <cacheFields count="6">
    <cacheField name="[Staff].[Gender].[Gender]" caption="Gender" numFmtId="0" hierarchy="1" level="1">
      <sharedItems count="2">
        <s v="Female"/>
        <s v="Male"/>
      </sharedItems>
    </cacheField>
    <cacheField name="[Measures].[Count of Name]" caption="Count of Name" numFmtId="0" hierarchy="15" level="32767"/>
    <cacheField name="[Measures].[Average of Age]" caption="Average of Age" numFmtId="0" hierarchy="17" level="32767"/>
    <cacheField name="[Measures].[Average of Salary]" caption="Average of Salary" numFmtId="0" hierarchy="19" level="32767"/>
    <cacheField name="[Measures].[Average of Tenure]" caption="Average of Tenure" numFmtId="0" hierarchy="21" level="32767"/>
    <cacheField name="[Staff].[Country].[Country]" caption="Country" numFmtId="0" hierarchy="7" level="1">
      <sharedItems containsSemiMixedTypes="0" containsNonDate="0" containsString="0"/>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HINI" refreshedDate="45451.818207523145" backgroundQuery="1" createdVersion="3" refreshedVersion="8" minRefreshableVersion="3" recordCount="0" supportSubquery="1" supportAdvancedDrill="1" xr:uid="{426D6FBC-0CC5-409F-A9D9-014599E468A9}">
  <cacheSource type="external" connectionId="4">
    <extLst>
      <ext xmlns:x14="http://schemas.microsoft.com/office/spreadsheetml/2009/9/main" uri="{F057638F-6D5F-4e77-A914-E7F072B9BCA8}">
        <x14:sourceConnection name="ThisWorkbookDataModel"/>
      </ext>
    </extLst>
  </cacheSource>
  <cacheFields count="0"/>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31798547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0BDA8AD-23CB-4463-94D1-4587A85903E7}" name="PivotTable1" cacheId="14"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9:E14"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 fld="1" subtotal="count" baseField="0" baseItem="0"/>
    <dataField name="Average of Age" fld="2" subtotal="average" baseField="0" baseItem="0" numFmtId="2"/>
    <dataField name="Average of Salary" fld="3" subtotal="average" baseField="0" baseItem="0" numFmtId="165"/>
    <dataField name="Average of Tenure" fld="4" subtotal="average" baseField="0" baseItem="0"/>
  </dataFields>
  <formats count="3">
    <format dxfId="14">
      <pivotArea collapsedLevelsAreSubtotals="1" fieldPosition="0">
        <references count="1">
          <reference field="4294967294" count="3">
            <x v="1"/>
            <x v="2"/>
            <x v="3"/>
          </reference>
        </references>
      </pivotArea>
    </format>
    <format dxfId="13">
      <pivotArea outline="0" fieldPosition="0">
        <references count="1">
          <reference field="4294967294" count="1">
            <x v="1"/>
          </reference>
        </references>
      </pivotArea>
    </format>
    <format dxfId="12">
      <pivotArea outline="0" fieldPosition="0">
        <references count="1">
          <reference field="4294967294" count="1">
            <x v="2"/>
          </reference>
        </references>
      </pivotArea>
    </format>
  </formats>
  <pivotHierarchies count="22">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Count "/>
    <pivotHierarchy dragToData="1"/>
    <pivotHierarchy dragToData="1"/>
    <pivotHierarchy dragToData="1"/>
    <pivotHierarchy dragToData="1"/>
    <pivotHierarchy dragToData="1"/>
    <pivotHierarchy dragToData="1"/>
  </pivotHierarchies>
  <pivotTableStyleInfo name="PivotStyleDark3"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A81222C-CBA8-4A96-99E0-21D8ACA07495}"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D12"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66"/>
  </dataField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E9EC39-92CC-4968-9EF5-D3065A399E86}"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F4:G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xis="axisPage" allDrilled="1" subtotalTop="0" showAll="0" dataSourceSort="1" defaultSubtotal="0" defaultAttributeDrillState="1"/>
  </pivotFields>
  <rowFields count="1">
    <field x="0"/>
  </rowFields>
  <rowItems count="6">
    <i>
      <x v="4"/>
    </i>
    <i>
      <x v="2"/>
    </i>
    <i>
      <x/>
    </i>
    <i>
      <x v="3"/>
    </i>
    <i>
      <x v="1"/>
    </i>
    <i t="grand">
      <x/>
    </i>
  </rowItems>
  <colItems count="1">
    <i/>
  </colItems>
  <pageFields count="1">
    <pageField fld="2" hier="7" name="[Staff].[Country].&amp;[NZ]" cap="NZ"/>
  </pageFields>
  <dataFields count="1">
    <dataField name="Count of Name" fld="1" subtotal="count" baseField="0" baseItem="0"/>
  </dataFields>
  <chartFormats count="3">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37B211-210D-459D-9121-28522F30C07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C4:D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xis="axisPage" allDrilled="1" subtotalTop="0" showAll="0" dataSourceSort="1" defaultSubtotal="0" defaultAttributeDrillState="1"/>
  </pivotFields>
  <rowFields count="1">
    <field x="0"/>
  </rowFields>
  <rowItems count="6">
    <i>
      <x v="2"/>
    </i>
    <i>
      <x v="4"/>
    </i>
    <i>
      <x/>
    </i>
    <i>
      <x v="3"/>
    </i>
    <i>
      <x v="1"/>
    </i>
    <i t="grand">
      <x/>
    </i>
  </rowItems>
  <colItems count="1">
    <i/>
  </colItems>
  <pageFields count="1">
    <pageField fld="2" hier="7" name="[Staff].[Country].&amp;[IND]" cap="IND"/>
  </pageFields>
  <dataFields count="1">
    <dataField name="Count of Name" fld="1" subtotal="count" baseField="0" baseItem="0"/>
  </dataFields>
  <chartFormats count="3">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AAAD8AEB-3040-42CD-8F18-37968D837AFA}"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64967280-2D14-4FD0-BFE9-6F21514C0BF8}" sourceName="[Staff].[Country]">
  <pivotTables>
    <pivotTable tabId="5" name="PivotTable1"/>
  </pivotTables>
  <data>
    <olap pivotCacheId="1317985473">
      <levels count="2">
        <level uniqueName="[Staff].[Country].[(All)]" sourceCaption="(All)" count="0"/>
        <level uniqueName="[Staff].[Country].[Country]" sourceCaption="Country" count="2">
          <ranges>
            <range startItem="0">
              <i n="[Staff].[Country].&amp;[IND]" c="IND"/>
              <i n="[Staff].[Country].&amp;[NZ]" c="NZ"/>
            </range>
          </ranges>
        </level>
      </levels>
      <selections count="1">
        <selection n="[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DBD2F351-78BB-4796-BE00-FE0672F2335A}" cache="Slicer_Country" caption="Country" level="1"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3D7C89-A941-43EC-881C-6BEF12BB95B1}" name="nz_staff" displayName="nz_staff" ref="C5:I106" totalsRowCount="1">
  <autoFilter ref="C5:I105" xr:uid="{FF3D7C89-A941-43EC-881C-6BEF12BB95B1}"/>
  <tableColumns count="7">
    <tableColumn id="1" xr3:uid="{495449CC-B879-4EEA-9F8E-426BFD9D9004}" name="Name" totalsRowLabel="Total"/>
    <tableColumn id="2" xr3:uid="{41ADFBC1-055A-48EA-8B64-AA54F6EC85D8}" name="Gender"/>
    <tableColumn id="3" xr3:uid="{6DBB47F6-2441-4FD6-8F33-75021D8BBC17}" name="Department"/>
    <tableColumn id="4" xr3:uid="{625D88A2-7163-4E9E-9335-56E53DECD131}" name="Age"/>
    <tableColumn id="5" xr3:uid="{E8CD32C5-6994-4672-9A17-CD3A9264634C}" name="Date Joined"/>
    <tableColumn id="6" xr3:uid="{206ED548-F3F2-4354-B4E2-8895221A51FE}" name="Salary" totalsRowFunction="var" dataDxfId="20"/>
    <tableColumn id="7" xr3:uid="{BC96005B-DEA2-4696-819C-5418F2CC6F4E}"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AB099BF-16BB-4DDB-8D60-CC48FA8B68C3}" name="India_staff" displayName="India_staff" ref="B2:H115" totalsRowCount="1">
  <autoFilter ref="B2:H114" xr:uid="{0AB099BF-16BB-4DDB-8D60-CC48FA8B68C3}"/>
  <tableColumns count="7">
    <tableColumn id="1" xr3:uid="{D0E49164-FC14-4B7B-B51D-E2AF6CC9D57E}" name="0" totalsRowLabel="Total"/>
    <tableColumn id="2" xr3:uid="{F8F9FC5D-CC16-4503-9704-4AEBA2BFFBB7}" name="Gender"/>
    <tableColumn id="3" xr3:uid="{AA54554C-3485-4A7C-B52C-00E99BE757AE}" name="Age"/>
    <tableColumn id="4" xr3:uid="{34841710-7EA9-4E40-9791-4CBD9268EEF1}" name="Rating"/>
    <tableColumn id="5" xr3:uid="{81C28780-E054-4AF0-A5AE-C4C65DE5E92F}" name="Date Joined" dataDxfId="19"/>
    <tableColumn id="6" xr3:uid="{4C615DB1-E1DF-4542-B0B3-BD0AADEDBA76}" name="Department"/>
    <tableColumn id="7" xr3:uid="{9EE252BC-9669-4D1F-8A9B-6AC57F071265}" name="Salary" totalsRowFunction="sum"/>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5063D4A-88F5-463A-A606-8593E03B0644}" name="Staff" displayName="Staff" ref="A1:K184" tableType="queryTable" totalsRowShown="0">
  <autoFilter ref="A1:K184" xr:uid="{55063D4A-88F5-463A-A606-8593E03B0644}"/>
  <sortState xmlns:xlrd2="http://schemas.microsoft.com/office/spreadsheetml/2017/richdata2" ref="A2:J184">
    <sortCondition ref="G1:G184"/>
  </sortState>
  <tableColumns count="11">
    <tableColumn id="1" xr3:uid="{23E85551-F87D-4A5F-AAD9-AF276D5627CA}" uniqueName="1" name="Name" queryTableFieldId="1"/>
    <tableColumn id="2" xr3:uid="{C8F01592-8846-4B57-B9E9-AB6ACB68AF1A}" uniqueName="2" name="Gender" queryTableFieldId="2"/>
    <tableColumn id="3" xr3:uid="{2CFD4E7E-060F-48C3-B51D-84C2729EEEFD}" uniqueName="3" name="Age" queryTableFieldId="3"/>
    <tableColumn id="4" xr3:uid="{1AA6BBFA-C5AC-4371-8EF6-5DEC2C7E022A}" uniqueName="4" name="Rating" queryTableFieldId="4"/>
    <tableColumn id="5" xr3:uid="{F7C9112E-3F19-4FA0-B208-8A775AB8F901}" uniqueName="5" name="Date Joined" queryTableFieldId="5" dataDxfId="18"/>
    <tableColumn id="6" xr3:uid="{B67CA940-F712-4C5A-9EFA-D24FDD8CC431}" uniqueName="6" name="Department" queryTableFieldId="6"/>
    <tableColumn id="7" xr3:uid="{273E7765-9BFD-4F3C-8803-C2331A629574}" uniqueName="7" name="Salary" queryTableFieldId="7"/>
    <tableColumn id="8" xr3:uid="{A8E97DA8-AB5A-4235-8B72-AFD027C9F042}" uniqueName="8" name="Country" queryTableFieldId="8"/>
    <tableColumn id="9" xr3:uid="{642C5AD0-96AC-413B-A6BA-5B8D0A30F6F2}" uniqueName="9" name="Tenure" queryTableFieldId="9" dataDxfId="17">
      <calculatedColumnFormula>(TODAY()-Staff[[#This Row],[Date Joined]])/365</calculatedColumnFormula>
    </tableColumn>
    <tableColumn id="10" xr3:uid="{D5077F7A-AF46-4657-A2EE-B7E94006A4FB}" uniqueName="10" name="Bonus" queryTableFieldId="10" dataDxfId="16">
      <calculatedColumnFormula>ROUNDUP(IF(Staff[[#This Row],[Tenure]]&gt;2, 3%, 2%)*Staff[[#This Row],[Salary]],0)</calculatedColumnFormula>
    </tableColumn>
    <tableColumn id="11" xr3:uid="{44C4A940-D971-4116-91D2-1E9E44BDEA98}" uniqueName="11" name="Rating as Number" queryTableFieldId="11" dataDxfId="15">
      <calculatedColumnFormula>_xlfn.XLOOKUP(Staff[[#This Row],[Rating]],'Salary Vs Rating'!$B$34:$B$38,'Salary Vs Rating'!$C$34:$C$38)</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0D4D8-0AE8-44F8-A54C-98F161A4420A}">
  <dimension ref="C4:E9"/>
  <sheetViews>
    <sheetView showGridLines="0" workbookViewId="0">
      <selection activeCell="Q5" sqref="Q5"/>
    </sheetView>
  </sheetViews>
  <sheetFormatPr defaultRowHeight="14.5" x14ac:dyDescent="0.35"/>
  <sheetData>
    <row r="4" spans="3:5" ht="25" x14ac:dyDescent="0.7">
      <c r="C4" s="49" t="s">
        <v>248</v>
      </c>
      <c r="D4" s="48"/>
      <c r="E4" s="48"/>
    </row>
    <row r="5" spans="3:5" ht="25" x14ac:dyDescent="0.7">
      <c r="C5" s="50">
        <v>1</v>
      </c>
      <c r="D5" s="50" t="s">
        <v>218</v>
      </c>
      <c r="E5" s="51"/>
    </row>
    <row r="6" spans="3:5" ht="25" x14ac:dyDescent="0.7">
      <c r="C6" s="50">
        <v>2</v>
      </c>
      <c r="D6" s="50" t="s">
        <v>227</v>
      </c>
      <c r="E6" s="51"/>
    </row>
    <row r="7" spans="3:5" ht="25" x14ac:dyDescent="0.7">
      <c r="C7" s="50">
        <v>3</v>
      </c>
      <c r="D7" s="50" t="s">
        <v>228</v>
      </c>
      <c r="E7" s="51"/>
    </row>
    <row r="8" spans="3:5" ht="25" x14ac:dyDescent="0.7">
      <c r="C8" s="50">
        <v>4</v>
      </c>
      <c r="D8" s="50" t="s">
        <v>229</v>
      </c>
      <c r="E8" s="51"/>
    </row>
    <row r="9" spans="3:5" ht="25" x14ac:dyDescent="0.7">
      <c r="C9" s="50">
        <v>5</v>
      </c>
      <c r="D9" s="50" t="s">
        <v>230</v>
      </c>
      <c r="E9" s="5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C2:I106"/>
  <sheetViews>
    <sheetView showGridLines="0" workbookViewId="0">
      <selection activeCell="L7" sqref="L7"/>
    </sheetView>
  </sheetViews>
  <sheetFormatPr defaultRowHeight="14.5" x14ac:dyDescent="0.35"/>
  <cols>
    <col min="1" max="1" width="1.7265625" customWidth="1"/>
    <col min="2" max="2" width="3.7265625" customWidth="1"/>
    <col min="3" max="3" width="22.1796875" customWidth="1"/>
    <col min="4" max="4" width="9" customWidth="1"/>
    <col min="5" max="5" width="13.08984375" customWidth="1"/>
    <col min="7" max="7" width="12.6328125" customWidth="1"/>
    <col min="8" max="8" width="12.36328125" bestFit="1" customWidth="1"/>
    <col min="9" max="9" width="13.1796875" bestFit="1" customWidth="1"/>
  </cols>
  <sheetData>
    <row r="2" spans="3:9" ht="21" x14ac:dyDescent="0.55000000000000004">
      <c r="C2" s="52" t="s">
        <v>110</v>
      </c>
      <c r="D2" s="52"/>
      <c r="E2" s="52"/>
      <c r="F2" s="52"/>
      <c r="G2" s="52"/>
      <c r="H2" s="52"/>
      <c r="I2" s="52"/>
    </row>
    <row r="5" spans="3:9" x14ac:dyDescent="0.35">
      <c r="C5" t="s">
        <v>0</v>
      </c>
      <c r="D5" t="s">
        <v>1</v>
      </c>
      <c r="E5" t="s">
        <v>2</v>
      </c>
      <c r="F5" t="s">
        <v>3</v>
      </c>
      <c r="G5" s="1" t="s">
        <v>4</v>
      </c>
      <c r="H5" t="s">
        <v>5</v>
      </c>
      <c r="I5" t="s">
        <v>6</v>
      </c>
    </row>
    <row r="6" spans="3:9" x14ac:dyDescent="0.35">
      <c r="C6" t="s">
        <v>58</v>
      </c>
      <c r="D6" t="s">
        <v>15</v>
      </c>
      <c r="E6" t="s">
        <v>19</v>
      </c>
      <c r="F6">
        <v>22</v>
      </c>
      <c r="G6" s="1">
        <v>44446</v>
      </c>
      <c r="H6" s="2">
        <v>112780</v>
      </c>
      <c r="I6" t="s">
        <v>13</v>
      </c>
    </row>
    <row r="7" spans="3:9" x14ac:dyDescent="0.35">
      <c r="C7" t="s">
        <v>70</v>
      </c>
      <c r="D7" t="s">
        <v>15</v>
      </c>
      <c r="E7" t="s">
        <v>9</v>
      </c>
      <c r="F7">
        <v>46</v>
      </c>
      <c r="G7" s="1">
        <v>44758</v>
      </c>
      <c r="H7" s="2">
        <v>70610</v>
      </c>
      <c r="I7" t="s">
        <v>16</v>
      </c>
    </row>
    <row r="8" spans="3:9" x14ac:dyDescent="0.35">
      <c r="C8" t="s">
        <v>75</v>
      </c>
      <c r="D8" t="s">
        <v>8</v>
      </c>
      <c r="E8" t="s">
        <v>19</v>
      </c>
      <c r="F8">
        <v>28</v>
      </c>
      <c r="G8" s="1">
        <v>44357</v>
      </c>
      <c r="H8" s="2">
        <v>53240</v>
      </c>
      <c r="I8" t="s">
        <v>16</v>
      </c>
    </row>
    <row r="9" spans="3:9" x14ac:dyDescent="0.35">
      <c r="C9" t="s">
        <v>49</v>
      </c>
      <c r="E9" t="s">
        <v>21</v>
      </c>
      <c r="F9">
        <v>37</v>
      </c>
      <c r="G9" s="1">
        <v>44146</v>
      </c>
      <c r="H9" s="2">
        <v>115440</v>
      </c>
      <c r="I9" t="s">
        <v>24</v>
      </c>
    </row>
    <row r="10" spans="3:9" x14ac:dyDescent="0.35">
      <c r="C10" t="s">
        <v>65</v>
      </c>
      <c r="D10" t="s">
        <v>15</v>
      </c>
      <c r="E10" t="s">
        <v>19</v>
      </c>
      <c r="F10">
        <v>32</v>
      </c>
      <c r="G10" s="1">
        <v>44465</v>
      </c>
      <c r="H10" s="2">
        <v>53540</v>
      </c>
      <c r="I10" t="s">
        <v>16</v>
      </c>
    </row>
    <row r="11" spans="3:9" x14ac:dyDescent="0.35">
      <c r="C11" t="s">
        <v>81</v>
      </c>
      <c r="D11" t="s">
        <v>8</v>
      </c>
      <c r="E11" t="s">
        <v>9</v>
      </c>
      <c r="F11">
        <v>30</v>
      </c>
      <c r="G11" s="1">
        <v>44861</v>
      </c>
      <c r="H11" s="2">
        <v>112570</v>
      </c>
      <c r="I11" t="s">
        <v>16</v>
      </c>
    </row>
    <row r="12" spans="3:9" x14ac:dyDescent="0.35">
      <c r="C12" t="s">
        <v>51</v>
      </c>
      <c r="D12" t="s">
        <v>15</v>
      </c>
      <c r="E12" t="s">
        <v>9</v>
      </c>
      <c r="F12">
        <v>33</v>
      </c>
      <c r="G12" s="1">
        <v>44701</v>
      </c>
      <c r="H12" s="2">
        <v>48530</v>
      </c>
      <c r="I12" t="s">
        <v>13</v>
      </c>
    </row>
    <row r="13" spans="3:9" x14ac:dyDescent="0.35">
      <c r="C13" t="s">
        <v>61</v>
      </c>
      <c r="D13" t="s">
        <v>8</v>
      </c>
      <c r="E13" t="s">
        <v>12</v>
      </c>
      <c r="F13">
        <v>24</v>
      </c>
      <c r="G13" s="1">
        <v>44148</v>
      </c>
      <c r="H13" s="2">
        <v>62780</v>
      </c>
      <c r="I13" t="s">
        <v>16</v>
      </c>
    </row>
    <row r="14" spans="3:9" x14ac:dyDescent="0.35">
      <c r="C14" t="s">
        <v>82</v>
      </c>
      <c r="D14" t="s">
        <v>15</v>
      </c>
      <c r="E14" t="s">
        <v>12</v>
      </c>
      <c r="F14">
        <v>33</v>
      </c>
      <c r="G14" s="1">
        <v>44509</v>
      </c>
      <c r="H14" s="2">
        <v>53870</v>
      </c>
      <c r="I14" t="s">
        <v>16</v>
      </c>
    </row>
    <row r="15" spans="3:9" x14ac:dyDescent="0.35">
      <c r="C15" t="s">
        <v>60</v>
      </c>
      <c r="D15" t="s">
        <v>8</v>
      </c>
      <c r="E15" t="s">
        <v>56</v>
      </c>
      <c r="F15">
        <v>27</v>
      </c>
      <c r="G15" s="1">
        <v>44122</v>
      </c>
      <c r="H15" s="2">
        <v>119110</v>
      </c>
      <c r="I15" t="s">
        <v>16</v>
      </c>
    </row>
    <row r="16" spans="3:9" x14ac:dyDescent="0.35">
      <c r="C16" t="s">
        <v>87</v>
      </c>
      <c r="D16" t="s">
        <v>15</v>
      </c>
      <c r="E16" t="s">
        <v>12</v>
      </c>
      <c r="F16">
        <v>29</v>
      </c>
      <c r="G16" s="1">
        <v>44180</v>
      </c>
      <c r="H16" s="2">
        <v>112110</v>
      </c>
      <c r="I16" t="s">
        <v>24</v>
      </c>
    </row>
    <row r="17" spans="3:9" x14ac:dyDescent="0.35">
      <c r="C17" t="s">
        <v>76</v>
      </c>
      <c r="D17" t="s">
        <v>15</v>
      </c>
      <c r="E17" t="s">
        <v>19</v>
      </c>
      <c r="F17">
        <v>25</v>
      </c>
      <c r="G17" s="1">
        <v>44383</v>
      </c>
      <c r="H17" s="2">
        <v>65700</v>
      </c>
      <c r="I17" t="s">
        <v>16</v>
      </c>
    </row>
    <row r="18" spans="3:9" x14ac:dyDescent="0.35">
      <c r="C18" t="s">
        <v>97</v>
      </c>
      <c r="D18" t="s">
        <v>15</v>
      </c>
      <c r="E18" t="s">
        <v>12</v>
      </c>
      <c r="F18">
        <v>37</v>
      </c>
      <c r="G18" s="1">
        <v>44701</v>
      </c>
      <c r="H18" s="2">
        <v>69070</v>
      </c>
      <c r="I18" t="s">
        <v>16</v>
      </c>
    </row>
    <row r="19" spans="3:9" x14ac:dyDescent="0.35">
      <c r="C19" t="s">
        <v>22</v>
      </c>
      <c r="D19" t="s">
        <v>15</v>
      </c>
      <c r="E19" t="s">
        <v>12</v>
      </c>
      <c r="F19">
        <v>20</v>
      </c>
      <c r="G19" s="1">
        <v>44459</v>
      </c>
      <c r="H19" s="2">
        <v>107700</v>
      </c>
      <c r="I19" t="s">
        <v>16</v>
      </c>
    </row>
    <row r="20" spans="3:9" x14ac:dyDescent="0.35">
      <c r="C20" t="s">
        <v>84</v>
      </c>
      <c r="D20" t="s">
        <v>8</v>
      </c>
      <c r="E20" t="s">
        <v>12</v>
      </c>
      <c r="F20">
        <v>32</v>
      </c>
      <c r="G20" s="1">
        <v>44354</v>
      </c>
      <c r="H20" s="2">
        <v>43840</v>
      </c>
      <c r="I20" t="s">
        <v>13</v>
      </c>
    </row>
    <row r="21" spans="3:9" x14ac:dyDescent="0.35">
      <c r="C21" t="s">
        <v>105</v>
      </c>
      <c r="D21" t="s">
        <v>15</v>
      </c>
      <c r="E21" t="s">
        <v>9</v>
      </c>
      <c r="F21">
        <v>40</v>
      </c>
      <c r="G21" s="1">
        <v>44263</v>
      </c>
      <c r="H21" s="2">
        <v>99750</v>
      </c>
      <c r="I21" t="s">
        <v>16</v>
      </c>
    </row>
    <row r="22" spans="3:9" x14ac:dyDescent="0.35">
      <c r="C22" t="s">
        <v>47</v>
      </c>
      <c r="D22" t="s">
        <v>15</v>
      </c>
      <c r="E22" t="s">
        <v>9</v>
      </c>
      <c r="F22">
        <v>21</v>
      </c>
      <c r="G22" s="1">
        <v>44104</v>
      </c>
      <c r="H22" s="2">
        <v>37920</v>
      </c>
      <c r="I22" t="s">
        <v>16</v>
      </c>
    </row>
    <row r="23" spans="3:9" x14ac:dyDescent="0.35">
      <c r="C23" t="s">
        <v>31</v>
      </c>
      <c r="D23" t="s">
        <v>15</v>
      </c>
      <c r="E23" t="s">
        <v>9</v>
      </c>
      <c r="F23">
        <v>21</v>
      </c>
      <c r="G23" s="1">
        <v>44762</v>
      </c>
      <c r="H23" s="2">
        <v>57090</v>
      </c>
      <c r="I23" t="s">
        <v>16</v>
      </c>
    </row>
    <row r="24" spans="3:9" x14ac:dyDescent="0.35">
      <c r="C24" t="s">
        <v>30</v>
      </c>
      <c r="D24" t="s">
        <v>8</v>
      </c>
      <c r="E24" t="s">
        <v>12</v>
      </c>
      <c r="F24">
        <v>31</v>
      </c>
      <c r="G24" s="1">
        <v>44145</v>
      </c>
      <c r="H24" s="2">
        <v>41980</v>
      </c>
      <c r="I24" t="s">
        <v>16</v>
      </c>
    </row>
    <row r="25" spans="3:9" x14ac:dyDescent="0.35">
      <c r="C25" t="s">
        <v>78</v>
      </c>
      <c r="D25" t="s">
        <v>15</v>
      </c>
      <c r="E25" t="s">
        <v>56</v>
      </c>
      <c r="F25">
        <v>21</v>
      </c>
      <c r="G25" s="1">
        <v>44242</v>
      </c>
      <c r="H25" s="2">
        <v>75880</v>
      </c>
      <c r="I25" t="s">
        <v>16</v>
      </c>
    </row>
    <row r="26" spans="3:9" x14ac:dyDescent="0.35">
      <c r="C26" t="s">
        <v>36</v>
      </c>
      <c r="D26" t="s">
        <v>8</v>
      </c>
      <c r="E26" t="s">
        <v>21</v>
      </c>
      <c r="F26">
        <v>34</v>
      </c>
      <c r="G26" s="1">
        <v>44653</v>
      </c>
      <c r="H26" s="2">
        <v>58940</v>
      </c>
      <c r="I26" t="s">
        <v>16</v>
      </c>
    </row>
    <row r="27" spans="3:9" x14ac:dyDescent="0.35">
      <c r="C27" t="s">
        <v>27</v>
      </c>
      <c r="D27" t="s">
        <v>8</v>
      </c>
      <c r="E27" t="s">
        <v>21</v>
      </c>
      <c r="F27">
        <v>30</v>
      </c>
      <c r="G27" s="1">
        <v>44389</v>
      </c>
      <c r="H27" s="2">
        <v>67910</v>
      </c>
      <c r="I27" t="s">
        <v>24</v>
      </c>
    </row>
    <row r="28" spans="3:9" x14ac:dyDescent="0.35">
      <c r="C28" t="s">
        <v>26</v>
      </c>
      <c r="D28" t="s">
        <v>8</v>
      </c>
      <c r="E28" t="s">
        <v>12</v>
      </c>
      <c r="F28">
        <v>31</v>
      </c>
      <c r="G28" s="1">
        <v>44663</v>
      </c>
      <c r="H28" s="2">
        <v>58100</v>
      </c>
      <c r="I28" t="s">
        <v>16</v>
      </c>
    </row>
    <row r="29" spans="3:9" x14ac:dyDescent="0.35">
      <c r="C29" t="s">
        <v>53</v>
      </c>
      <c r="D29" t="s">
        <v>15</v>
      </c>
      <c r="E29" t="s">
        <v>21</v>
      </c>
      <c r="F29">
        <v>27</v>
      </c>
      <c r="G29" s="1">
        <v>44567</v>
      </c>
      <c r="H29" s="2">
        <v>48980</v>
      </c>
      <c r="I29" t="s">
        <v>16</v>
      </c>
    </row>
    <row r="30" spans="3:9" x14ac:dyDescent="0.35">
      <c r="C30" t="s">
        <v>20</v>
      </c>
      <c r="E30" t="s">
        <v>21</v>
      </c>
      <c r="F30">
        <v>30</v>
      </c>
      <c r="G30" s="1">
        <v>44597</v>
      </c>
      <c r="H30" s="2">
        <v>64000</v>
      </c>
      <c r="I30" t="s">
        <v>16</v>
      </c>
    </row>
    <row r="31" spans="3:9" x14ac:dyDescent="0.35">
      <c r="C31" t="s">
        <v>7</v>
      </c>
      <c r="D31" t="s">
        <v>8</v>
      </c>
      <c r="E31" t="s">
        <v>9</v>
      </c>
      <c r="F31">
        <v>42</v>
      </c>
      <c r="G31" s="1">
        <v>44779</v>
      </c>
      <c r="H31" s="2">
        <v>75000</v>
      </c>
      <c r="I31" t="s">
        <v>10</v>
      </c>
    </row>
    <row r="32" spans="3:9" x14ac:dyDescent="0.35">
      <c r="C32" t="s">
        <v>74</v>
      </c>
      <c r="D32" t="s">
        <v>8</v>
      </c>
      <c r="E32" t="s">
        <v>12</v>
      </c>
      <c r="F32">
        <v>40</v>
      </c>
      <c r="G32" s="1">
        <v>44337</v>
      </c>
      <c r="H32" s="2">
        <v>87620</v>
      </c>
      <c r="I32" t="s">
        <v>16</v>
      </c>
    </row>
    <row r="33" spans="3:9" x14ac:dyDescent="0.35">
      <c r="C33" t="s">
        <v>44</v>
      </c>
      <c r="D33" t="s">
        <v>8</v>
      </c>
      <c r="E33" t="s">
        <v>12</v>
      </c>
      <c r="F33">
        <v>29</v>
      </c>
      <c r="G33" s="1">
        <v>44023</v>
      </c>
      <c r="H33" s="2">
        <v>34980</v>
      </c>
      <c r="I33" t="s">
        <v>16</v>
      </c>
    </row>
    <row r="34" spans="3:9" x14ac:dyDescent="0.35">
      <c r="C34" t="s">
        <v>35</v>
      </c>
      <c r="D34" t="s">
        <v>8</v>
      </c>
      <c r="E34" t="s">
        <v>21</v>
      </c>
      <c r="F34">
        <v>28</v>
      </c>
      <c r="G34" s="1">
        <v>44185</v>
      </c>
      <c r="H34" s="2">
        <v>75970</v>
      </c>
      <c r="I34" t="s">
        <v>16</v>
      </c>
    </row>
    <row r="35" spans="3:9" x14ac:dyDescent="0.35">
      <c r="C35" t="s">
        <v>38</v>
      </c>
      <c r="D35" t="s">
        <v>8</v>
      </c>
      <c r="E35" t="s">
        <v>21</v>
      </c>
      <c r="F35">
        <v>34</v>
      </c>
      <c r="G35" s="1">
        <v>44612</v>
      </c>
      <c r="H35" s="2">
        <v>60130</v>
      </c>
      <c r="I35" t="s">
        <v>16</v>
      </c>
    </row>
    <row r="36" spans="3:9" x14ac:dyDescent="0.35">
      <c r="C36" t="s">
        <v>41</v>
      </c>
      <c r="D36" t="s">
        <v>8</v>
      </c>
      <c r="E36" t="s">
        <v>12</v>
      </c>
      <c r="F36">
        <v>33</v>
      </c>
      <c r="G36" s="1">
        <v>44374</v>
      </c>
      <c r="H36" s="2">
        <v>75480</v>
      </c>
      <c r="I36" t="s">
        <v>42</v>
      </c>
    </row>
    <row r="37" spans="3:9" x14ac:dyDescent="0.35">
      <c r="C37" t="s">
        <v>40</v>
      </c>
      <c r="D37" t="s">
        <v>15</v>
      </c>
      <c r="E37" t="s">
        <v>9</v>
      </c>
      <c r="F37">
        <v>33</v>
      </c>
      <c r="G37" s="1">
        <v>44164</v>
      </c>
      <c r="H37" s="2">
        <v>115920</v>
      </c>
      <c r="I37" t="s">
        <v>16</v>
      </c>
    </row>
    <row r="38" spans="3:9" x14ac:dyDescent="0.35">
      <c r="C38" t="s">
        <v>48</v>
      </c>
      <c r="D38" t="s">
        <v>8</v>
      </c>
      <c r="E38" t="s">
        <v>19</v>
      </c>
      <c r="F38">
        <v>36</v>
      </c>
      <c r="G38" s="1">
        <v>44494</v>
      </c>
      <c r="H38" s="2">
        <v>78540</v>
      </c>
      <c r="I38" t="s">
        <v>16</v>
      </c>
    </row>
    <row r="39" spans="3:9" x14ac:dyDescent="0.35">
      <c r="C39" t="s">
        <v>34</v>
      </c>
      <c r="D39" t="s">
        <v>15</v>
      </c>
      <c r="E39" t="s">
        <v>9</v>
      </c>
      <c r="F39">
        <v>25</v>
      </c>
      <c r="G39" s="1">
        <v>44726</v>
      </c>
      <c r="H39" s="2">
        <v>109190</v>
      </c>
      <c r="I39" t="s">
        <v>13</v>
      </c>
    </row>
    <row r="40" spans="3:9" x14ac:dyDescent="0.35">
      <c r="C40" t="s">
        <v>73</v>
      </c>
      <c r="D40" t="s">
        <v>8</v>
      </c>
      <c r="E40" t="s">
        <v>19</v>
      </c>
      <c r="F40">
        <v>34</v>
      </c>
      <c r="G40" s="1">
        <v>44721</v>
      </c>
      <c r="H40" s="2">
        <v>49630</v>
      </c>
      <c r="I40" t="s">
        <v>24</v>
      </c>
    </row>
    <row r="41" spans="3:9" x14ac:dyDescent="0.35">
      <c r="C41" t="s">
        <v>107</v>
      </c>
      <c r="D41" t="s">
        <v>8</v>
      </c>
      <c r="E41" t="s">
        <v>9</v>
      </c>
      <c r="F41">
        <v>28</v>
      </c>
      <c r="G41" s="1">
        <v>44630</v>
      </c>
      <c r="H41" s="2">
        <v>99970</v>
      </c>
      <c r="I41" t="s">
        <v>16</v>
      </c>
    </row>
    <row r="42" spans="3:9" x14ac:dyDescent="0.35">
      <c r="C42" t="s">
        <v>71</v>
      </c>
      <c r="D42" t="s">
        <v>8</v>
      </c>
      <c r="E42" t="s">
        <v>12</v>
      </c>
      <c r="F42">
        <v>33</v>
      </c>
      <c r="G42" s="1">
        <v>44190</v>
      </c>
      <c r="H42" s="2">
        <v>96140</v>
      </c>
      <c r="I42" t="s">
        <v>16</v>
      </c>
    </row>
    <row r="43" spans="3:9" x14ac:dyDescent="0.35">
      <c r="C43" t="s">
        <v>50</v>
      </c>
      <c r="D43" t="s">
        <v>15</v>
      </c>
      <c r="E43" t="s">
        <v>9</v>
      </c>
      <c r="F43">
        <v>31</v>
      </c>
      <c r="G43" s="1">
        <v>44724</v>
      </c>
      <c r="H43" s="2">
        <v>103550</v>
      </c>
      <c r="I43" t="s">
        <v>16</v>
      </c>
    </row>
    <row r="44" spans="3:9" x14ac:dyDescent="0.35">
      <c r="C44" t="s">
        <v>14</v>
      </c>
      <c r="D44" t="s">
        <v>15</v>
      </c>
      <c r="E44" t="s">
        <v>12</v>
      </c>
      <c r="F44">
        <v>31</v>
      </c>
      <c r="G44" s="1">
        <v>44511</v>
      </c>
      <c r="H44" s="2">
        <v>48950</v>
      </c>
      <c r="I44" t="s">
        <v>16</v>
      </c>
    </row>
    <row r="45" spans="3:9" x14ac:dyDescent="0.35">
      <c r="C45" t="s">
        <v>63</v>
      </c>
      <c r="D45" t="s">
        <v>15</v>
      </c>
      <c r="E45" t="s">
        <v>21</v>
      </c>
      <c r="F45">
        <v>24</v>
      </c>
      <c r="G45" s="1">
        <v>44436</v>
      </c>
      <c r="H45" s="2">
        <v>52610</v>
      </c>
      <c r="I45" t="s">
        <v>24</v>
      </c>
    </row>
    <row r="46" spans="3:9" x14ac:dyDescent="0.35">
      <c r="C46" t="s">
        <v>72</v>
      </c>
      <c r="D46" t="s">
        <v>8</v>
      </c>
      <c r="E46" t="s">
        <v>9</v>
      </c>
      <c r="F46">
        <v>36</v>
      </c>
      <c r="G46" s="1">
        <v>44529</v>
      </c>
      <c r="H46" s="2">
        <v>78390</v>
      </c>
      <c r="I46" t="s">
        <v>16</v>
      </c>
    </row>
    <row r="47" spans="3:9" x14ac:dyDescent="0.35">
      <c r="C47" t="s">
        <v>88</v>
      </c>
      <c r="D47" t="s">
        <v>8</v>
      </c>
      <c r="E47" t="s">
        <v>21</v>
      </c>
      <c r="F47">
        <v>33</v>
      </c>
      <c r="G47" s="1">
        <v>44809</v>
      </c>
      <c r="H47" s="2">
        <v>86570</v>
      </c>
      <c r="I47" t="s">
        <v>16</v>
      </c>
    </row>
    <row r="48" spans="3:9" x14ac:dyDescent="0.35">
      <c r="C48" t="s">
        <v>92</v>
      </c>
      <c r="D48" t="s">
        <v>8</v>
      </c>
      <c r="E48" t="s">
        <v>12</v>
      </c>
      <c r="F48">
        <v>27</v>
      </c>
      <c r="G48" s="1">
        <v>44686</v>
      </c>
      <c r="H48" s="2">
        <v>83750</v>
      </c>
      <c r="I48" t="s">
        <v>16</v>
      </c>
    </row>
    <row r="49" spans="3:9" x14ac:dyDescent="0.35">
      <c r="C49" t="s">
        <v>102</v>
      </c>
      <c r="D49" t="s">
        <v>8</v>
      </c>
      <c r="E49" t="s">
        <v>21</v>
      </c>
      <c r="F49">
        <v>34</v>
      </c>
      <c r="G49" s="1">
        <v>44445</v>
      </c>
      <c r="H49" s="2">
        <v>92450</v>
      </c>
      <c r="I49" t="s">
        <v>16</v>
      </c>
    </row>
    <row r="50" spans="3:9" x14ac:dyDescent="0.35">
      <c r="C50" t="s">
        <v>64</v>
      </c>
      <c r="D50" t="s">
        <v>15</v>
      </c>
      <c r="E50" t="s">
        <v>12</v>
      </c>
      <c r="F50">
        <v>20</v>
      </c>
      <c r="G50" s="1">
        <v>44183</v>
      </c>
      <c r="H50" s="2">
        <v>112650</v>
      </c>
      <c r="I50" t="s">
        <v>16</v>
      </c>
    </row>
    <row r="51" spans="3:9" x14ac:dyDescent="0.35">
      <c r="C51" t="s">
        <v>104</v>
      </c>
      <c r="D51" t="s">
        <v>15</v>
      </c>
      <c r="E51" t="s">
        <v>9</v>
      </c>
      <c r="F51">
        <v>20</v>
      </c>
      <c r="G51" s="1">
        <v>44744</v>
      </c>
      <c r="H51" s="2">
        <v>79570</v>
      </c>
      <c r="I51" t="s">
        <v>16</v>
      </c>
    </row>
    <row r="52" spans="3:9" x14ac:dyDescent="0.35">
      <c r="C52" t="s">
        <v>91</v>
      </c>
      <c r="D52" t="s">
        <v>8</v>
      </c>
      <c r="E52" t="s">
        <v>19</v>
      </c>
      <c r="F52">
        <v>20</v>
      </c>
      <c r="G52" s="1">
        <v>44537</v>
      </c>
      <c r="H52" s="2">
        <v>68900</v>
      </c>
      <c r="I52" t="s">
        <v>24</v>
      </c>
    </row>
    <row r="53" spans="3:9" x14ac:dyDescent="0.35">
      <c r="C53" t="s">
        <v>39</v>
      </c>
      <c r="D53" t="s">
        <v>8</v>
      </c>
      <c r="E53" t="s">
        <v>12</v>
      </c>
      <c r="F53">
        <v>25</v>
      </c>
      <c r="G53" s="1">
        <v>44694</v>
      </c>
      <c r="H53" s="2">
        <v>80700</v>
      </c>
      <c r="I53" t="s">
        <v>13</v>
      </c>
    </row>
    <row r="54" spans="3:9" x14ac:dyDescent="0.35">
      <c r="C54" t="s">
        <v>100</v>
      </c>
      <c r="D54" t="s">
        <v>15</v>
      </c>
      <c r="E54" t="s">
        <v>9</v>
      </c>
      <c r="F54">
        <v>19</v>
      </c>
      <c r="G54" s="1">
        <v>44277</v>
      </c>
      <c r="H54" s="2">
        <v>58960</v>
      </c>
      <c r="I54" t="s">
        <v>16</v>
      </c>
    </row>
    <row r="55" spans="3:9" x14ac:dyDescent="0.35">
      <c r="C55" t="s">
        <v>106</v>
      </c>
      <c r="D55" t="s">
        <v>15</v>
      </c>
      <c r="E55" t="s">
        <v>12</v>
      </c>
      <c r="F55">
        <v>36</v>
      </c>
      <c r="G55" s="1">
        <v>44019</v>
      </c>
      <c r="H55" s="2">
        <v>118840</v>
      </c>
      <c r="I55" t="s">
        <v>16</v>
      </c>
    </row>
    <row r="56" spans="3:9" x14ac:dyDescent="0.35">
      <c r="C56" t="s">
        <v>29</v>
      </c>
      <c r="D56" t="s">
        <v>15</v>
      </c>
      <c r="E56" t="s">
        <v>21</v>
      </c>
      <c r="F56">
        <v>28</v>
      </c>
      <c r="G56" s="1">
        <v>44041</v>
      </c>
      <c r="H56" s="2">
        <v>48170</v>
      </c>
      <c r="I56" t="s">
        <v>13</v>
      </c>
    </row>
    <row r="57" spans="3:9" x14ac:dyDescent="0.35">
      <c r="C57" t="s">
        <v>108</v>
      </c>
      <c r="D57" t="s">
        <v>8</v>
      </c>
      <c r="E57" t="s">
        <v>56</v>
      </c>
      <c r="F57">
        <v>32</v>
      </c>
      <c r="G57" s="1">
        <v>44400</v>
      </c>
      <c r="H57" s="2">
        <v>45510</v>
      </c>
      <c r="I57" t="s">
        <v>16</v>
      </c>
    </row>
    <row r="58" spans="3:9" x14ac:dyDescent="0.35">
      <c r="C58" t="s">
        <v>64</v>
      </c>
      <c r="D58" t="s">
        <v>15</v>
      </c>
      <c r="E58" t="s">
        <v>9</v>
      </c>
      <c r="F58">
        <v>34</v>
      </c>
      <c r="G58" s="1">
        <v>44703</v>
      </c>
      <c r="H58" s="2">
        <v>112650</v>
      </c>
      <c r="I58" t="s">
        <v>16</v>
      </c>
    </row>
    <row r="59" spans="3:9" x14ac:dyDescent="0.35">
      <c r="C59" t="s">
        <v>83</v>
      </c>
      <c r="D59" t="s">
        <v>8</v>
      </c>
      <c r="E59" t="s">
        <v>9</v>
      </c>
      <c r="F59">
        <v>36</v>
      </c>
      <c r="G59" s="1">
        <v>44085</v>
      </c>
      <c r="H59" s="2">
        <v>114890</v>
      </c>
      <c r="I59" t="s">
        <v>16</v>
      </c>
    </row>
    <row r="60" spans="3:9" x14ac:dyDescent="0.35">
      <c r="C60" t="s">
        <v>67</v>
      </c>
      <c r="D60" t="s">
        <v>15</v>
      </c>
      <c r="E60" t="s">
        <v>12</v>
      </c>
      <c r="F60">
        <v>30</v>
      </c>
      <c r="G60" s="1">
        <v>44850</v>
      </c>
      <c r="H60" s="2">
        <v>69710</v>
      </c>
      <c r="I60" t="s">
        <v>16</v>
      </c>
    </row>
    <row r="61" spans="3:9" x14ac:dyDescent="0.35">
      <c r="C61" t="s">
        <v>94</v>
      </c>
      <c r="D61" t="s">
        <v>15</v>
      </c>
      <c r="E61" t="s">
        <v>21</v>
      </c>
      <c r="F61">
        <v>36</v>
      </c>
      <c r="G61" s="1">
        <v>44333</v>
      </c>
      <c r="H61" s="2">
        <v>71380</v>
      </c>
      <c r="I61" t="s">
        <v>16</v>
      </c>
    </row>
    <row r="62" spans="3:9" x14ac:dyDescent="0.35">
      <c r="C62" t="s">
        <v>33</v>
      </c>
      <c r="D62" t="s">
        <v>8</v>
      </c>
      <c r="E62" t="s">
        <v>19</v>
      </c>
      <c r="F62">
        <v>38</v>
      </c>
      <c r="G62" s="1">
        <v>44377</v>
      </c>
      <c r="H62" s="2">
        <v>109160</v>
      </c>
      <c r="I62" t="s">
        <v>10</v>
      </c>
    </row>
    <row r="63" spans="3:9" x14ac:dyDescent="0.35">
      <c r="C63" t="s">
        <v>98</v>
      </c>
      <c r="D63" t="s">
        <v>15</v>
      </c>
      <c r="E63" t="s">
        <v>9</v>
      </c>
      <c r="F63">
        <v>27</v>
      </c>
      <c r="G63" s="1">
        <v>44609</v>
      </c>
      <c r="H63" s="2">
        <v>113280</v>
      </c>
      <c r="I63" t="s">
        <v>42</v>
      </c>
    </row>
    <row r="64" spans="3:9" x14ac:dyDescent="0.35">
      <c r="C64" t="s">
        <v>25</v>
      </c>
      <c r="D64" t="s">
        <v>15</v>
      </c>
      <c r="E64" t="s">
        <v>12</v>
      </c>
      <c r="F64">
        <v>30</v>
      </c>
      <c r="G64" s="1">
        <v>44273</v>
      </c>
      <c r="H64" s="2">
        <v>69120</v>
      </c>
      <c r="I64" t="s">
        <v>16</v>
      </c>
    </row>
    <row r="65" spans="3:9" x14ac:dyDescent="0.35">
      <c r="C65" t="s">
        <v>55</v>
      </c>
      <c r="D65" t="s">
        <v>8</v>
      </c>
      <c r="E65" t="s">
        <v>56</v>
      </c>
      <c r="F65">
        <v>37</v>
      </c>
      <c r="G65" s="1">
        <v>44451</v>
      </c>
      <c r="H65" s="2">
        <v>118100</v>
      </c>
      <c r="I65" t="s">
        <v>16</v>
      </c>
    </row>
    <row r="66" spans="3:9" x14ac:dyDescent="0.35">
      <c r="C66" t="s">
        <v>62</v>
      </c>
      <c r="D66" t="s">
        <v>8</v>
      </c>
      <c r="E66" t="s">
        <v>9</v>
      </c>
      <c r="F66">
        <v>22</v>
      </c>
      <c r="G66" s="1">
        <v>44450</v>
      </c>
      <c r="H66" s="2">
        <v>76900</v>
      </c>
      <c r="I66" t="s">
        <v>13</v>
      </c>
    </row>
    <row r="67" spans="3:9" x14ac:dyDescent="0.35">
      <c r="C67" t="s">
        <v>17</v>
      </c>
      <c r="D67" t="s">
        <v>8</v>
      </c>
      <c r="E67" t="s">
        <v>12</v>
      </c>
      <c r="F67">
        <v>43</v>
      </c>
      <c r="G67" s="1">
        <v>45045</v>
      </c>
      <c r="H67" s="2">
        <v>114870</v>
      </c>
      <c r="I67" t="s">
        <v>16</v>
      </c>
    </row>
    <row r="68" spans="3:9" x14ac:dyDescent="0.35">
      <c r="C68" t="s">
        <v>52</v>
      </c>
      <c r="E68" t="s">
        <v>12</v>
      </c>
      <c r="F68">
        <v>32</v>
      </c>
      <c r="G68" s="1">
        <v>44774</v>
      </c>
      <c r="H68" s="2">
        <v>91310</v>
      </c>
      <c r="I68" t="s">
        <v>16</v>
      </c>
    </row>
    <row r="69" spans="3:9" x14ac:dyDescent="0.35">
      <c r="C69" t="s">
        <v>43</v>
      </c>
      <c r="D69" t="s">
        <v>8</v>
      </c>
      <c r="E69" t="s">
        <v>9</v>
      </c>
      <c r="F69">
        <v>28</v>
      </c>
      <c r="G69" s="1">
        <v>44486</v>
      </c>
      <c r="H69" s="2">
        <v>104770</v>
      </c>
      <c r="I69" t="s">
        <v>16</v>
      </c>
    </row>
    <row r="70" spans="3:9" x14ac:dyDescent="0.35">
      <c r="C70" t="s">
        <v>89</v>
      </c>
      <c r="D70" t="s">
        <v>15</v>
      </c>
      <c r="E70" t="s">
        <v>19</v>
      </c>
      <c r="F70">
        <v>27</v>
      </c>
      <c r="G70" s="1">
        <v>44134</v>
      </c>
      <c r="H70" s="2">
        <v>54970</v>
      </c>
      <c r="I70" t="s">
        <v>16</v>
      </c>
    </row>
    <row r="71" spans="3:9" x14ac:dyDescent="0.35">
      <c r="C71" t="s">
        <v>11</v>
      </c>
      <c r="E71" t="s">
        <v>12</v>
      </c>
      <c r="F71">
        <v>26</v>
      </c>
      <c r="G71" s="1">
        <v>44271</v>
      </c>
      <c r="H71" s="2">
        <v>90700</v>
      </c>
      <c r="I71" t="s">
        <v>13</v>
      </c>
    </row>
    <row r="72" spans="3:9" x14ac:dyDescent="0.35">
      <c r="C72" t="s">
        <v>109</v>
      </c>
      <c r="D72" t="s">
        <v>8</v>
      </c>
      <c r="E72" t="s">
        <v>19</v>
      </c>
      <c r="F72">
        <v>38</v>
      </c>
      <c r="G72" s="1">
        <v>44329</v>
      </c>
      <c r="H72" s="2">
        <v>56870</v>
      </c>
      <c r="I72" t="s">
        <v>13</v>
      </c>
    </row>
    <row r="73" spans="3:9" x14ac:dyDescent="0.35">
      <c r="C73" t="s">
        <v>77</v>
      </c>
      <c r="D73" t="s">
        <v>8</v>
      </c>
      <c r="E73" t="s">
        <v>19</v>
      </c>
      <c r="F73">
        <v>25</v>
      </c>
      <c r="G73" s="1">
        <v>44205</v>
      </c>
      <c r="H73" s="2">
        <v>92700</v>
      </c>
      <c r="I73" t="s">
        <v>16</v>
      </c>
    </row>
    <row r="74" spans="3:9" x14ac:dyDescent="0.35">
      <c r="C74" t="s">
        <v>32</v>
      </c>
      <c r="D74" t="s">
        <v>8</v>
      </c>
      <c r="E74" t="s">
        <v>21</v>
      </c>
      <c r="F74">
        <v>21</v>
      </c>
      <c r="G74" s="1">
        <v>44317</v>
      </c>
      <c r="H74" s="2">
        <v>65920</v>
      </c>
      <c r="I74" t="s">
        <v>16</v>
      </c>
    </row>
    <row r="75" spans="3:9" x14ac:dyDescent="0.35">
      <c r="C75" t="s">
        <v>59</v>
      </c>
      <c r="D75" t="s">
        <v>15</v>
      </c>
      <c r="E75" t="s">
        <v>9</v>
      </c>
      <c r="F75">
        <v>26</v>
      </c>
      <c r="G75" s="1">
        <v>44225</v>
      </c>
      <c r="H75" s="2">
        <v>47360</v>
      </c>
      <c r="I75" t="s">
        <v>16</v>
      </c>
    </row>
    <row r="76" spans="3:9" x14ac:dyDescent="0.35">
      <c r="C76" t="s">
        <v>37</v>
      </c>
      <c r="D76" t="s">
        <v>15</v>
      </c>
      <c r="E76" t="s">
        <v>9</v>
      </c>
      <c r="F76">
        <v>30</v>
      </c>
      <c r="G76" s="1">
        <v>44666</v>
      </c>
      <c r="H76" s="2">
        <v>60570</v>
      </c>
      <c r="I76" t="s">
        <v>16</v>
      </c>
    </row>
    <row r="77" spans="3:9" x14ac:dyDescent="0.35">
      <c r="C77" t="s">
        <v>96</v>
      </c>
      <c r="D77" t="s">
        <v>8</v>
      </c>
      <c r="E77" t="s">
        <v>9</v>
      </c>
      <c r="F77">
        <v>28</v>
      </c>
      <c r="G77" s="1">
        <v>44649</v>
      </c>
      <c r="H77" s="2">
        <v>104120</v>
      </c>
      <c r="I77" t="s">
        <v>16</v>
      </c>
    </row>
    <row r="78" spans="3:9" x14ac:dyDescent="0.35">
      <c r="C78" t="s">
        <v>23</v>
      </c>
      <c r="D78" t="s">
        <v>15</v>
      </c>
      <c r="E78" t="s">
        <v>12</v>
      </c>
      <c r="F78">
        <v>37</v>
      </c>
      <c r="G78" s="1">
        <v>44338</v>
      </c>
      <c r="H78" s="2">
        <v>88050</v>
      </c>
      <c r="I78" t="s">
        <v>24</v>
      </c>
    </row>
    <row r="79" spans="3:9" x14ac:dyDescent="0.35">
      <c r="C79" t="s">
        <v>103</v>
      </c>
      <c r="D79" t="s">
        <v>15</v>
      </c>
      <c r="E79" t="s">
        <v>12</v>
      </c>
      <c r="F79">
        <v>24</v>
      </c>
      <c r="G79" s="1">
        <v>44686</v>
      </c>
      <c r="H79" s="2">
        <v>100420</v>
      </c>
      <c r="I79" t="s">
        <v>16</v>
      </c>
    </row>
    <row r="80" spans="3:9" x14ac:dyDescent="0.35">
      <c r="C80" t="s">
        <v>54</v>
      </c>
      <c r="D80" t="s">
        <v>8</v>
      </c>
      <c r="E80" t="s">
        <v>9</v>
      </c>
      <c r="F80">
        <v>30</v>
      </c>
      <c r="G80" s="1">
        <v>44850</v>
      </c>
      <c r="H80" s="2">
        <v>114180</v>
      </c>
      <c r="I80" t="s">
        <v>16</v>
      </c>
    </row>
    <row r="81" spans="3:9" x14ac:dyDescent="0.35">
      <c r="C81" t="s">
        <v>86</v>
      </c>
      <c r="D81" t="s">
        <v>8</v>
      </c>
      <c r="E81" t="s">
        <v>12</v>
      </c>
      <c r="F81">
        <v>21</v>
      </c>
      <c r="G81" s="1">
        <v>44678</v>
      </c>
      <c r="H81" s="2">
        <v>33920</v>
      </c>
      <c r="I81" t="s">
        <v>16</v>
      </c>
    </row>
    <row r="82" spans="3:9" x14ac:dyDescent="0.35">
      <c r="C82" t="s">
        <v>69</v>
      </c>
      <c r="D82" t="s">
        <v>15</v>
      </c>
      <c r="E82" t="s">
        <v>9</v>
      </c>
      <c r="F82">
        <v>23</v>
      </c>
      <c r="G82" s="1">
        <v>44440</v>
      </c>
      <c r="H82" s="2">
        <v>106460</v>
      </c>
      <c r="I82" t="s">
        <v>16</v>
      </c>
    </row>
    <row r="83" spans="3:9" x14ac:dyDescent="0.35">
      <c r="C83" t="s">
        <v>57</v>
      </c>
      <c r="D83" t="s">
        <v>15</v>
      </c>
      <c r="E83" t="s">
        <v>9</v>
      </c>
      <c r="F83">
        <v>35</v>
      </c>
      <c r="G83" s="1">
        <v>44727</v>
      </c>
      <c r="H83" s="2">
        <v>40400</v>
      </c>
      <c r="I83" t="s">
        <v>16</v>
      </c>
    </row>
    <row r="84" spans="3:9" x14ac:dyDescent="0.35">
      <c r="C84" t="s">
        <v>68</v>
      </c>
      <c r="D84" t="s">
        <v>15</v>
      </c>
      <c r="E84" t="s">
        <v>21</v>
      </c>
      <c r="F84">
        <v>27</v>
      </c>
      <c r="G84" s="1">
        <v>44236</v>
      </c>
      <c r="H84" s="2">
        <v>91650</v>
      </c>
      <c r="I84" t="s">
        <v>13</v>
      </c>
    </row>
    <row r="85" spans="3:9" x14ac:dyDescent="0.35">
      <c r="C85" t="s">
        <v>99</v>
      </c>
      <c r="D85" t="s">
        <v>15</v>
      </c>
      <c r="E85" t="s">
        <v>19</v>
      </c>
      <c r="F85">
        <v>43</v>
      </c>
      <c r="G85" s="1">
        <v>44620</v>
      </c>
      <c r="H85" s="2">
        <v>36040</v>
      </c>
      <c r="I85" t="s">
        <v>16</v>
      </c>
    </row>
    <row r="86" spans="3:9" x14ac:dyDescent="0.35">
      <c r="C86" t="s">
        <v>101</v>
      </c>
      <c r="D86" t="s">
        <v>8</v>
      </c>
      <c r="E86" t="s">
        <v>12</v>
      </c>
      <c r="F86">
        <v>40</v>
      </c>
      <c r="G86" s="1">
        <v>44381</v>
      </c>
      <c r="H86" s="2">
        <v>104410</v>
      </c>
      <c r="I86" t="s">
        <v>16</v>
      </c>
    </row>
    <row r="87" spans="3:9" x14ac:dyDescent="0.35">
      <c r="C87" t="s">
        <v>85</v>
      </c>
      <c r="D87" t="s">
        <v>15</v>
      </c>
      <c r="E87" t="s">
        <v>21</v>
      </c>
      <c r="F87">
        <v>30</v>
      </c>
      <c r="G87" s="1">
        <v>44606</v>
      </c>
      <c r="H87" s="2">
        <v>96800</v>
      </c>
      <c r="I87" t="s">
        <v>16</v>
      </c>
    </row>
    <row r="88" spans="3:9" x14ac:dyDescent="0.35">
      <c r="C88" t="s">
        <v>28</v>
      </c>
      <c r="D88" t="s">
        <v>8</v>
      </c>
      <c r="E88" t="s">
        <v>21</v>
      </c>
      <c r="F88">
        <v>34</v>
      </c>
      <c r="G88" s="1">
        <v>44459</v>
      </c>
      <c r="H88" s="2">
        <v>85000</v>
      </c>
      <c r="I88" t="s">
        <v>16</v>
      </c>
    </row>
    <row r="89" spans="3:9" x14ac:dyDescent="0.35">
      <c r="C89" t="s">
        <v>80</v>
      </c>
      <c r="D89" t="s">
        <v>15</v>
      </c>
      <c r="E89" t="s">
        <v>19</v>
      </c>
      <c r="F89">
        <v>28</v>
      </c>
      <c r="G89" s="1">
        <v>44820</v>
      </c>
      <c r="H89" s="2">
        <v>43510</v>
      </c>
      <c r="I89" t="s">
        <v>42</v>
      </c>
    </row>
    <row r="90" spans="3:9" x14ac:dyDescent="0.35">
      <c r="C90" t="s">
        <v>79</v>
      </c>
      <c r="D90" t="s">
        <v>15</v>
      </c>
      <c r="E90" t="s">
        <v>21</v>
      </c>
      <c r="F90">
        <v>33</v>
      </c>
      <c r="G90" s="1">
        <v>44243</v>
      </c>
      <c r="H90" s="2">
        <v>59430</v>
      </c>
      <c r="I90" t="s">
        <v>16</v>
      </c>
    </row>
    <row r="91" spans="3:9" x14ac:dyDescent="0.35">
      <c r="C91" t="s">
        <v>93</v>
      </c>
      <c r="D91" t="s">
        <v>8</v>
      </c>
      <c r="E91" t="s">
        <v>21</v>
      </c>
      <c r="F91">
        <v>33</v>
      </c>
      <c r="G91" s="1">
        <v>44067</v>
      </c>
      <c r="H91" s="2">
        <v>65360</v>
      </c>
      <c r="I91" t="s">
        <v>16</v>
      </c>
    </row>
    <row r="92" spans="3:9" x14ac:dyDescent="0.35">
      <c r="C92" t="s">
        <v>66</v>
      </c>
      <c r="D92" t="s">
        <v>8</v>
      </c>
      <c r="E92" t="s">
        <v>9</v>
      </c>
      <c r="F92">
        <v>32</v>
      </c>
      <c r="G92" s="1">
        <v>44611</v>
      </c>
      <c r="H92" s="2">
        <v>41570</v>
      </c>
      <c r="I92" t="s">
        <v>16</v>
      </c>
    </row>
    <row r="93" spans="3:9" x14ac:dyDescent="0.35">
      <c r="C93" t="s">
        <v>95</v>
      </c>
      <c r="D93" t="s">
        <v>8</v>
      </c>
      <c r="E93" t="s">
        <v>12</v>
      </c>
      <c r="F93">
        <v>33</v>
      </c>
      <c r="G93" s="1">
        <v>44312</v>
      </c>
      <c r="H93" s="2">
        <v>75280</v>
      </c>
      <c r="I93" t="s">
        <v>16</v>
      </c>
    </row>
    <row r="94" spans="3:9" x14ac:dyDescent="0.35">
      <c r="C94" t="s">
        <v>18</v>
      </c>
      <c r="D94" t="s">
        <v>15</v>
      </c>
      <c r="E94" t="s">
        <v>19</v>
      </c>
      <c r="F94">
        <v>33</v>
      </c>
      <c r="G94" s="1">
        <v>44385</v>
      </c>
      <c r="H94" s="2">
        <v>74550</v>
      </c>
      <c r="I94" t="s">
        <v>16</v>
      </c>
    </row>
    <row r="95" spans="3:9" x14ac:dyDescent="0.35">
      <c r="C95" t="s">
        <v>45</v>
      </c>
      <c r="D95" t="s">
        <v>15</v>
      </c>
      <c r="E95" t="s">
        <v>9</v>
      </c>
      <c r="F95">
        <v>30</v>
      </c>
      <c r="G95" s="1">
        <v>44701</v>
      </c>
      <c r="H95" s="2">
        <v>67950</v>
      </c>
      <c r="I95" t="s">
        <v>16</v>
      </c>
    </row>
    <row r="96" spans="3:9" x14ac:dyDescent="0.35">
      <c r="C96" t="s">
        <v>90</v>
      </c>
      <c r="D96" t="s">
        <v>15</v>
      </c>
      <c r="E96" t="s">
        <v>21</v>
      </c>
      <c r="F96">
        <v>42</v>
      </c>
      <c r="G96" s="1">
        <v>44731</v>
      </c>
      <c r="H96" s="2">
        <v>70270</v>
      </c>
      <c r="I96" t="s">
        <v>24</v>
      </c>
    </row>
    <row r="97" spans="3:9" x14ac:dyDescent="0.35">
      <c r="C97" t="s">
        <v>46</v>
      </c>
      <c r="D97" t="s">
        <v>15</v>
      </c>
      <c r="E97" t="s">
        <v>9</v>
      </c>
      <c r="F97">
        <v>26</v>
      </c>
      <c r="G97" s="1">
        <v>44411</v>
      </c>
      <c r="H97" s="2">
        <v>53540</v>
      </c>
      <c r="I97" t="s">
        <v>16</v>
      </c>
    </row>
    <row r="98" spans="3:9" x14ac:dyDescent="0.35">
      <c r="C98" t="s">
        <v>58</v>
      </c>
      <c r="D98" t="s">
        <v>15</v>
      </c>
      <c r="E98" t="s">
        <v>19</v>
      </c>
      <c r="F98">
        <v>22</v>
      </c>
      <c r="G98" s="1">
        <v>44446</v>
      </c>
      <c r="H98" s="2">
        <v>112780</v>
      </c>
      <c r="I98" t="s">
        <v>13</v>
      </c>
    </row>
    <row r="99" spans="3:9" x14ac:dyDescent="0.35">
      <c r="C99" t="s">
        <v>70</v>
      </c>
      <c r="D99" t="s">
        <v>15</v>
      </c>
      <c r="E99" t="s">
        <v>9</v>
      </c>
      <c r="F99">
        <v>46</v>
      </c>
      <c r="G99" s="1">
        <v>44758</v>
      </c>
      <c r="H99" s="2">
        <v>70610</v>
      </c>
      <c r="I99" t="s">
        <v>16</v>
      </c>
    </row>
    <row r="100" spans="3:9" x14ac:dyDescent="0.35">
      <c r="C100" t="s">
        <v>75</v>
      </c>
      <c r="D100" t="s">
        <v>8</v>
      </c>
      <c r="E100" t="s">
        <v>19</v>
      </c>
      <c r="F100">
        <v>28</v>
      </c>
      <c r="G100" s="1">
        <v>44357</v>
      </c>
      <c r="H100" s="2">
        <v>53240</v>
      </c>
      <c r="I100" t="s">
        <v>16</v>
      </c>
    </row>
    <row r="101" spans="3:9" x14ac:dyDescent="0.35">
      <c r="C101" t="s">
        <v>49</v>
      </c>
      <c r="E101" t="s">
        <v>21</v>
      </c>
      <c r="F101">
        <v>37</v>
      </c>
      <c r="G101" s="1">
        <v>44146</v>
      </c>
      <c r="H101" s="2">
        <v>115440</v>
      </c>
      <c r="I101" t="s">
        <v>24</v>
      </c>
    </row>
    <row r="102" spans="3:9" x14ac:dyDescent="0.35">
      <c r="C102" t="s">
        <v>65</v>
      </c>
      <c r="D102" t="s">
        <v>15</v>
      </c>
      <c r="E102" t="s">
        <v>19</v>
      </c>
      <c r="F102">
        <v>32</v>
      </c>
      <c r="G102" s="1">
        <v>44465</v>
      </c>
      <c r="H102" s="2">
        <v>53540</v>
      </c>
      <c r="I102" t="s">
        <v>16</v>
      </c>
    </row>
    <row r="103" spans="3:9" x14ac:dyDescent="0.35">
      <c r="C103" t="s">
        <v>81</v>
      </c>
      <c r="D103" t="s">
        <v>8</v>
      </c>
      <c r="E103" t="s">
        <v>9</v>
      </c>
      <c r="F103">
        <v>30</v>
      </c>
      <c r="G103" s="1">
        <v>44861</v>
      </c>
      <c r="H103" s="2">
        <v>112570</v>
      </c>
      <c r="I103" t="s">
        <v>16</v>
      </c>
    </row>
    <row r="104" spans="3:9" x14ac:dyDescent="0.35">
      <c r="C104" t="s">
        <v>51</v>
      </c>
      <c r="D104" t="s">
        <v>15</v>
      </c>
      <c r="E104" t="s">
        <v>9</v>
      </c>
      <c r="F104">
        <v>33</v>
      </c>
      <c r="G104" s="1">
        <v>44701</v>
      </c>
      <c r="H104" s="2">
        <v>48530</v>
      </c>
      <c r="I104" t="s">
        <v>13</v>
      </c>
    </row>
    <row r="105" spans="3:9" x14ac:dyDescent="0.35">
      <c r="C105" t="s">
        <v>61</v>
      </c>
      <c r="D105" t="s">
        <v>8</v>
      </c>
      <c r="E105" t="s">
        <v>12</v>
      </c>
      <c r="F105">
        <v>24</v>
      </c>
      <c r="G105" s="1">
        <v>44148</v>
      </c>
      <c r="H105" s="2">
        <v>62780</v>
      </c>
      <c r="I105" t="s">
        <v>16</v>
      </c>
    </row>
    <row r="106" spans="3:9" x14ac:dyDescent="0.35">
      <c r="C106" t="s">
        <v>204</v>
      </c>
      <c r="H106">
        <f>SUBTOTAL(110,nz_staff[Salary])</f>
        <v>636045548.07070708</v>
      </c>
      <c r="I106">
        <f>SUBTOTAL(103,nz_staff[Rating])</f>
        <v>100</v>
      </c>
    </row>
  </sheetData>
  <mergeCells count="1">
    <mergeCell ref="C2:I2"/>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5"/>
  <sheetViews>
    <sheetView showGridLines="0" workbookViewId="0">
      <selection activeCell="B15" sqref="B15"/>
    </sheetView>
  </sheetViews>
  <sheetFormatPr defaultRowHeight="14.5" x14ac:dyDescent="0.35"/>
  <cols>
    <col min="2" max="2" width="28.1796875" bestFit="1" customWidth="1"/>
    <col min="3" max="4" width="9.453125" customWidth="1"/>
    <col min="5" max="5" width="11.26953125" customWidth="1"/>
    <col min="6" max="6" width="12.6328125" customWidth="1"/>
    <col min="7" max="7" width="13.08984375" customWidth="1"/>
    <col min="8" max="8" width="9.453125" customWidth="1"/>
  </cols>
  <sheetData>
    <row r="2" spans="2:8" x14ac:dyDescent="0.35">
      <c r="B2" t="s">
        <v>203</v>
      </c>
      <c r="C2" t="s">
        <v>1</v>
      </c>
      <c r="D2" t="s">
        <v>3</v>
      </c>
      <c r="E2" t="s">
        <v>6</v>
      </c>
      <c r="F2" t="s">
        <v>4</v>
      </c>
      <c r="G2" t="s">
        <v>2</v>
      </c>
      <c r="H2" t="s">
        <v>5</v>
      </c>
    </row>
    <row r="3" spans="2:8" x14ac:dyDescent="0.35">
      <c r="B3" t="s">
        <v>156</v>
      </c>
      <c r="C3" t="s">
        <v>15</v>
      </c>
      <c r="D3">
        <v>20</v>
      </c>
      <c r="E3" t="s">
        <v>16</v>
      </c>
      <c r="F3" s="1">
        <v>44122</v>
      </c>
      <c r="G3" t="s">
        <v>12</v>
      </c>
      <c r="H3">
        <v>112650</v>
      </c>
    </row>
    <row r="4" spans="2:8" x14ac:dyDescent="0.35">
      <c r="B4" t="s">
        <v>176</v>
      </c>
      <c r="C4" t="s">
        <v>8</v>
      </c>
      <c r="D4">
        <v>32</v>
      </c>
      <c r="E4" t="s">
        <v>13</v>
      </c>
      <c r="F4" s="1">
        <v>44293</v>
      </c>
      <c r="G4" t="s">
        <v>12</v>
      </c>
      <c r="H4">
        <v>43840</v>
      </c>
    </row>
    <row r="5" spans="2:8" x14ac:dyDescent="0.35">
      <c r="B5" t="s">
        <v>143</v>
      </c>
      <c r="C5" t="s">
        <v>15</v>
      </c>
      <c r="D5">
        <v>31</v>
      </c>
      <c r="E5" t="s">
        <v>16</v>
      </c>
      <c r="F5" s="1">
        <v>44663</v>
      </c>
      <c r="G5" t="s">
        <v>9</v>
      </c>
      <c r="H5">
        <v>103550</v>
      </c>
    </row>
    <row r="6" spans="2:8" x14ac:dyDescent="0.35">
      <c r="B6" t="s">
        <v>201</v>
      </c>
      <c r="C6" t="s">
        <v>8</v>
      </c>
      <c r="D6">
        <v>32</v>
      </c>
      <c r="E6" t="s">
        <v>16</v>
      </c>
      <c r="F6" s="1">
        <v>44339</v>
      </c>
      <c r="G6" t="s">
        <v>56</v>
      </c>
      <c r="H6">
        <v>45510</v>
      </c>
    </row>
    <row r="7" spans="2:8" x14ac:dyDescent="0.35">
      <c r="B7" t="s">
        <v>142</v>
      </c>
      <c r="D7">
        <v>37</v>
      </c>
      <c r="E7" t="s">
        <v>24</v>
      </c>
      <c r="F7" s="1">
        <v>44085</v>
      </c>
      <c r="G7" t="s">
        <v>21</v>
      </c>
      <c r="H7">
        <v>115440</v>
      </c>
    </row>
    <row r="8" spans="2:8" x14ac:dyDescent="0.35">
      <c r="B8" t="s">
        <v>202</v>
      </c>
      <c r="C8" t="s">
        <v>8</v>
      </c>
      <c r="D8">
        <v>38</v>
      </c>
      <c r="E8" t="s">
        <v>13</v>
      </c>
      <c r="F8" s="1">
        <v>44268</v>
      </c>
      <c r="G8" t="s">
        <v>19</v>
      </c>
      <c r="H8">
        <v>56870</v>
      </c>
    </row>
    <row r="9" spans="2:8" x14ac:dyDescent="0.35">
      <c r="B9" t="s">
        <v>169</v>
      </c>
      <c r="C9" t="s">
        <v>8</v>
      </c>
      <c r="D9">
        <v>25</v>
      </c>
      <c r="E9" t="s">
        <v>16</v>
      </c>
      <c r="F9" s="1">
        <v>44144</v>
      </c>
      <c r="G9" t="s">
        <v>19</v>
      </c>
      <c r="H9">
        <v>92700</v>
      </c>
    </row>
    <row r="10" spans="2:8" x14ac:dyDescent="0.35">
      <c r="B10" t="s">
        <v>145</v>
      </c>
      <c r="D10">
        <v>32</v>
      </c>
      <c r="E10" t="s">
        <v>16</v>
      </c>
      <c r="F10" s="1">
        <v>44713</v>
      </c>
      <c r="G10" t="s">
        <v>12</v>
      </c>
      <c r="H10">
        <v>91310</v>
      </c>
    </row>
    <row r="11" spans="2:8" x14ac:dyDescent="0.35">
      <c r="B11" t="s">
        <v>115</v>
      </c>
      <c r="C11" t="s">
        <v>15</v>
      </c>
      <c r="D11">
        <v>33</v>
      </c>
      <c r="E11" t="s">
        <v>16</v>
      </c>
      <c r="F11" s="1">
        <v>44324</v>
      </c>
      <c r="G11" t="s">
        <v>19</v>
      </c>
      <c r="H11">
        <v>74550</v>
      </c>
    </row>
    <row r="12" spans="2:8" x14ac:dyDescent="0.35">
      <c r="B12" t="s">
        <v>128</v>
      </c>
      <c r="C12" t="s">
        <v>15</v>
      </c>
      <c r="D12">
        <v>25</v>
      </c>
      <c r="E12" t="s">
        <v>13</v>
      </c>
      <c r="F12" s="1">
        <v>44665</v>
      </c>
      <c r="G12" t="s">
        <v>9</v>
      </c>
      <c r="H12">
        <v>109190</v>
      </c>
    </row>
    <row r="13" spans="2:8" x14ac:dyDescent="0.35">
      <c r="B13" t="s">
        <v>194</v>
      </c>
      <c r="C13" t="s">
        <v>8</v>
      </c>
      <c r="D13">
        <v>40</v>
      </c>
      <c r="E13" t="s">
        <v>16</v>
      </c>
      <c r="F13" s="1">
        <v>44320</v>
      </c>
      <c r="G13" t="s">
        <v>12</v>
      </c>
      <c r="H13">
        <v>104410</v>
      </c>
    </row>
    <row r="14" spans="2:8" x14ac:dyDescent="0.35">
      <c r="B14" t="s">
        <v>177</v>
      </c>
      <c r="C14" t="s">
        <v>15</v>
      </c>
      <c r="D14">
        <v>30</v>
      </c>
      <c r="E14" t="s">
        <v>16</v>
      </c>
      <c r="F14" s="1">
        <v>44544</v>
      </c>
      <c r="G14" t="s">
        <v>21</v>
      </c>
      <c r="H14">
        <v>96800</v>
      </c>
    </row>
    <row r="15" spans="2:8" x14ac:dyDescent="0.35">
      <c r="B15" t="s">
        <v>123</v>
      </c>
      <c r="C15" t="s">
        <v>15</v>
      </c>
      <c r="D15">
        <v>28</v>
      </c>
      <c r="E15" t="s">
        <v>13</v>
      </c>
      <c r="F15" s="1">
        <v>43980</v>
      </c>
      <c r="G15" t="s">
        <v>21</v>
      </c>
      <c r="H15">
        <v>48170</v>
      </c>
    </row>
    <row r="16" spans="2:8" x14ac:dyDescent="0.35">
      <c r="B16" t="s">
        <v>140</v>
      </c>
      <c r="C16" t="s">
        <v>15</v>
      </c>
      <c r="D16">
        <v>21</v>
      </c>
      <c r="E16" t="s">
        <v>16</v>
      </c>
      <c r="F16" s="1">
        <v>44042</v>
      </c>
      <c r="G16" t="s">
        <v>9</v>
      </c>
      <c r="H16">
        <v>37920</v>
      </c>
    </row>
    <row r="17" spans="2:8" x14ac:dyDescent="0.35">
      <c r="B17" t="s">
        <v>178</v>
      </c>
      <c r="C17" t="s">
        <v>15</v>
      </c>
      <c r="D17">
        <v>34</v>
      </c>
      <c r="E17" t="s">
        <v>16</v>
      </c>
      <c r="F17" s="1">
        <v>44642</v>
      </c>
      <c r="G17" t="s">
        <v>9</v>
      </c>
      <c r="H17">
        <v>112650</v>
      </c>
    </row>
    <row r="18" spans="2:8" x14ac:dyDescent="0.35">
      <c r="B18" t="s">
        <v>165</v>
      </c>
      <c r="C18" t="s">
        <v>8</v>
      </c>
      <c r="D18">
        <v>34</v>
      </c>
      <c r="E18" t="s">
        <v>24</v>
      </c>
      <c r="F18" s="1">
        <v>44660</v>
      </c>
      <c r="G18" t="s">
        <v>19</v>
      </c>
      <c r="H18">
        <v>49630</v>
      </c>
    </row>
    <row r="19" spans="2:8" x14ac:dyDescent="0.35">
      <c r="B19" t="s">
        <v>199</v>
      </c>
      <c r="C19" t="s">
        <v>15</v>
      </c>
      <c r="D19">
        <v>36</v>
      </c>
      <c r="E19" t="s">
        <v>16</v>
      </c>
      <c r="F19" s="1">
        <v>43958</v>
      </c>
      <c r="G19" t="s">
        <v>12</v>
      </c>
      <c r="H19">
        <v>118840</v>
      </c>
    </row>
    <row r="20" spans="2:8" x14ac:dyDescent="0.35">
      <c r="B20" t="s">
        <v>159</v>
      </c>
      <c r="C20" t="s">
        <v>15</v>
      </c>
      <c r="D20">
        <v>30</v>
      </c>
      <c r="E20" t="s">
        <v>16</v>
      </c>
      <c r="F20" s="1">
        <v>44789</v>
      </c>
      <c r="G20" t="s">
        <v>12</v>
      </c>
      <c r="H20">
        <v>69710</v>
      </c>
    </row>
    <row r="21" spans="2:8" x14ac:dyDescent="0.35">
      <c r="B21" t="s">
        <v>197</v>
      </c>
      <c r="C21" t="s">
        <v>15</v>
      </c>
      <c r="D21">
        <v>20</v>
      </c>
      <c r="E21" t="s">
        <v>16</v>
      </c>
      <c r="F21" s="1">
        <v>44683</v>
      </c>
      <c r="G21" t="s">
        <v>9</v>
      </c>
      <c r="H21">
        <v>79570</v>
      </c>
    </row>
    <row r="22" spans="2:8" x14ac:dyDescent="0.35">
      <c r="B22" t="s">
        <v>154</v>
      </c>
      <c r="C22" t="s">
        <v>8</v>
      </c>
      <c r="D22">
        <v>22</v>
      </c>
      <c r="E22" t="s">
        <v>13</v>
      </c>
      <c r="F22" s="1">
        <v>44388</v>
      </c>
      <c r="G22" t="s">
        <v>9</v>
      </c>
      <c r="H22">
        <v>76900</v>
      </c>
    </row>
    <row r="23" spans="2:8" x14ac:dyDescent="0.35">
      <c r="B23" t="s">
        <v>182</v>
      </c>
      <c r="C23" t="s">
        <v>15</v>
      </c>
      <c r="D23">
        <v>27</v>
      </c>
      <c r="E23" t="s">
        <v>16</v>
      </c>
      <c r="F23" s="1">
        <v>44073</v>
      </c>
      <c r="G23" t="s">
        <v>19</v>
      </c>
      <c r="H23">
        <v>54970</v>
      </c>
    </row>
    <row r="24" spans="2:8" x14ac:dyDescent="0.35">
      <c r="B24" t="s">
        <v>118</v>
      </c>
      <c r="C24" t="s">
        <v>15</v>
      </c>
      <c r="D24">
        <v>37</v>
      </c>
      <c r="E24" t="s">
        <v>24</v>
      </c>
      <c r="F24" s="1">
        <v>44277</v>
      </c>
      <c r="G24" t="s">
        <v>12</v>
      </c>
      <c r="H24">
        <v>88050</v>
      </c>
    </row>
    <row r="25" spans="2:8" x14ac:dyDescent="0.35">
      <c r="B25" t="s">
        <v>192</v>
      </c>
      <c r="C25" t="s">
        <v>15</v>
      </c>
      <c r="D25">
        <v>43</v>
      </c>
      <c r="E25" t="s">
        <v>16</v>
      </c>
      <c r="F25" s="1">
        <v>44558</v>
      </c>
      <c r="G25" t="s">
        <v>19</v>
      </c>
      <c r="H25">
        <v>36040</v>
      </c>
    </row>
    <row r="26" spans="2:8" x14ac:dyDescent="0.35">
      <c r="B26" t="s">
        <v>111</v>
      </c>
      <c r="C26" t="s">
        <v>8</v>
      </c>
      <c r="D26">
        <v>42</v>
      </c>
      <c r="E26" t="s">
        <v>10</v>
      </c>
      <c r="F26" s="1">
        <v>44718</v>
      </c>
      <c r="G26" t="s">
        <v>9</v>
      </c>
      <c r="H26">
        <v>75000</v>
      </c>
    </row>
    <row r="27" spans="2:8" x14ac:dyDescent="0.35">
      <c r="B27" t="s">
        <v>149</v>
      </c>
      <c r="C27" t="s">
        <v>15</v>
      </c>
      <c r="D27">
        <v>35</v>
      </c>
      <c r="E27" t="s">
        <v>16</v>
      </c>
      <c r="F27" s="1">
        <v>44666</v>
      </c>
      <c r="G27" t="s">
        <v>9</v>
      </c>
      <c r="H27">
        <v>40400</v>
      </c>
    </row>
    <row r="28" spans="2:8" x14ac:dyDescent="0.35">
      <c r="B28" t="s">
        <v>196</v>
      </c>
      <c r="C28" t="s">
        <v>15</v>
      </c>
      <c r="D28">
        <v>24</v>
      </c>
      <c r="E28" t="s">
        <v>16</v>
      </c>
      <c r="F28" s="1">
        <v>44625</v>
      </c>
      <c r="G28" t="s">
        <v>12</v>
      </c>
      <c r="H28">
        <v>100420</v>
      </c>
    </row>
    <row r="29" spans="2:8" x14ac:dyDescent="0.35">
      <c r="B29" t="s">
        <v>120</v>
      </c>
      <c r="C29" t="s">
        <v>8</v>
      </c>
      <c r="D29">
        <v>31</v>
      </c>
      <c r="E29" t="s">
        <v>16</v>
      </c>
      <c r="F29" s="1">
        <v>44604</v>
      </c>
      <c r="G29" t="s">
        <v>12</v>
      </c>
      <c r="H29">
        <v>58100</v>
      </c>
    </row>
    <row r="30" spans="2:8" x14ac:dyDescent="0.35">
      <c r="B30" t="s">
        <v>114</v>
      </c>
      <c r="C30" t="s">
        <v>8</v>
      </c>
      <c r="D30">
        <v>44</v>
      </c>
      <c r="E30" t="s">
        <v>16</v>
      </c>
      <c r="F30" s="1">
        <v>44985</v>
      </c>
      <c r="G30" t="s">
        <v>12</v>
      </c>
      <c r="H30">
        <v>114870</v>
      </c>
    </row>
    <row r="31" spans="2:8" x14ac:dyDescent="0.35">
      <c r="B31" t="s">
        <v>158</v>
      </c>
      <c r="C31" t="s">
        <v>8</v>
      </c>
      <c r="D31">
        <v>32</v>
      </c>
      <c r="E31" t="s">
        <v>16</v>
      </c>
      <c r="F31" s="1">
        <v>44549</v>
      </c>
      <c r="G31" t="s">
        <v>9</v>
      </c>
      <c r="H31">
        <v>41570</v>
      </c>
    </row>
    <row r="32" spans="2:8" x14ac:dyDescent="0.35">
      <c r="B32" t="s">
        <v>173</v>
      </c>
      <c r="C32" t="s">
        <v>8</v>
      </c>
      <c r="D32">
        <v>30</v>
      </c>
      <c r="E32" t="s">
        <v>16</v>
      </c>
      <c r="F32" s="1">
        <v>44800</v>
      </c>
      <c r="G32" t="s">
        <v>9</v>
      </c>
      <c r="H32">
        <v>112570</v>
      </c>
    </row>
    <row r="33" spans="2:8" x14ac:dyDescent="0.35">
      <c r="B33" t="s">
        <v>151</v>
      </c>
      <c r="C33" t="s">
        <v>15</v>
      </c>
      <c r="D33">
        <v>26</v>
      </c>
      <c r="E33" t="s">
        <v>16</v>
      </c>
      <c r="F33" s="1">
        <v>44164</v>
      </c>
      <c r="G33" t="s">
        <v>9</v>
      </c>
      <c r="H33">
        <v>47360</v>
      </c>
    </row>
    <row r="34" spans="2:8" x14ac:dyDescent="0.35">
      <c r="B34" t="s">
        <v>126</v>
      </c>
      <c r="C34" t="s">
        <v>8</v>
      </c>
      <c r="D34">
        <v>21</v>
      </c>
      <c r="E34" t="s">
        <v>16</v>
      </c>
      <c r="F34" s="1">
        <v>44256</v>
      </c>
      <c r="G34" t="s">
        <v>21</v>
      </c>
      <c r="H34">
        <v>65920</v>
      </c>
    </row>
    <row r="35" spans="2:8" x14ac:dyDescent="0.35">
      <c r="B35" t="s">
        <v>200</v>
      </c>
      <c r="C35" t="s">
        <v>8</v>
      </c>
      <c r="D35">
        <v>28</v>
      </c>
      <c r="E35" t="s">
        <v>16</v>
      </c>
      <c r="F35" s="1">
        <v>44571</v>
      </c>
      <c r="G35" t="s">
        <v>9</v>
      </c>
      <c r="H35">
        <v>99970</v>
      </c>
    </row>
    <row r="36" spans="2:8" x14ac:dyDescent="0.35">
      <c r="B36" t="s">
        <v>133</v>
      </c>
      <c r="C36" t="s">
        <v>8</v>
      </c>
      <c r="D36">
        <v>25</v>
      </c>
      <c r="E36" t="s">
        <v>13</v>
      </c>
      <c r="F36" s="1">
        <v>44633</v>
      </c>
      <c r="G36" t="s">
        <v>12</v>
      </c>
      <c r="H36">
        <v>80700</v>
      </c>
    </row>
    <row r="37" spans="2:8" x14ac:dyDescent="0.35">
      <c r="B37" t="s">
        <v>155</v>
      </c>
      <c r="C37" t="s">
        <v>15</v>
      </c>
      <c r="D37">
        <v>24</v>
      </c>
      <c r="E37" t="s">
        <v>24</v>
      </c>
      <c r="F37" s="1">
        <v>44375</v>
      </c>
      <c r="G37" t="s">
        <v>21</v>
      </c>
      <c r="H37">
        <v>52610</v>
      </c>
    </row>
    <row r="38" spans="2:8" x14ac:dyDescent="0.35">
      <c r="B38" t="s">
        <v>180</v>
      </c>
      <c r="C38" t="s">
        <v>15</v>
      </c>
      <c r="D38">
        <v>29</v>
      </c>
      <c r="E38" t="s">
        <v>24</v>
      </c>
      <c r="F38" s="1">
        <v>44119</v>
      </c>
      <c r="G38" t="s">
        <v>12</v>
      </c>
      <c r="H38">
        <v>112110</v>
      </c>
    </row>
    <row r="39" spans="2:8" x14ac:dyDescent="0.35">
      <c r="B39" t="s">
        <v>152</v>
      </c>
      <c r="C39" t="s">
        <v>8</v>
      </c>
      <c r="D39">
        <v>27</v>
      </c>
      <c r="E39" t="s">
        <v>16</v>
      </c>
      <c r="F39" s="1">
        <v>44061</v>
      </c>
      <c r="G39" t="s">
        <v>56</v>
      </c>
      <c r="H39">
        <v>119110</v>
      </c>
    </row>
    <row r="40" spans="2:8" x14ac:dyDescent="0.35">
      <c r="B40" t="s">
        <v>150</v>
      </c>
      <c r="C40" t="s">
        <v>15</v>
      </c>
      <c r="D40">
        <v>22</v>
      </c>
      <c r="E40" t="s">
        <v>13</v>
      </c>
      <c r="F40" s="1">
        <v>44384</v>
      </c>
      <c r="G40" t="s">
        <v>19</v>
      </c>
      <c r="H40">
        <v>112780</v>
      </c>
    </row>
    <row r="41" spans="2:8" x14ac:dyDescent="0.35">
      <c r="B41" t="s">
        <v>175</v>
      </c>
      <c r="C41" t="s">
        <v>8</v>
      </c>
      <c r="D41">
        <v>36</v>
      </c>
      <c r="E41" t="s">
        <v>16</v>
      </c>
      <c r="F41" s="1">
        <v>44023</v>
      </c>
      <c r="G41" t="s">
        <v>9</v>
      </c>
      <c r="H41">
        <v>114890</v>
      </c>
    </row>
    <row r="42" spans="2:8" x14ac:dyDescent="0.35">
      <c r="B42" t="s">
        <v>146</v>
      </c>
      <c r="C42" t="s">
        <v>15</v>
      </c>
      <c r="D42">
        <v>27</v>
      </c>
      <c r="E42" t="s">
        <v>16</v>
      </c>
      <c r="F42" s="1">
        <v>44506</v>
      </c>
      <c r="G42" t="s">
        <v>21</v>
      </c>
      <c r="H42">
        <v>48980</v>
      </c>
    </row>
    <row r="43" spans="2:8" x14ac:dyDescent="0.35">
      <c r="B43" t="s">
        <v>170</v>
      </c>
      <c r="C43" t="s">
        <v>15</v>
      </c>
      <c r="D43">
        <v>21</v>
      </c>
      <c r="E43" t="s">
        <v>16</v>
      </c>
      <c r="F43" s="1">
        <v>44180</v>
      </c>
      <c r="G43" t="s">
        <v>56</v>
      </c>
      <c r="H43">
        <v>75880</v>
      </c>
    </row>
    <row r="44" spans="2:8" x14ac:dyDescent="0.35">
      <c r="B44" t="s">
        <v>167</v>
      </c>
      <c r="C44" t="s">
        <v>8</v>
      </c>
      <c r="D44">
        <v>28</v>
      </c>
      <c r="E44" t="s">
        <v>16</v>
      </c>
      <c r="F44" s="1">
        <v>44296</v>
      </c>
      <c r="G44" t="s">
        <v>19</v>
      </c>
      <c r="H44">
        <v>53240</v>
      </c>
    </row>
    <row r="45" spans="2:8" x14ac:dyDescent="0.35">
      <c r="B45" t="s">
        <v>122</v>
      </c>
      <c r="C45" t="s">
        <v>8</v>
      </c>
      <c r="D45">
        <v>34</v>
      </c>
      <c r="E45" t="s">
        <v>16</v>
      </c>
      <c r="F45" s="1">
        <v>44397</v>
      </c>
      <c r="G45" t="s">
        <v>21</v>
      </c>
      <c r="H45">
        <v>85000</v>
      </c>
    </row>
    <row r="46" spans="2:8" x14ac:dyDescent="0.35">
      <c r="B46" t="s">
        <v>179</v>
      </c>
      <c r="C46" t="s">
        <v>8</v>
      </c>
      <c r="D46">
        <v>21</v>
      </c>
      <c r="E46" t="s">
        <v>16</v>
      </c>
      <c r="F46" s="1">
        <v>44619</v>
      </c>
      <c r="G46" t="s">
        <v>12</v>
      </c>
      <c r="H46">
        <v>33920</v>
      </c>
    </row>
    <row r="47" spans="2:8" x14ac:dyDescent="0.35">
      <c r="B47" t="s">
        <v>188</v>
      </c>
      <c r="C47" t="s">
        <v>8</v>
      </c>
      <c r="D47">
        <v>33</v>
      </c>
      <c r="E47" t="s">
        <v>16</v>
      </c>
      <c r="F47" s="1">
        <v>44253</v>
      </c>
      <c r="G47" t="s">
        <v>12</v>
      </c>
      <c r="H47">
        <v>75280</v>
      </c>
    </row>
    <row r="48" spans="2:8" x14ac:dyDescent="0.35">
      <c r="B48" t="s">
        <v>130</v>
      </c>
      <c r="C48" t="s">
        <v>8</v>
      </c>
      <c r="D48">
        <v>34</v>
      </c>
      <c r="E48" t="s">
        <v>16</v>
      </c>
      <c r="F48" s="1">
        <v>44594</v>
      </c>
      <c r="G48" t="s">
        <v>21</v>
      </c>
      <c r="H48">
        <v>58940</v>
      </c>
    </row>
    <row r="49" spans="2:8" x14ac:dyDescent="0.35">
      <c r="B49" t="s">
        <v>136</v>
      </c>
      <c r="C49" t="s">
        <v>8</v>
      </c>
      <c r="D49">
        <v>28</v>
      </c>
      <c r="E49" t="s">
        <v>16</v>
      </c>
      <c r="F49" s="1">
        <v>44425</v>
      </c>
      <c r="G49" t="s">
        <v>9</v>
      </c>
      <c r="H49">
        <v>104770</v>
      </c>
    </row>
    <row r="50" spans="2:8" x14ac:dyDescent="0.35">
      <c r="B50" t="s">
        <v>125</v>
      </c>
      <c r="C50" t="s">
        <v>15</v>
      </c>
      <c r="D50">
        <v>21</v>
      </c>
      <c r="E50" t="s">
        <v>16</v>
      </c>
      <c r="F50" s="1">
        <v>44701</v>
      </c>
      <c r="G50" t="s">
        <v>9</v>
      </c>
      <c r="H50">
        <v>57090</v>
      </c>
    </row>
    <row r="51" spans="2:8" x14ac:dyDescent="0.35">
      <c r="B51" t="s">
        <v>160</v>
      </c>
      <c r="C51" t="s">
        <v>15</v>
      </c>
      <c r="D51">
        <v>27</v>
      </c>
      <c r="E51" t="s">
        <v>13</v>
      </c>
      <c r="F51" s="1">
        <v>44174</v>
      </c>
      <c r="G51" t="s">
        <v>21</v>
      </c>
      <c r="H51">
        <v>91650</v>
      </c>
    </row>
    <row r="52" spans="2:8" x14ac:dyDescent="0.35">
      <c r="B52" t="s">
        <v>183</v>
      </c>
      <c r="C52" t="s">
        <v>15</v>
      </c>
      <c r="D52">
        <v>42</v>
      </c>
      <c r="E52" t="s">
        <v>24</v>
      </c>
      <c r="F52" s="1">
        <v>44670</v>
      </c>
      <c r="G52" t="s">
        <v>21</v>
      </c>
      <c r="H52">
        <v>70270</v>
      </c>
    </row>
    <row r="53" spans="2:8" x14ac:dyDescent="0.35">
      <c r="B53" t="s">
        <v>129</v>
      </c>
      <c r="C53" t="s">
        <v>8</v>
      </c>
      <c r="D53">
        <v>28</v>
      </c>
      <c r="E53" t="s">
        <v>16</v>
      </c>
      <c r="F53" s="1">
        <v>44124</v>
      </c>
      <c r="G53" t="s">
        <v>21</v>
      </c>
      <c r="H53">
        <v>75970</v>
      </c>
    </row>
    <row r="54" spans="2:8" x14ac:dyDescent="0.35">
      <c r="B54" t="s">
        <v>112</v>
      </c>
      <c r="D54">
        <v>27</v>
      </c>
      <c r="E54" t="s">
        <v>13</v>
      </c>
      <c r="F54" s="1">
        <v>44212</v>
      </c>
      <c r="G54" t="s">
        <v>12</v>
      </c>
      <c r="H54">
        <v>90700</v>
      </c>
    </row>
    <row r="55" spans="2:8" x14ac:dyDescent="0.35">
      <c r="B55" t="s">
        <v>131</v>
      </c>
      <c r="C55" t="s">
        <v>15</v>
      </c>
      <c r="D55">
        <v>30</v>
      </c>
      <c r="E55" t="s">
        <v>16</v>
      </c>
      <c r="F55" s="1">
        <v>44607</v>
      </c>
      <c r="G55" t="s">
        <v>9</v>
      </c>
      <c r="H55">
        <v>60570</v>
      </c>
    </row>
    <row r="56" spans="2:8" x14ac:dyDescent="0.35">
      <c r="B56" t="s">
        <v>134</v>
      </c>
      <c r="C56" t="s">
        <v>15</v>
      </c>
      <c r="D56">
        <v>33</v>
      </c>
      <c r="E56" t="s">
        <v>16</v>
      </c>
      <c r="F56" s="1">
        <v>44103</v>
      </c>
      <c r="G56" t="s">
        <v>9</v>
      </c>
      <c r="H56">
        <v>115920</v>
      </c>
    </row>
    <row r="57" spans="2:8" x14ac:dyDescent="0.35">
      <c r="B57" t="s">
        <v>186</v>
      </c>
      <c r="C57" t="s">
        <v>8</v>
      </c>
      <c r="D57">
        <v>33</v>
      </c>
      <c r="E57" t="s">
        <v>16</v>
      </c>
      <c r="F57" s="1">
        <v>44006</v>
      </c>
      <c r="G57" t="s">
        <v>21</v>
      </c>
      <c r="H57">
        <v>65360</v>
      </c>
    </row>
    <row r="58" spans="2:8" x14ac:dyDescent="0.35">
      <c r="B58" t="s">
        <v>116</v>
      </c>
      <c r="D58">
        <v>30</v>
      </c>
      <c r="E58" t="s">
        <v>16</v>
      </c>
      <c r="F58" s="1">
        <v>44535</v>
      </c>
      <c r="G58" t="s">
        <v>21</v>
      </c>
      <c r="H58">
        <v>64000</v>
      </c>
    </row>
    <row r="59" spans="2:8" x14ac:dyDescent="0.35">
      <c r="B59" t="s">
        <v>195</v>
      </c>
      <c r="C59" t="s">
        <v>8</v>
      </c>
      <c r="D59">
        <v>34</v>
      </c>
      <c r="E59" t="s">
        <v>16</v>
      </c>
      <c r="F59" s="1">
        <v>44383</v>
      </c>
      <c r="G59" t="s">
        <v>21</v>
      </c>
      <c r="H59">
        <v>92450</v>
      </c>
    </row>
    <row r="60" spans="2:8" x14ac:dyDescent="0.35">
      <c r="B60" t="s">
        <v>113</v>
      </c>
      <c r="C60" t="s">
        <v>15</v>
      </c>
      <c r="D60">
        <v>31</v>
      </c>
      <c r="E60" t="s">
        <v>16</v>
      </c>
      <c r="F60" s="1">
        <v>44450</v>
      </c>
      <c r="G60" t="s">
        <v>12</v>
      </c>
      <c r="H60">
        <v>48950</v>
      </c>
    </row>
    <row r="61" spans="2:8" x14ac:dyDescent="0.35">
      <c r="B61" t="s">
        <v>185</v>
      </c>
      <c r="C61" t="s">
        <v>8</v>
      </c>
      <c r="D61">
        <v>27</v>
      </c>
      <c r="E61" t="s">
        <v>16</v>
      </c>
      <c r="F61" s="1">
        <v>44625</v>
      </c>
      <c r="G61" t="s">
        <v>12</v>
      </c>
      <c r="H61">
        <v>83750</v>
      </c>
    </row>
    <row r="62" spans="2:8" x14ac:dyDescent="0.35">
      <c r="B62" t="s">
        <v>166</v>
      </c>
      <c r="C62" t="s">
        <v>8</v>
      </c>
      <c r="D62">
        <v>40</v>
      </c>
      <c r="E62" t="s">
        <v>16</v>
      </c>
      <c r="F62" s="1">
        <v>44276</v>
      </c>
      <c r="G62" t="s">
        <v>12</v>
      </c>
      <c r="H62">
        <v>87620</v>
      </c>
    </row>
    <row r="63" spans="2:8" x14ac:dyDescent="0.35">
      <c r="B63" t="s">
        <v>184</v>
      </c>
      <c r="C63" t="s">
        <v>8</v>
      </c>
      <c r="D63">
        <v>20</v>
      </c>
      <c r="E63" t="s">
        <v>24</v>
      </c>
      <c r="F63" s="1">
        <v>44476</v>
      </c>
      <c r="G63" t="s">
        <v>19</v>
      </c>
      <c r="H63">
        <v>68900</v>
      </c>
    </row>
    <row r="64" spans="2:8" x14ac:dyDescent="0.35">
      <c r="B64" t="s">
        <v>157</v>
      </c>
      <c r="C64" t="s">
        <v>15</v>
      </c>
      <c r="D64">
        <v>32</v>
      </c>
      <c r="E64" t="s">
        <v>16</v>
      </c>
      <c r="F64" s="1">
        <v>44403</v>
      </c>
      <c r="G64" t="s">
        <v>19</v>
      </c>
      <c r="H64">
        <v>53540</v>
      </c>
    </row>
    <row r="65" spans="2:8" x14ac:dyDescent="0.35">
      <c r="B65" t="s">
        <v>172</v>
      </c>
      <c r="C65" t="s">
        <v>15</v>
      </c>
      <c r="D65">
        <v>28</v>
      </c>
      <c r="E65" t="s">
        <v>42</v>
      </c>
      <c r="F65" s="1">
        <v>44758</v>
      </c>
      <c r="G65" t="s">
        <v>19</v>
      </c>
      <c r="H65">
        <v>43510</v>
      </c>
    </row>
    <row r="66" spans="2:8" x14ac:dyDescent="0.35">
      <c r="B66" t="s">
        <v>127</v>
      </c>
      <c r="C66" t="s">
        <v>8</v>
      </c>
      <c r="D66">
        <v>38</v>
      </c>
      <c r="E66" t="s">
        <v>10</v>
      </c>
      <c r="F66" s="1">
        <v>44316</v>
      </c>
      <c r="G66" t="s">
        <v>19</v>
      </c>
      <c r="H66">
        <v>109160</v>
      </c>
    </row>
    <row r="67" spans="2:8" x14ac:dyDescent="0.35">
      <c r="B67" t="s">
        <v>198</v>
      </c>
      <c r="C67" t="s">
        <v>15</v>
      </c>
      <c r="D67">
        <v>40</v>
      </c>
      <c r="E67" t="s">
        <v>16</v>
      </c>
      <c r="F67" s="1">
        <v>44204</v>
      </c>
      <c r="G67" t="s">
        <v>9</v>
      </c>
      <c r="H67">
        <v>99750</v>
      </c>
    </row>
    <row r="68" spans="2:8" x14ac:dyDescent="0.35">
      <c r="B68" t="s">
        <v>124</v>
      </c>
      <c r="C68" t="s">
        <v>8</v>
      </c>
      <c r="D68">
        <v>31</v>
      </c>
      <c r="E68" t="s">
        <v>16</v>
      </c>
      <c r="F68" s="1">
        <v>44084</v>
      </c>
      <c r="G68" t="s">
        <v>12</v>
      </c>
      <c r="H68">
        <v>41980</v>
      </c>
    </row>
    <row r="69" spans="2:8" x14ac:dyDescent="0.35">
      <c r="B69" t="s">
        <v>187</v>
      </c>
      <c r="C69" t="s">
        <v>15</v>
      </c>
      <c r="D69">
        <v>36</v>
      </c>
      <c r="E69" t="s">
        <v>16</v>
      </c>
      <c r="F69" s="1">
        <v>44272</v>
      </c>
      <c r="G69" t="s">
        <v>21</v>
      </c>
      <c r="H69">
        <v>71380</v>
      </c>
    </row>
    <row r="70" spans="2:8" x14ac:dyDescent="0.35">
      <c r="B70" t="s">
        <v>191</v>
      </c>
      <c r="C70" t="s">
        <v>15</v>
      </c>
      <c r="D70">
        <v>27</v>
      </c>
      <c r="E70" t="s">
        <v>42</v>
      </c>
      <c r="F70" s="1">
        <v>44547</v>
      </c>
      <c r="G70" t="s">
        <v>9</v>
      </c>
      <c r="H70">
        <v>113280</v>
      </c>
    </row>
    <row r="71" spans="2:8" x14ac:dyDescent="0.35">
      <c r="B71" t="s">
        <v>181</v>
      </c>
      <c r="C71" t="s">
        <v>8</v>
      </c>
      <c r="D71">
        <v>33</v>
      </c>
      <c r="E71" t="s">
        <v>16</v>
      </c>
      <c r="F71" s="1">
        <v>44747</v>
      </c>
      <c r="G71" t="s">
        <v>21</v>
      </c>
      <c r="H71">
        <v>86570</v>
      </c>
    </row>
    <row r="72" spans="2:8" x14ac:dyDescent="0.35">
      <c r="B72" t="s">
        <v>139</v>
      </c>
      <c r="C72" t="s">
        <v>15</v>
      </c>
      <c r="D72">
        <v>26</v>
      </c>
      <c r="E72" t="s">
        <v>16</v>
      </c>
      <c r="F72" s="1">
        <v>44350</v>
      </c>
      <c r="G72" t="s">
        <v>9</v>
      </c>
      <c r="H72">
        <v>53540</v>
      </c>
    </row>
    <row r="73" spans="2:8" x14ac:dyDescent="0.35">
      <c r="B73" t="s">
        <v>190</v>
      </c>
      <c r="C73" t="s">
        <v>15</v>
      </c>
      <c r="D73">
        <v>37</v>
      </c>
      <c r="E73" t="s">
        <v>16</v>
      </c>
      <c r="F73" s="1">
        <v>44640</v>
      </c>
      <c r="G73" t="s">
        <v>12</v>
      </c>
      <c r="H73">
        <v>69070</v>
      </c>
    </row>
    <row r="74" spans="2:8" x14ac:dyDescent="0.35">
      <c r="B74" t="s">
        <v>121</v>
      </c>
      <c r="C74" t="s">
        <v>8</v>
      </c>
      <c r="D74">
        <v>30</v>
      </c>
      <c r="E74" t="s">
        <v>24</v>
      </c>
      <c r="F74" s="1">
        <v>44328</v>
      </c>
      <c r="G74" t="s">
        <v>21</v>
      </c>
      <c r="H74">
        <v>67910</v>
      </c>
    </row>
    <row r="75" spans="2:8" x14ac:dyDescent="0.35">
      <c r="B75" t="s">
        <v>119</v>
      </c>
      <c r="C75" t="s">
        <v>15</v>
      </c>
      <c r="D75">
        <v>30</v>
      </c>
      <c r="E75" t="s">
        <v>16</v>
      </c>
      <c r="F75" s="1">
        <v>44214</v>
      </c>
      <c r="G75" t="s">
        <v>12</v>
      </c>
      <c r="H75">
        <v>69120</v>
      </c>
    </row>
    <row r="76" spans="2:8" x14ac:dyDescent="0.35">
      <c r="B76" t="s">
        <v>132</v>
      </c>
      <c r="C76" t="s">
        <v>8</v>
      </c>
      <c r="D76">
        <v>34</v>
      </c>
      <c r="E76" t="s">
        <v>16</v>
      </c>
      <c r="F76" s="1">
        <v>44550</v>
      </c>
      <c r="G76" t="s">
        <v>21</v>
      </c>
      <c r="H76">
        <v>60130</v>
      </c>
    </row>
    <row r="77" spans="2:8" x14ac:dyDescent="0.35">
      <c r="B77" t="s">
        <v>161</v>
      </c>
      <c r="C77" t="s">
        <v>15</v>
      </c>
      <c r="D77">
        <v>23</v>
      </c>
      <c r="E77" t="s">
        <v>16</v>
      </c>
      <c r="F77" s="1">
        <v>44378</v>
      </c>
      <c r="G77" t="s">
        <v>9</v>
      </c>
      <c r="H77">
        <v>106460</v>
      </c>
    </row>
    <row r="78" spans="2:8" x14ac:dyDescent="0.35">
      <c r="B78" t="s">
        <v>148</v>
      </c>
      <c r="C78" t="s">
        <v>8</v>
      </c>
      <c r="D78">
        <v>37</v>
      </c>
      <c r="E78" t="s">
        <v>16</v>
      </c>
      <c r="F78" s="1">
        <v>44389</v>
      </c>
      <c r="G78" t="s">
        <v>56</v>
      </c>
      <c r="H78">
        <v>118100</v>
      </c>
    </row>
    <row r="79" spans="2:8" x14ac:dyDescent="0.35">
      <c r="B79" t="s">
        <v>164</v>
      </c>
      <c r="C79" t="s">
        <v>8</v>
      </c>
      <c r="D79">
        <v>36</v>
      </c>
      <c r="E79" t="s">
        <v>16</v>
      </c>
      <c r="F79" s="1">
        <v>44468</v>
      </c>
      <c r="G79" t="s">
        <v>9</v>
      </c>
      <c r="H79">
        <v>78390</v>
      </c>
    </row>
    <row r="80" spans="2:8" x14ac:dyDescent="0.35">
      <c r="B80" t="s">
        <v>147</v>
      </c>
      <c r="C80" t="s">
        <v>8</v>
      </c>
      <c r="D80">
        <v>30</v>
      </c>
      <c r="E80" t="s">
        <v>16</v>
      </c>
      <c r="F80" s="1">
        <v>44789</v>
      </c>
      <c r="G80" t="s">
        <v>9</v>
      </c>
      <c r="H80">
        <v>114180</v>
      </c>
    </row>
    <row r="81" spans="2:8" x14ac:dyDescent="0.35">
      <c r="B81" t="s">
        <v>189</v>
      </c>
      <c r="C81" t="s">
        <v>8</v>
      </c>
      <c r="D81">
        <v>28</v>
      </c>
      <c r="E81" t="s">
        <v>16</v>
      </c>
      <c r="F81" s="1">
        <v>44590</v>
      </c>
      <c r="G81" t="s">
        <v>9</v>
      </c>
      <c r="H81">
        <v>104120</v>
      </c>
    </row>
    <row r="82" spans="2:8" x14ac:dyDescent="0.35">
      <c r="B82" t="s">
        <v>138</v>
      </c>
      <c r="C82" t="s">
        <v>15</v>
      </c>
      <c r="D82">
        <v>30</v>
      </c>
      <c r="E82" t="s">
        <v>16</v>
      </c>
      <c r="F82" s="1">
        <v>44640</v>
      </c>
      <c r="G82" t="s">
        <v>9</v>
      </c>
      <c r="H82">
        <v>67950</v>
      </c>
    </row>
    <row r="83" spans="2:8" x14ac:dyDescent="0.35">
      <c r="B83" t="s">
        <v>137</v>
      </c>
      <c r="C83" t="s">
        <v>8</v>
      </c>
      <c r="D83">
        <v>29</v>
      </c>
      <c r="E83" t="s">
        <v>16</v>
      </c>
      <c r="F83" s="1">
        <v>43962</v>
      </c>
      <c r="G83" t="s">
        <v>12</v>
      </c>
      <c r="H83">
        <v>34980</v>
      </c>
    </row>
    <row r="84" spans="2:8" x14ac:dyDescent="0.35">
      <c r="B84" t="s">
        <v>153</v>
      </c>
      <c r="C84" t="s">
        <v>8</v>
      </c>
      <c r="D84">
        <v>24</v>
      </c>
      <c r="E84" t="s">
        <v>16</v>
      </c>
      <c r="F84" s="1">
        <v>44087</v>
      </c>
      <c r="G84" t="s">
        <v>12</v>
      </c>
      <c r="H84">
        <v>62780</v>
      </c>
    </row>
    <row r="85" spans="2:8" x14ac:dyDescent="0.35">
      <c r="B85" t="s">
        <v>117</v>
      </c>
      <c r="C85" t="s">
        <v>15</v>
      </c>
      <c r="D85">
        <v>20</v>
      </c>
      <c r="E85" t="s">
        <v>16</v>
      </c>
      <c r="F85" s="1">
        <v>44397</v>
      </c>
      <c r="G85" t="s">
        <v>12</v>
      </c>
      <c r="H85">
        <v>107700</v>
      </c>
    </row>
    <row r="86" spans="2:8" x14ac:dyDescent="0.35">
      <c r="B86" t="s">
        <v>168</v>
      </c>
      <c r="C86" t="s">
        <v>15</v>
      </c>
      <c r="D86">
        <v>25</v>
      </c>
      <c r="E86" t="s">
        <v>16</v>
      </c>
      <c r="F86" s="1">
        <v>44322</v>
      </c>
      <c r="G86" t="s">
        <v>19</v>
      </c>
      <c r="H86">
        <v>65700</v>
      </c>
    </row>
    <row r="87" spans="2:8" x14ac:dyDescent="0.35">
      <c r="B87" t="s">
        <v>135</v>
      </c>
      <c r="C87" t="s">
        <v>8</v>
      </c>
      <c r="D87">
        <v>33</v>
      </c>
      <c r="E87" t="s">
        <v>42</v>
      </c>
      <c r="F87" s="1">
        <v>44313</v>
      </c>
      <c r="G87" t="s">
        <v>12</v>
      </c>
      <c r="H87">
        <v>75480</v>
      </c>
    </row>
    <row r="88" spans="2:8" x14ac:dyDescent="0.35">
      <c r="B88" t="s">
        <v>174</v>
      </c>
      <c r="C88" t="s">
        <v>15</v>
      </c>
      <c r="D88">
        <v>33</v>
      </c>
      <c r="E88" t="s">
        <v>16</v>
      </c>
      <c r="F88" s="1">
        <v>44448</v>
      </c>
      <c r="G88" t="s">
        <v>12</v>
      </c>
      <c r="H88">
        <v>53870</v>
      </c>
    </row>
    <row r="89" spans="2:8" x14ac:dyDescent="0.35">
      <c r="B89" t="s">
        <v>141</v>
      </c>
      <c r="C89" t="s">
        <v>8</v>
      </c>
      <c r="D89">
        <v>36</v>
      </c>
      <c r="E89" t="s">
        <v>16</v>
      </c>
      <c r="F89" s="1">
        <v>44433</v>
      </c>
      <c r="G89" t="s">
        <v>19</v>
      </c>
      <c r="H89">
        <v>78540</v>
      </c>
    </row>
    <row r="90" spans="2:8" x14ac:dyDescent="0.35">
      <c r="B90" t="s">
        <v>193</v>
      </c>
      <c r="C90" t="s">
        <v>15</v>
      </c>
      <c r="D90">
        <v>19</v>
      </c>
      <c r="E90" t="s">
        <v>16</v>
      </c>
      <c r="F90" s="1">
        <v>44218</v>
      </c>
      <c r="G90" t="s">
        <v>9</v>
      </c>
      <c r="H90">
        <v>58960</v>
      </c>
    </row>
    <row r="91" spans="2:8" x14ac:dyDescent="0.35">
      <c r="B91" t="s">
        <v>162</v>
      </c>
      <c r="C91" t="s">
        <v>15</v>
      </c>
      <c r="D91">
        <v>46</v>
      </c>
      <c r="E91" t="s">
        <v>16</v>
      </c>
      <c r="F91" s="1">
        <v>44697</v>
      </c>
      <c r="G91" t="s">
        <v>9</v>
      </c>
      <c r="H91">
        <v>70610</v>
      </c>
    </row>
    <row r="92" spans="2:8" x14ac:dyDescent="0.35">
      <c r="B92" t="s">
        <v>171</v>
      </c>
      <c r="C92" t="s">
        <v>15</v>
      </c>
      <c r="D92">
        <v>33</v>
      </c>
      <c r="E92" t="s">
        <v>16</v>
      </c>
      <c r="F92" s="1">
        <v>44181</v>
      </c>
      <c r="G92" t="s">
        <v>21</v>
      </c>
      <c r="H92">
        <v>59430</v>
      </c>
    </row>
    <row r="93" spans="2:8" x14ac:dyDescent="0.35">
      <c r="B93" t="s">
        <v>144</v>
      </c>
      <c r="C93" t="s">
        <v>15</v>
      </c>
      <c r="D93">
        <v>33</v>
      </c>
      <c r="E93" t="s">
        <v>13</v>
      </c>
      <c r="F93" s="1">
        <v>44640</v>
      </c>
      <c r="G93" t="s">
        <v>9</v>
      </c>
      <c r="H93">
        <v>48530</v>
      </c>
    </row>
    <row r="94" spans="2:8" x14ac:dyDescent="0.35">
      <c r="B94" t="s">
        <v>163</v>
      </c>
      <c r="C94" t="s">
        <v>8</v>
      </c>
      <c r="D94">
        <v>33</v>
      </c>
      <c r="E94" t="s">
        <v>16</v>
      </c>
      <c r="F94" s="1">
        <v>44129</v>
      </c>
      <c r="G94" t="s">
        <v>12</v>
      </c>
      <c r="H94">
        <v>96140</v>
      </c>
    </row>
    <row r="95" spans="2:8" x14ac:dyDescent="0.35">
      <c r="B95" t="s">
        <v>156</v>
      </c>
      <c r="C95" t="s">
        <v>15</v>
      </c>
      <c r="D95">
        <v>20</v>
      </c>
      <c r="E95" t="s">
        <v>16</v>
      </c>
      <c r="F95" s="1">
        <v>44122</v>
      </c>
      <c r="G95" t="s">
        <v>12</v>
      </c>
      <c r="H95">
        <v>112650</v>
      </c>
    </row>
    <row r="96" spans="2:8" x14ac:dyDescent="0.35">
      <c r="B96" t="s">
        <v>176</v>
      </c>
      <c r="C96" t="s">
        <v>8</v>
      </c>
      <c r="D96">
        <v>32</v>
      </c>
      <c r="E96" t="s">
        <v>13</v>
      </c>
      <c r="F96" s="1">
        <v>44293</v>
      </c>
      <c r="G96" t="s">
        <v>12</v>
      </c>
      <c r="H96">
        <v>43840</v>
      </c>
    </row>
    <row r="97" spans="2:8" x14ac:dyDescent="0.35">
      <c r="B97" t="s">
        <v>143</v>
      </c>
      <c r="C97" t="s">
        <v>15</v>
      </c>
      <c r="D97">
        <v>31</v>
      </c>
      <c r="E97" t="s">
        <v>16</v>
      </c>
      <c r="F97" s="1">
        <v>44663</v>
      </c>
      <c r="G97" t="s">
        <v>9</v>
      </c>
      <c r="H97">
        <v>103550</v>
      </c>
    </row>
    <row r="98" spans="2:8" x14ac:dyDescent="0.35">
      <c r="B98" t="s">
        <v>201</v>
      </c>
      <c r="C98" t="s">
        <v>8</v>
      </c>
      <c r="D98">
        <v>32</v>
      </c>
      <c r="E98" t="s">
        <v>16</v>
      </c>
      <c r="F98" s="1">
        <v>44339</v>
      </c>
      <c r="G98" t="s">
        <v>56</v>
      </c>
      <c r="H98">
        <v>45510</v>
      </c>
    </row>
    <row r="99" spans="2:8" x14ac:dyDescent="0.35">
      <c r="B99" t="s">
        <v>142</v>
      </c>
      <c r="D99">
        <v>37</v>
      </c>
      <c r="E99" t="s">
        <v>24</v>
      </c>
      <c r="F99" s="1">
        <v>44085</v>
      </c>
      <c r="G99" t="s">
        <v>21</v>
      </c>
      <c r="H99">
        <v>115440</v>
      </c>
    </row>
    <row r="100" spans="2:8" x14ac:dyDescent="0.35">
      <c r="B100" t="s">
        <v>202</v>
      </c>
      <c r="C100" t="s">
        <v>8</v>
      </c>
      <c r="D100">
        <v>38</v>
      </c>
      <c r="E100" t="s">
        <v>13</v>
      </c>
      <c r="F100" s="1">
        <v>44268</v>
      </c>
      <c r="G100" t="s">
        <v>19</v>
      </c>
      <c r="H100">
        <v>56870</v>
      </c>
    </row>
    <row r="101" spans="2:8" x14ac:dyDescent="0.35">
      <c r="B101" t="s">
        <v>169</v>
      </c>
      <c r="C101" t="s">
        <v>8</v>
      </c>
      <c r="D101">
        <v>25</v>
      </c>
      <c r="E101" t="s">
        <v>16</v>
      </c>
      <c r="F101" s="1">
        <v>44144</v>
      </c>
      <c r="G101" t="s">
        <v>19</v>
      </c>
      <c r="H101">
        <v>92700</v>
      </c>
    </row>
    <row r="102" spans="2:8" x14ac:dyDescent="0.35">
      <c r="B102" t="s">
        <v>145</v>
      </c>
      <c r="D102">
        <v>32</v>
      </c>
      <c r="E102" t="s">
        <v>16</v>
      </c>
      <c r="F102" s="1">
        <v>44713</v>
      </c>
      <c r="G102" t="s">
        <v>12</v>
      </c>
      <c r="H102">
        <v>91310</v>
      </c>
    </row>
    <row r="103" spans="2:8" x14ac:dyDescent="0.35">
      <c r="B103" t="s">
        <v>115</v>
      </c>
      <c r="C103" t="s">
        <v>15</v>
      </c>
      <c r="D103">
        <v>33</v>
      </c>
      <c r="E103" t="s">
        <v>16</v>
      </c>
      <c r="F103" s="1">
        <v>44324</v>
      </c>
      <c r="G103" t="s">
        <v>19</v>
      </c>
      <c r="H103">
        <v>74550</v>
      </c>
    </row>
    <row r="104" spans="2:8" x14ac:dyDescent="0.35">
      <c r="B104" t="s">
        <v>128</v>
      </c>
      <c r="C104" t="s">
        <v>15</v>
      </c>
      <c r="D104">
        <v>25</v>
      </c>
      <c r="E104" t="s">
        <v>13</v>
      </c>
      <c r="F104" s="1">
        <v>44665</v>
      </c>
      <c r="G104" t="s">
        <v>9</v>
      </c>
      <c r="H104">
        <v>109190</v>
      </c>
    </row>
    <row r="105" spans="2:8" x14ac:dyDescent="0.35">
      <c r="B105" t="s">
        <v>194</v>
      </c>
      <c r="C105" t="s">
        <v>8</v>
      </c>
      <c r="D105">
        <v>40</v>
      </c>
      <c r="E105" t="s">
        <v>16</v>
      </c>
      <c r="F105" s="1">
        <v>44320</v>
      </c>
      <c r="G105" t="s">
        <v>12</v>
      </c>
      <c r="H105">
        <v>104410</v>
      </c>
    </row>
    <row r="106" spans="2:8" x14ac:dyDescent="0.35">
      <c r="B106" t="s">
        <v>177</v>
      </c>
      <c r="C106" t="s">
        <v>15</v>
      </c>
      <c r="D106">
        <v>30</v>
      </c>
      <c r="E106" t="s">
        <v>16</v>
      </c>
      <c r="F106" s="1">
        <v>44544</v>
      </c>
      <c r="G106" t="s">
        <v>21</v>
      </c>
      <c r="H106">
        <v>96800</v>
      </c>
    </row>
    <row r="107" spans="2:8" x14ac:dyDescent="0.35">
      <c r="B107" t="s">
        <v>123</v>
      </c>
      <c r="C107" t="s">
        <v>15</v>
      </c>
      <c r="D107">
        <v>28</v>
      </c>
      <c r="E107" t="s">
        <v>13</v>
      </c>
      <c r="F107" s="1">
        <v>43980</v>
      </c>
      <c r="G107" t="s">
        <v>21</v>
      </c>
      <c r="H107">
        <v>48170</v>
      </c>
    </row>
    <row r="108" spans="2:8" x14ac:dyDescent="0.35">
      <c r="B108" t="s">
        <v>140</v>
      </c>
      <c r="C108" t="s">
        <v>15</v>
      </c>
      <c r="D108">
        <v>21</v>
      </c>
      <c r="E108" t="s">
        <v>16</v>
      </c>
      <c r="F108" s="1">
        <v>44042</v>
      </c>
      <c r="G108" t="s">
        <v>9</v>
      </c>
      <c r="H108">
        <v>37920</v>
      </c>
    </row>
    <row r="109" spans="2:8" x14ac:dyDescent="0.35">
      <c r="B109" t="s">
        <v>178</v>
      </c>
      <c r="C109" t="s">
        <v>15</v>
      </c>
      <c r="D109">
        <v>34</v>
      </c>
      <c r="E109" t="s">
        <v>16</v>
      </c>
      <c r="F109" s="1">
        <v>44642</v>
      </c>
      <c r="G109" t="s">
        <v>9</v>
      </c>
      <c r="H109">
        <v>112650</v>
      </c>
    </row>
    <row r="110" spans="2:8" x14ac:dyDescent="0.35">
      <c r="B110" t="s">
        <v>165</v>
      </c>
      <c r="C110" t="s">
        <v>8</v>
      </c>
      <c r="D110">
        <v>34</v>
      </c>
      <c r="E110" t="s">
        <v>24</v>
      </c>
      <c r="F110" s="1">
        <v>44660</v>
      </c>
      <c r="G110" t="s">
        <v>19</v>
      </c>
      <c r="H110">
        <v>49630</v>
      </c>
    </row>
    <row r="111" spans="2:8" x14ac:dyDescent="0.35">
      <c r="B111" t="s">
        <v>199</v>
      </c>
      <c r="C111" t="s">
        <v>15</v>
      </c>
      <c r="D111">
        <v>36</v>
      </c>
      <c r="E111" t="s">
        <v>16</v>
      </c>
      <c r="F111" s="1">
        <v>43958</v>
      </c>
      <c r="G111" t="s">
        <v>12</v>
      </c>
      <c r="H111">
        <v>118840</v>
      </c>
    </row>
    <row r="112" spans="2:8" x14ac:dyDescent="0.35">
      <c r="B112" t="s">
        <v>159</v>
      </c>
      <c r="C112" t="s">
        <v>15</v>
      </c>
      <c r="D112">
        <v>30</v>
      </c>
      <c r="E112" t="s">
        <v>16</v>
      </c>
      <c r="F112" s="1">
        <v>44789</v>
      </c>
      <c r="G112" t="s">
        <v>12</v>
      </c>
      <c r="H112">
        <v>69710</v>
      </c>
    </row>
    <row r="113" spans="2:8" x14ac:dyDescent="0.35">
      <c r="B113" t="s">
        <v>197</v>
      </c>
      <c r="C113" t="s">
        <v>15</v>
      </c>
      <c r="D113">
        <v>20</v>
      </c>
      <c r="E113" t="s">
        <v>16</v>
      </c>
      <c r="F113" s="1">
        <v>44683</v>
      </c>
      <c r="G113" t="s">
        <v>9</v>
      </c>
      <c r="H113">
        <v>79570</v>
      </c>
    </row>
    <row r="114" spans="2:8" x14ac:dyDescent="0.35">
      <c r="B114" t="s">
        <v>154</v>
      </c>
      <c r="C114" t="s">
        <v>8</v>
      </c>
      <c r="D114">
        <v>22</v>
      </c>
      <c r="E114" t="s">
        <v>13</v>
      </c>
      <c r="F114" s="1">
        <v>44388</v>
      </c>
      <c r="G114" t="s">
        <v>9</v>
      </c>
      <c r="H114">
        <v>76900</v>
      </c>
    </row>
    <row r="115" spans="2:8" x14ac:dyDescent="0.35">
      <c r="B115" t="s">
        <v>204</v>
      </c>
      <c r="H115">
        <f>SUBTOTAL(109,India_staff[Salary])</f>
        <v>8757930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4CE77-0AC2-4613-A2D6-B5B3C5DE5E4F}">
  <sheetPr>
    <tabColor rgb="FFFFFF00"/>
  </sheetPr>
  <dimension ref="A1:O184"/>
  <sheetViews>
    <sheetView showGridLines="0" topLeftCell="J13" workbookViewId="0">
      <selection activeCell="N17" sqref="N17:O17"/>
    </sheetView>
  </sheetViews>
  <sheetFormatPr defaultRowHeight="14.5" x14ac:dyDescent="0.35"/>
  <cols>
    <col min="1" max="1" width="28.1796875" bestFit="1" customWidth="1"/>
    <col min="2" max="2" width="9.26953125" bestFit="1" customWidth="1"/>
    <col min="3" max="3" width="6.1796875" bestFit="1" customWidth="1"/>
    <col min="4" max="4" width="13.1796875" bestFit="1" customWidth="1"/>
    <col min="5" max="5" width="12.90625" bestFit="1" customWidth="1"/>
    <col min="6" max="6" width="13.36328125" bestFit="1" customWidth="1"/>
    <col min="7" max="7" width="8.08984375" bestFit="1" customWidth="1"/>
    <col min="8" max="8" width="9.81640625" bestFit="1" customWidth="1"/>
    <col min="9" max="9" width="10.08984375" bestFit="1" customWidth="1"/>
    <col min="10" max="13" width="10.08984375" customWidth="1"/>
    <col min="14" max="14" width="32.81640625" customWidth="1"/>
    <col min="15" max="15" width="16.26953125" customWidth="1"/>
  </cols>
  <sheetData>
    <row r="1" spans="1:15" x14ac:dyDescent="0.35">
      <c r="A1" t="s">
        <v>0</v>
      </c>
      <c r="B1" t="s">
        <v>1</v>
      </c>
      <c r="C1" t="s">
        <v>3</v>
      </c>
      <c r="D1" t="s">
        <v>6</v>
      </c>
      <c r="E1" t="s">
        <v>4</v>
      </c>
      <c r="F1" t="s">
        <v>2</v>
      </c>
      <c r="G1" t="s">
        <v>5</v>
      </c>
      <c r="H1" t="s">
        <v>205</v>
      </c>
      <c r="I1" t="s">
        <v>215</v>
      </c>
      <c r="J1" t="s">
        <v>226</v>
      </c>
      <c r="K1" t="s">
        <v>232</v>
      </c>
    </row>
    <row r="2" spans="1:15" ht="15" thickBot="1" x14ac:dyDescent="0.4">
      <c r="A2" t="s">
        <v>179</v>
      </c>
      <c r="B2" t="s">
        <v>8</v>
      </c>
      <c r="C2">
        <v>21</v>
      </c>
      <c r="D2" t="s">
        <v>16</v>
      </c>
      <c r="E2" s="3">
        <v>44619</v>
      </c>
      <c r="F2" t="s">
        <v>12</v>
      </c>
      <c r="G2">
        <v>33920</v>
      </c>
      <c r="H2" t="s">
        <v>206</v>
      </c>
      <c r="I2" s="4">
        <f ca="1">(TODAY()-Staff[[#This Row],[Date Joined]])/365</f>
        <v>2.2821917808219179</v>
      </c>
      <c r="J2" s="9">
        <f ca="1">ROUNDUP(IF(Staff[[#This Row],[Tenure]]&gt;2, 3%, 2%)*Staff[[#This Row],[Salary]],0)</f>
        <v>1018</v>
      </c>
      <c r="K2" s="4">
        <f>_xlfn.XLOOKUP(Staff[[#This Row],[Rating]],'Salary Vs Rating'!$B$34:$B$38,'Salary Vs Rating'!$C$34:$C$38)</f>
        <v>3</v>
      </c>
      <c r="L2" s="4"/>
      <c r="M2" s="4"/>
    </row>
    <row r="3" spans="1:15" ht="25.5" thickBot="1" x14ac:dyDescent="0.75">
      <c r="A3" t="s">
        <v>86</v>
      </c>
      <c r="B3" t="s">
        <v>8</v>
      </c>
      <c r="C3">
        <v>21</v>
      </c>
      <c r="D3" t="s">
        <v>16</v>
      </c>
      <c r="E3" s="3">
        <v>44678</v>
      </c>
      <c r="F3" t="s">
        <v>12</v>
      </c>
      <c r="G3">
        <v>33920</v>
      </c>
      <c r="H3" t="s">
        <v>208</v>
      </c>
      <c r="I3" s="4">
        <f ca="1">(TODAY()-Staff[[#This Row],[Date Joined]])/365</f>
        <v>2.1205479452054794</v>
      </c>
      <c r="J3" s="9">
        <f ca="1">ROUNDUP(IF(Staff[[#This Row],[Tenure]]&gt;2, 3%, 2%)*Staff[[#This Row],[Salary]],0)</f>
        <v>1018</v>
      </c>
      <c r="K3" s="4">
        <f>_xlfn.XLOOKUP(Staff[[#This Row],[Rating]],'Salary Vs Rating'!$B$34:$B$38,'Salary Vs Rating'!$C$34:$C$38)</f>
        <v>3</v>
      </c>
      <c r="L3" s="4"/>
      <c r="M3" s="53">
        <v>1</v>
      </c>
      <c r="N3" s="39" t="s">
        <v>242</v>
      </c>
      <c r="O3" s="40"/>
    </row>
    <row r="4" spans="1:15" ht="20" x14ac:dyDescent="0.35">
      <c r="A4" t="s">
        <v>137</v>
      </c>
      <c r="B4" t="s">
        <v>8</v>
      </c>
      <c r="C4">
        <v>29</v>
      </c>
      <c r="D4" t="s">
        <v>16</v>
      </c>
      <c r="E4" s="3">
        <v>43962</v>
      </c>
      <c r="F4" t="s">
        <v>12</v>
      </c>
      <c r="G4">
        <v>34980</v>
      </c>
      <c r="H4" t="s">
        <v>206</v>
      </c>
      <c r="I4" s="4">
        <f ca="1">(TODAY()-Staff[[#This Row],[Date Joined]])/365</f>
        <v>4.0821917808219181</v>
      </c>
      <c r="J4" s="9">
        <f ca="1">ROUNDUP(IF(Staff[[#This Row],[Tenure]]&gt;2, 3%, 2%)*Staff[[#This Row],[Salary]],0)</f>
        <v>1050</v>
      </c>
      <c r="K4" s="4">
        <f>_xlfn.XLOOKUP(Staff[[#This Row],[Rating]],'Salary Vs Rating'!$B$34:$B$38,'Salary Vs Rating'!$C$34:$C$38)</f>
        <v>3</v>
      </c>
      <c r="L4" s="4"/>
      <c r="M4" s="4"/>
      <c r="N4" s="24" t="s">
        <v>209</v>
      </c>
      <c r="O4" s="25">
        <f>COUNTA(Staff[Name])</f>
        <v>183</v>
      </c>
    </row>
    <row r="5" spans="1:15" ht="20" x14ac:dyDescent="0.35">
      <c r="A5" t="s">
        <v>44</v>
      </c>
      <c r="B5" t="s">
        <v>8</v>
      </c>
      <c r="C5">
        <v>29</v>
      </c>
      <c r="D5" t="s">
        <v>16</v>
      </c>
      <c r="E5" s="3">
        <v>44023</v>
      </c>
      <c r="F5" t="s">
        <v>12</v>
      </c>
      <c r="G5">
        <v>34980</v>
      </c>
      <c r="H5" t="s">
        <v>208</v>
      </c>
      <c r="I5" s="4">
        <f ca="1">(TODAY()-Staff[[#This Row],[Date Joined]])/365</f>
        <v>3.9150684931506849</v>
      </c>
      <c r="J5" s="9">
        <f ca="1">ROUNDUP(IF(Staff[[#This Row],[Tenure]]&gt;2, 3%, 2%)*Staff[[#This Row],[Salary]],0)</f>
        <v>1050</v>
      </c>
      <c r="K5" s="4">
        <f>_xlfn.XLOOKUP(Staff[[#This Row],[Rating]],'Salary Vs Rating'!$B$34:$B$38,'Salary Vs Rating'!$C$34:$C$38)</f>
        <v>3</v>
      </c>
      <c r="L5" s="4"/>
      <c r="M5" s="4"/>
      <c r="N5" s="26" t="s">
        <v>210</v>
      </c>
      <c r="O5" s="27">
        <f>AVERAGE(Staff[Age])</f>
        <v>30.42622950819672</v>
      </c>
    </row>
    <row r="6" spans="1:15" ht="20" x14ac:dyDescent="0.35">
      <c r="A6" t="s">
        <v>192</v>
      </c>
      <c r="B6" t="s">
        <v>15</v>
      </c>
      <c r="C6">
        <v>43</v>
      </c>
      <c r="D6" t="s">
        <v>16</v>
      </c>
      <c r="E6" s="3">
        <v>44558</v>
      </c>
      <c r="F6" t="s">
        <v>19</v>
      </c>
      <c r="G6">
        <v>36040</v>
      </c>
      <c r="H6" t="s">
        <v>206</v>
      </c>
      <c r="I6" s="4">
        <f ca="1">(TODAY()-Staff[[#This Row],[Date Joined]])/365</f>
        <v>2.4493150684931506</v>
      </c>
      <c r="J6" s="9">
        <f ca="1">ROUNDUP(IF(Staff[[#This Row],[Tenure]]&gt;2, 3%, 2%)*Staff[[#This Row],[Salary]],0)</f>
        <v>1082</v>
      </c>
      <c r="K6" s="4">
        <f>_xlfn.XLOOKUP(Staff[[#This Row],[Rating]],'Salary Vs Rating'!$B$34:$B$38,'Salary Vs Rating'!$C$34:$C$38)</f>
        <v>3</v>
      </c>
      <c r="L6" s="4"/>
      <c r="M6" s="4"/>
      <c r="N6" s="26" t="s">
        <v>239</v>
      </c>
      <c r="O6" s="27">
        <f>MEDIAN(Staff[Age])</f>
        <v>30</v>
      </c>
    </row>
    <row r="7" spans="1:15" ht="20" x14ac:dyDescent="0.35">
      <c r="A7" t="s">
        <v>99</v>
      </c>
      <c r="B7" t="s">
        <v>15</v>
      </c>
      <c r="C7">
        <v>43</v>
      </c>
      <c r="D7" t="s">
        <v>16</v>
      </c>
      <c r="E7" s="3">
        <v>44620</v>
      </c>
      <c r="F7" t="s">
        <v>19</v>
      </c>
      <c r="G7">
        <v>25000</v>
      </c>
      <c r="H7" t="s">
        <v>208</v>
      </c>
      <c r="I7" s="4">
        <f ca="1">(TODAY()-Staff[[#This Row],[Date Joined]])/365</f>
        <v>2.2794520547945205</v>
      </c>
      <c r="J7" s="9">
        <f ca="1">ROUNDUP(IF(Staff[[#This Row],[Tenure]]&gt;2, 3%, 2%)*Staff[[#This Row],[Salary]],0)</f>
        <v>750</v>
      </c>
      <c r="K7" s="4">
        <f>_xlfn.XLOOKUP(Staff[[#This Row],[Rating]],'Salary Vs Rating'!$B$34:$B$38,'Salary Vs Rating'!$C$34:$C$38)</f>
        <v>3</v>
      </c>
      <c r="L7" s="4"/>
      <c r="M7" s="4"/>
      <c r="N7" s="26" t="s">
        <v>211</v>
      </c>
      <c r="O7" s="28">
        <f>AVERAGE(Staff[Salary])</f>
        <v>77346.284153005457</v>
      </c>
    </row>
    <row r="8" spans="1:15" ht="20" x14ac:dyDescent="0.35">
      <c r="A8" t="s">
        <v>140</v>
      </c>
      <c r="B8" t="s">
        <v>15</v>
      </c>
      <c r="C8">
        <v>21</v>
      </c>
      <c r="D8" t="s">
        <v>16</v>
      </c>
      <c r="E8" s="3">
        <v>44042</v>
      </c>
      <c r="F8" t="s">
        <v>9</v>
      </c>
      <c r="G8">
        <v>19320</v>
      </c>
      <c r="H8" t="s">
        <v>206</v>
      </c>
      <c r="I8" s="4">
        <f ca="1">(TODAY()-Staff[[#This Row],[Date Joined]])/365</f>
        <v>3.8630136986301369</v>
      </c>
      <c r="J8" s="9">
        <f ca="1">ROUNDUP(IF(Staff[[#This Row],[Tenure]]&gt;2, 3%, 2%)*Staff[[#This Row],[Salary]],0)</f>
        <v>580</v>
      </c>
      <c r="K8" s="4">
        <f>_xlfn.XLOOKUP(Staff[[#This Row],[Rating]],'Salary Vs Rating'!$B$34:$B$38,'Salary Vs Rating'!$C$34:$C$38)</f>
        <v>3</v>
      </c>
      <c r="L8" s="4"/>
      <c r="M8" s="4"/>
      <c r="N8" s="26" t="s">
        <v>240</v>
      </c>
      <c r="O8" s="27">
        <f>MEDIAN(Staff[Salary])</f>
        <v>75000</v>
      </c>
    </row>
    <row r="9" spans="1:15" ht="20" x14ac:dyDescent="0.35">
      <c r="A9" t="s">
        <v>47</v>
      </c>
      <c r="B9" t="s">
        <v>15</v>
      </c>
      <c r="C9">
        <v>21</v>
      </c>
      <c r="D9" t="s">
        <v>16</v>
      </c>
      <c r="E9" s="3">
        <v>44104</v>
      </c>
      <c r="F9" t="s">
        <v>9</v>
      </c>
      <c r="G9">
        <v>37920</v>
      </c>
      <c r="H9" t="s">
        <v>208</v>
      </c>
      <c r="I9" s="4">
        <f ca="1">(TODAY()-Staff[[#This Row],[Date Joined]])/365</f>
        <v>3.6931506849315068</v>
      </c>
      <c r="J9" s="9">
        <f ca="1">ROUNDUP(IF(Staff[[#This Row],[Tenure]]&gt;2, 3%, 2%)*Staff[[#This Row],[Salary]],0)</f>
        <v>1138</v>
      </c>
      <c r="K9" s="4">
        <f>_xlfn.XLOOKUP(Staff[[#This Row],[Rating]],'Salary Vs Rating'!$B$34:$B$38,'Salary Vs Rating'!$C$34:$C$38)</f>
        <v>3</v>
      </c>
      <c r="L9" s="4"/>
      <c r="M9" s="4"/>
      <c r="N9" s="26" t="s">
        <v>212</v>
      </c>
      <c r="O9" s="27">
        <f ca="1">AVERAGE(Staff[Tenure])</f>
        <v>2.7916909948349429</v>
      </c>
    </row>
    <row r="10" spans="1:15" ht="20" x14ac:dyDescent="0.35">
      <c r="A10" t="s">
        <v>149</v>
      </c>
      <c r="B10" t="s">
        <v>15</v>
      </c>
      <c r="C10">
        <v>35</v>
      </c>
      <c r="D10" t="s">
        <v>16</v>
      </c>
      <c r="E10" s="3">
        <v>44666</v>
      </c>
      <c r="F10" t="s">
        <v>9</v>
      </c>
      <c r="G10">
        <v>40400</v>
      </c>
      <c r="H10" t="s">
        <v>206</v>
      </c>
      <c r="I10" s="4">
        <f ca="1">(TODAY()-Staff[[#This Row],[Date Joined]])/365</f>
        <v>2.1534246575342464</v>
      </c>
      <c r="J10" s="9">
        <f ca="1">ROUNDUP(IF(Staff[[#This Row],[Tenure]]&gt;2, 3%, 2%)*Staff[[#This Row],[Salary]],0)</f>
        <v>1212</v>
      </c>
      <c r="K10" s="4">
        <f>_xlfn.XLOOKUP(Staff[[#This Row],[Rating]],'Salary Vs Rating'!$B$34:$B$38,'Salary Vs Rating'!$C$34:$C$38)</f>
        <v>3</v>
      </c>
      <c r="L10" s="4"/>
      <c r="M10" s="4"/>
      <c r="N10" s="26" t="s">
        <v>213</v>
      </c>
      <c r="O10" s="29">
        <f>O11/O4</f>
        <v>0.46994535519125685</v>
      </c>
    </row>
    <row r="11" spans="1:15" ht="20" x14ac:dyDescent="0.35">
      <c r="A11" t="s">
        <v>57</v>
      </c>
      <c r="B11" t="s">
        <v>15</v>
      </c>
      <c r="C11">
        <v>35</v>
      </c>
      <c r="D11" t="s">
        <v>16</v>
      </c>
      <c r="E11" s="3">
        <v>44727</v>
      </c>
      <c r="F11" t="s">
        <v>9</v>
      </c>
      <c r="G11">
        <v>40400</v>
      </c>
      <c r="H11" t="s">
        <v>208</v>
      </c>
      <c r="I11" s="4">
        <f ca="1">(TODAY()-Staff[[#This Row],[Date Joined]])/365</f>
        <v>1.9863013698630136</v>
      </c>
      <c r="J11" s="9">
        <f ca="1">ROUNDUP(IF(Staff[[#This Row],[Tenure]]&gt;2, 3%, 2%)*Staff[[#This Row],[Salary]],0)</f>
        <v>808</v>
      </c>
      <c r="K11" s="4">
        <f>_xlfn.XLOOKUP(Staff[[#This Row],[Rating]],'Salary Vs Rating'!$B$34:$B$38,'Salary Vs Rating'!$C$34:$C$38)</f>
        <v>3</v>
      </c>
      <c r="L11" s="4"/>
      <c r="M11" s="4"/>
      <c r="N11" s="26" t="s">
        <v>214</v>
      </c>
      <c r="O11" s="27">
        <f>COUNTIFS(Staff[Gender],"Female")</f>
        <v>86</v>
      </c>
    </row>
    <row r="12" spans="1:15" ht="20" x14ac:dyDescent="0.35">
      <c r="A12" t="s">
        <v>158</v>
      </c>
      <c r="B12" t="s">
        <v>8</v>
      </c>
      <c r="C12">
        <v>32</v>
      </c>
      <c r="D12" t="s">
        <v>16</v>
      </c>
      <c r="E12" s="3">
        <v>44549</v>
      </c>
      <c r="F12" t="s">
        <v>9</v>
      </c>
      <c r="G12">
        <v>41570</v>
      </c>
      <c r="H12" t="s">
        <v>206</v>
      </c>
      <c r="I12" s="4">
        <f ca="1">(TODAY()-Staff[[#This Row],[Date Joined]])/365</f>
        <v>2.473972602739726</v>
      </c>
      <c r="J12" s="9">
        <f ca="1">ROUNDUP(IF(Staff[[#This Row],[Tenure]]&gt;2, 3%, 2%)*Staff[[#This Row],[Salary]],0)</f>
        <v>1248</v>
      </c>
      <c r="K12" s="4">
        <f>_xlfn.XLOOKUP(Staff[[#This Row],[Rating]],'Salary Vs Rating'!$B$34:$B$38,'Salary Vs Rating'!$C$34:$C$38)</f>
        <v>3</v>
      </c>
      <c r="L12" s="4"/>
      <c r="M12" s="4"/>
      <c r="N12" s="30" t="s">
        <v>241</v>
      </c>
      <c r="O12" s="31">
        <f>(COUNTIFS(Staff[Salary],"&gt;90000"))/O4</f>
        <v>0.34426229508196721</v>
      </c>
    </row>
    <row r="13" spans="1:15" x14ac:dyDescent="0.35">
      <c r="A13" t="s">
        <v>66</v>
      </c>
      <c r="B13" t="s">
        <v>8</v>
      </c>
      <c r="C13">
        <v>32</v>
      </c>
      <c r="D13" t="s">
        <v>16</v>
      </c>
      <c r="E13" s="3">
        <v>44611</v>
      </c>
      <c r="F13" t="s">
        <v>9</v>
      </c>
      <c r="G13">
        <v>41570</v>
      </c>
      <c r="H13" t="s">
        <v>208</v>
      </c>
      <c r="I13" s="4">
        <f ca="1">(TODAY()-Staff[[#This Row],[Date Joined]])/365</f>
        <v>2.3041095890410959</v>
      </c>
      <c r="J13" s="9">
        <f ca="1">ROUNDUP(IF(Staff[[#This Row],[Tenure]]&gt;2, 3%, 2%)*Staff[[#This Row],[Salary]],0)</f>
        <v>1248</v>
      </c>
      <c r="K13" s="4">
        <f>_xlfn.XLOOKUP(Staff[[#This Row],[Rating]],'Salary Vs Rating'!$B$34:$B$38,'Salary Vs Rating'!$C$34:$C$38)</f>
        <v>3</v>
      </c>
      <c r="L13" s="4"/>
    </row>
    <row r="14" spans="1:15" x14ac:dyDescent="0.35">
      <c r="A14" t="s">
        <v>124</v>
      </c>
      <c r="B14" t="s">
        <v>8</v>
      </c>
      <c r="C14">
        <v>31</v>
      </c>
      <c r="D14" t="s">
        <v>16</v>
      </c>
      <c r="E14" s="3">
        <v>44084</v>
      </c>
      <c r="F14" t="s">
        <v>12</v>
      </c>
      <c r="G14">
        <v>41980</v>
      </c>
      <c r="H14" t="s">
        <v>206</v>
      </c>
      <c r="I14" s="4">
        <f ca="1">(TODAY()-Staff[[#This Row],[Date Joined]])/365</f>
        <v>3.7479452054794522</v>
      </c>
      <c r="J14" s="9">
        <f ca="1">ROUNDUP(IF(Staff[[#This Row],[Tenure]]&gt;2, 3%, 2%)*Staff[[#This Row],[Salary]],0)</f>
        <v>1260</v>
      </c>
      <c r="K14" s="4">
        <f>_xlfn.XLOOKUP(Staff[[#This Row],[Rating]],'Salary Vs Rating'!$B$34:$B$38,'Salary Vs Rating'!$C$34:$C$38)</f>
        <v>3</v>
      </c>
      <c r="L14" s="4"/>
    </row>
    <row r="15" spans="1:15" ht="15" thickBot="1" x14ac:dyDescent="0.4">
      <c r="A15" t="s">
        <v>30</v>
      </c>
      <c r="B15" t="s">
        <v>8</v>
      </c>
      <c r="C15">
        <v>31</v>
      </c>
      <c r="D15" t="s">
        <v>16</v>
      </c>
      <c r="E15" s="3">
        <v>44145</v>
      </c>
      <c r="F15" t="s">
        <v>12</v>
      </c>
      <c r="G15">
        <v>41980</v>
      </c>
      <c r="H15" t="s">
        <v>208</v>
      </c>
      <c r="I15" s="4">
        <f ca="1">(TODAY()-Staff[[#This Row],[Date Joined]])/365</f>
        <v>3.580821917808219</v>
      </c>
      <c r="J15" s="9">
        <f ca="1">ROUNDUP(IF(Staff[[#This Row],[Tenure]]&gt;2, 3%, 2%)*Staff[[#This Row],[Salary]],0)</f>
        <v>1260</v>
      </c>
      <c r="K15" s="4">
        <f>_xlfn.XLOOKUP(Staff[[#This Row],[Rating]],'Salary Vs Rating'!$B$34:$B$38,'Salary Vs Rating'!$C$34:$C$38)</f>
        <v>3</v>
      </c>
      <c r="L15" s="4"/>
    </row>
    <row r="16" spans="1:15" ht="25.5" thickBot="1" x14ac:dyDescent="0.75">
      <c r="A16" t="s">
        <v>172</v>
      </c>
      <c r="B16" t="s">
        <v>15</v>
      </c>
      <c r="C16">
        <v>28</v>
      </c>
      <c r="D16" t="s">
        <v>42</v>
      </c>
      <c r="E16" s="3">
        <v>44758</v>
      </c>
      <c r="F16" t="s">
        <v>19</v>
      </c>
      <c r="G16">
        <v>43510</v>
      </c>
      <c r="H16" t="s">
        <v>206</v>
      </c>
      <c r="I16" s="4">
        <f ca="1">(TODAY()-Staff[[#This Row],[Date Joined]])/365</f>
        <v>1.9013698630136986</v>
      </c>
      <c r="J16" s="9">
        <f ca="1">ROUNDUP(IF(Staff[[#This Row],[Tenure]]&gt;2, 3%, 2%)*Staff[[#This Row],[Salary]],0)</f>
        <v>871</v>
      </c>
      <c r="K16" s="4">
        <f>_xlfn.XLOOKUP(Staff[[#This Row],[Rating]],'Salary Vs Rating'!$B$34:$B$38,'Salary Vs Rating'!$C$34:$C$38)</f>
        <v>1</v>
      </c>
      <c r="L16" s="4"/>
      <c r="M16" s="53">
        <v>2</v>
      </c>
      <c r="N16" s="39" t="s">
        <v>243</v>
      </c>
      <c r="O16" s="40"/>
    </row>
    <row r="17" spans="1:15" ht="20" x14ac:dyDescent="0.55000000000000004">
      <c r="A17" t="s">
        <v>80</v>
      </c>
      <c r="B17" t="s">
        <v>15</v>
      </c>
      <c r="C17">
        <v>28</v>
      </c>
      <c r="D17" t="s">
        <v>42</v>
      </c>
      <c r="E17" s="3">
        <v>44820</v>
      </c>
      <c r="F17" t="s">
        <v>19</v>
      </c>
      <c r="G17">
        <v>43510</v>
      </c>
      <c r="H17" t="s">
        <v>208</v>
      </c>
      <c r="I17" s="4">
        <f ca="1">(TODAY()-Staff[[#This Row],[Date Joined]])/365</f>
        <v>1.7315068493150685</v>
      </c>
      <c r="J17" s="9">
        <f ca="1">ROUNDUP(IF(Staff[[#This Row],[Tenure]]&gt;2, 3%, 2%)*Staff[[#This Row],[Salary]],0)</f>
        <v>871</v>
      </c>
      <c r="K17" s="4">
        <f>_xlfn.XLOOKUP(Staff[[#This Row],[Rating]],'Salary Vs Rating'!$B$34:$B$38,'Salary Vs Rating'!$C$34:$C$38)</f>
        <v>1</v>
      </c>
      <c r="L17" s="4"/>
      <c r="M17" s="4"/>
      <c r="N17" s="41" t="s">
        <v>68</v>
      </c>
      <c r="O17" s="41"/>
    </row>
    <row r="18" spans="1:15" x14ac:dyDescent="0.35">
      <c r="A18" t="s">
        <v>176</v>
      </c>
      <c r="B18" t="s">
        <v>8</v>
      </c>
      <c r="C18">
        <v>32</v>
      </c>
      <c r="D18" t="s">
        <v>13</v>
      </c>
      <c r="E18" s="3">
        <v>44293</v>
      </c>
      <c r="F18" t="s">
        <v>12</v>
      </c>
      <c r="G18">
        <v>43840</v>
      </c>
      <c r="H18" t="s">
        <v>206</v>
      </c>
      <c r="I18" s="4">
        <f ca="1">(TODAY()-Staff[[#This Row],[Date Joined]])/365</f>
        <v>3.1753424657534248</v>
      </c>
      <c r="J18" s="9">
        <f ca="1">ROUNDUP(IF(Staff[[#This Row],[Tenure]]&gt;2, 3%, 2%)*Staff[[#This Row],[Salary]],0)</f>
        <v>1316</v>
      </c>
      <c r="K18" s="4">
        <f>_xlfn.XLOOKUP(Staff[[#This Row],[Rating]],'Salary Vs Rating'!$B$34:$B$38,'Salary Vs Rating'!$C$34:$C$38)</f>
        <v>4</v>
      </c>
      <c r="L18" s="4"/>
      <c r="M18" s="4"/>
    </row>
    <row r="19" spans="1:15" ht="20" x14ac:dyDescent="0.35">
      <c r="A19" t="s">
        <v>84</v>
      </c>
      <c r="B19" t="s">
        <v>8</v>
      </c>
      <c r="C19">
        <v>32</v>
      </c>
      <c r="D19" t="s">
        <v>13</v>
      </c>
      <c r="E19" s="3">
        <v>44354</v>
      </c>
      <c r="F19" t="s">
        <v>12</v>
      </c>
      <c r="G19">
        <v>43840</v>
      </c>
      <c r="H19" t="s">
        <v>208</v>
      </c>
      <c r="I19" s="4">
        <f ca="1">(TODAY()-Staff[[#This Row],[Date Joined]])/365</f>
        <v>3.0082191780821916</v>
      </c>
      <c r="J19" s="9">
        <f ca="1">ROUNDUP(IF(Staff[[#This Row],[Tenure]]&gt;2, 3%, 2%)*Staff[[#This Row],[Salary]],0)</f>
        <v>1316</v>
      </c>
      <c r="K19" s="4">
        <f>_xlfn.XLOOKUP(Staff[[#This Row],[Rating]],'Salary Vs Rating'!$B$34:$B$38,'Salary Vs Rating'!$C$34:$C$38)</f>
        <v>4</v>
      </c>
      <c r="L19" s="4"/>
      <c r="M19" s="4"/>
      <c r="N19" s="24" t="s">
        <v>1</v>
      </c>
      <c r="O19" s="25" t="str" cm="1">
        <f t="array" aca="1" ref="O19:O26" ca="1">TRANSPOSE(_xlfn.XLOOKUP(N17,Staff[Name],Staff[[Gender]:[Tenure]]))</f>
        <v>Male</v>
      </c>
    </row>
    <row r="20" spans="1:15" ht="20" x14ac:dyDescent="0.35">
      <c r="A20" t="s">
        <v>201</v>
      </c>
      <c r="B20" t="s">
        <v>8</v>
      </c>
      <c r="C20">
        <v>32</v>
      </c>
      <c r="D20" t="s">
        <v>16</v>
      </c>
      <c r="E20" s="3">
        <v>44339</v>
      </c>
      <c r="F20" t="s">
        <v>56</v>
      </c>
      <c r="G20">
        <v>45510</v>
      </c>
      <c r="H20" t="s">
        <v>206</v>
      </c>
      <c r="I20" s="4">
        <f ca="1">(TODAY()-Staff[[#This Row],[Date Joined]])/365</f>
        <v>3.0493150684931507</v>
      </c>
      <c r="J20" s="9">
        <f ca="1">ROUNDUP(IF(Staff[[#This Row],[Tenure]]&gt;2, 3%, 2%)*Staff[[#This Row],[Salary]],0)</f>
        <v>1366</v>
      </c>
      <c r="K20" s="4">
        <f>_xlfn.XLOOKUP(Staff[[#This Row],[Rating]],'Salary Vs Rating'!$B$34:$B$38,'Salary Vs Rating'!$C$34:$C$38)</f>
        <v>3</v>
      </c>
      <c r="L20" s="4"/>
      <c r="M20" s="4"/>
      <c r="N20" s="26" t="s">
        <v>3</v>
      </c>
      <c r="O20" s="27">
        <f ca="1"/>
        <v>27</v>
      </c>
    </row>
    <row r="21" spans="1:15" ht="20" x14ac:dyDescent="0.35">
      <c r="A21" t="s">
        <v>108</v>
      </c>
      <c r="B21" t="s">
        <v>8</v>
      </c>
      <c r="C21">
        <v>32</v>
      </c>
      <c r="D21" t="s">
        <v>16</v>
      </c>
      <c r="E21" s="3">
        <v>44400</v>
      </c>
      <c r="F21" t="s">
        <v>56</v>
      </c>
      <c r="G21">
        <v>45510</v>
      </c>
      <c r="H21" t="s">
        <v>208</v>
      </c>
      <c r="I21" s="4">
        <f ca="1">(TODAY()-Staff[[#This Row],[Date Joined]])/365</f>
        <v>2.882191780821918</v>
      </c>
      <c r="J21" s="9">
        <f ca="1">ROUNDUP(IF(Staff[[#This Row],[Tenure]]&gt;2, 3%, 2%)*Staff[[#This Row],[Salary]],0)</f>
        <v>1366</v>
      </c>
      <c r="K21" s="4">
        <f>_xlfn.XLOOKUP(Staff[[#This Row],[Rating]],'Salary Vs Rating'!$B$34:$B$38,'Salary Vs Rating'!$C$34:$C$38)</f>
        <v>3</v>
      </c>
      <c r="L21" s="4"/>
      <c r="M21" s="4"/>
      <c r="N21" s="26" t="s">
        <v>6</v>
      </c>
      <c r="O21" s="27" t="str">
        <f ca="1"/>
        <v>Above average</v>
      </c>
    </row>
    <row r="22" spans="1:15" ht="20" x14ac:dyDescent="0.35">
      <c r="A22" t="s">
        <v>151</v>
      </c>
      <c r="B22" t="s">
        <v>15</v>
      </c>
      <c r="C22">
        <v>26</v>
      </c>
      <c r="D22" t="s">
        <v>16</v>
      </c>
      <c r="E22" s="3">
        <v>44164</v>
      </c>
      <c r="F22" t="s">
        <v>9</v>
      </c>
      <c r="G22">
        <v>47360</v>
      </c>
      <c r="H22" t="s">
        <v>206</v>
      </c>
      <c r="I22" s="4">
        <f ca="1">(TODAY()-Staff[[#This Row],[Date Joined]])/365</f>
        <v>3.5287671232876714</v>
      </c>
      <c r="J22" s="9">
        <f ca="1">ROUNDUP(IF(Staff[[#This Row],[Tenure]]&gt;2, 3%, 2%)*Staff[[#This Row],[Salary]],0)</f>
        <v>1421</v>
      </c>
      <c r="K22" s="4">
        <f>_xlfn.XLOOKUP(Staff[[#This Row],[Rating]],'Salary Vs Rating'!$B$34:$B$38,'Salary Vs Rating'!$C$34:$C$38)</f>
        <v>3</v>
      </c>
      <c r="L22" s="4"/>
      <c r="M22" s="4"/>
      <c r="N22" s="26" t="s">
        <v>4</v>
      </c>
      <c r="O22" s="28">
        <f ca="1"/>
        <v>44236</v>
      </c>
    </row>
    <row r="23" spans="1:15" ht="20" x14ac:dyDescent="0.35">
      <c r="A23" t="s">
        <v>59</v>
      </c>
      <c r="B23" t="s">
        <v>15</v>
      </c>
      <c r="C23">
        <v>26</v>
      </c>
      <c r="D23" t="s">
        <v>16</v>
      </c>
      <c r="E23" s="3">
        <v>44225</v>
      </c>
      <c r="F23" t="s">
        <v>9</v>
      </c>
      <c r="G23">
        <v>47360</v>
      </c>
      <c r="H23" t="s">
        <v>208</v>
      </c>
      <c r="I23" s="4">
        <f ca="1">(TODAY()-Staff[[#This Row],[Date Joined]])/365</f>
        <v>3.3616438356164382</v>
      </c>
      <c r="J23" s="9">
        <f ca="1">ROUNDUP(IF(Staff[[#This Row],[Tenure]]&gt;2, 3%, 2%)*Staff[[#This Row],[Salary]],0)</f>
        <v>1421</v>
      </c>
      <c r="K23" s="4">
        <f>_xlfn.XLOOKUP(Staff[[#This Row],[Rating]],'Salary Vs Rating'!$B$34:$B$38,'Salary Vs Rating'!$C$34:$C$38)</f>
        <v>3</v>
      </c>
      <c r="L23" s="4"/>
      <c r="M23" s="4"/>
      <c r="N23" s="26" t="s">
        <v>2</v>
      </c>
      <c r="O23" s="27" t="str">
        <f ca="1"/>
        <v>Finance</v>
      </c>
    </row>
    <row r="24" spans="1:15" ht="20" x14ac:dyDescent="0.35">
      <c r="A24" t="s">
        <v>123</v>
      </c>
      <c r="B24" t="s">
        <v>15</v>
      </c>
      <c r="C24">
        <v>28</v>
      </c>
      <c r="D24" t="s">
        <v>13</v>
      </c>
      <c r="E24" s="3">
        <v>43980</v>
      </c>
      <c r="F24" t="s">
        <v>21</v>
      </c>
      <c r="G24">
        <v>48170</v>
      </c>
      <c r="H24" t="s">
        <v>206</v>
      </c>
      <c r="I24" s="4">
        <f ca="1">(TODAY()-Staff[[#This Row],[Date Joined]])/365</f>
        <v>4.0328767123287674</v>
      </c>
      <c r="J24" s="9">
        <f ca="1">ROUNDUP(IF(Staff[[#This Row],[Tenure]]&gt;2, 3%, 2%)*Staff[[#This Row],[Salary]],0)</f>
        <v>1446</v>
      </c>
      <c r="K24" s="4">
        <f>_xlfn.XLOOKUP(Staff[[#This Row],[Rating]],'Salary Vs Rating'!$B$34:$B$38,'Salary Vs Rating'!$C$34:$C$38)</f>
        <v>4</v>
      </c>
      <c r="L24" s="4"/>
      <c r="M24" s="4"/>
      <c r="N24" s="26" t="s">
        <v>5</v>
      </c>
      <c r="O24" s="27">
        <f ca="1"/>
        <v>91650</v>
      </c>
    </row>
    <row r="25" spans="1:15" ht="20" x14ac:dyDescent="0.35">
      <c r="A25" t="s">
        <v>29</v>
      </c>
      <c r="B25" t="s">
        <v>15</v>
      </c>
      <c r="C25">
        <v>28</v>
      </c>
      <c r="D25" t="s">
        <v>13</v>
      </c>
      <c r="E25" s="3">
        <v>44041</v>
      </c>
      <c r="F25" t="s">
        <v>21</v>
      </c>
      <c r="G25">
        <v>48170</v>
      </c>
      <c r="H25" t="s">
        <v>208</v>
      </c>
      <c r="I25" s="4">
        <f ca="1">(TODAY()-Staff[[#This Row],[Date Joined]])/365</f>
        <v>3.8657534246575342</v>
      </c>
      <c r="J25" s="9">
        <f ca="1">ROUNDUP(IF(Staff[[#This Row],[Tenure]]&gt;2, 3%, 2%)*Staff[[#This Row],[Salary]],0)</f>
        <v>1446</v>
      </c>
      <c r="K25" s="4">
        <f>_xlfn.XLOOKUP(Staff[[#This Row],[Rating]],'Salary Vs Rating'!$B$34:$B$38,'Salary Vs Rating'!$C$34:$C$38)</f>
        <v>4</v>
      </c>
      <c r="L25" s="4"/>
      <c r="M25" s="4"/>
      <c r="N25" s="26" t="s">
        <v>205</v>
      </c>
      <c r="O25" s="29" t="str">
        <f ca="1"/>
        <v>NZ</v>
      </c>
    </row>
    <row r="26" spans="1:15" ht="20" x14ac:dyDescent="0.35">
      <c r="A26" t="s">
        <v>144</v>
      </c>
      <c r="B26" t="s">
        <v>15</v>
      </c>
      <c r="C26">
        <v>33</v>
      </c>
      <c r="D26" t="s">
        <v>13</v>
      </c>
      <c r="E26" s="3">
        <v>44640</v>
      </c>
      <c r="F26" t="s">
        <v>9</v>
      </c>
      <c r="G26">
        <v>48530</v>
      </c>
      <c r="H26" t="s">
        <v>206</v>
      </c>
      <c r="I26" s="4">
        <f ca="1">(TODAY()-Staff[[#This Row],[Date Joined]])/365</f>
        <v>2.2246575342465755</v>
      </c>
      <c r="J26" s="9">
        <f ca="1">ROUNDUP(IF(Staff[[#This Row],[Tenure]]&gt;2, 3%, 2%)*Staff[[#This Row],[Salary]],0)</f>
        <v>1456</v>
      </c>
      <c r="K26" s="4">
        <f>_xlfn.XLOOKUP(Staff[[#This Row],[Rating]],'Salary Vs Rating'!$B$34:$B$38,'Salary Vs Rating'!$C$34:$C$38)</f>
        <v>4</v>
      </c>
      <c r="L26" s="4"/>
      <c r="M26" s="4"/>
      <c r="N26" s="26" t="s">
        <v>215</v>
      </c>
      <c r="O26" s="27">
        <f ca="1"/>
        <v>3.3315068493150686</v>
      </c>
    </row>
    <row r="27" spans="1:15" ht="20" x14ac:dyDescent="0.35">
      <c r="A27" t="s">
        <v>51</v>
      </c>
      <c r="B27" t="s">
        <v>15</v>
      </c>
      <c r="C27">
        <v>33</v>
      </c>
      <c r="D27" t="s">
        <v>13</v>
      </c>
      <c r="E27" s="3">
        <v>44701</v>
      </c>
      <c r="F27" t="s">
        <v>9</v>
      </c>
      <c r="G27">
        <v>48530</v>
      </c>
      <c r="H27" t="s">
        <v>208</v>
      </c>
      <c r="I27" s="4">
        <f ca="1">(TODAY()-Staff[[#This Row],[Date Joined]])/365</f>
        <v>2.0575342465753423</v>
      </c>
      <c r="J27" s="9">
        <f ca="1">ROUNDUP(IF(Staff[[#This Row],[Tenure]]&gt;2, 3%, 2%)*Staff[[#This Row],[Salary]],0)</f>
        <v>1456</v>
      </c>
      <c r="K27" s="4">
        <f>_xlfn.XLOOKUP(Staff[[#This Row],[Rating]],'Salary Vs Rating'!$B$34:$B$38,'Salary Vs Rating'!$C$34:$C$38)</f>
        <v>4</v>
      </c>
      <c r="L27" s="4"/>
      <c r="M27" s="4"/>
      <c r="N27" s="30"/>
      <c r="O27" s="31"/>
    </row>
    <row r="28" spans="1:15" x14ac:dyDescent="0.35">
      <c r="A28" t="s">
        <v>113</v>
      </c>
      <c r="B28" t="s">
        <v>15</v>
      </c>
      <c r="C28">
        <v>31</v>
      </c>
      <c r="D28" t="s">
        <v>16</v>
      </c>
      <c r="E28" s="3">
        <v>44450</v>
      </c>
      <c r="F28" t="s">
        <v>12</v>
      </c>
      <c r="G28">
        <v>48950</v>
      </c>
      <c r="H28" t="s">
        <v>206</v>
      </c>
      <c r="I28" s="4">
        <f ca="1">(TODAY()-Staff[[#This Row],[Date Joined]])/365</f>
        <v>2.7452054794520548</v>
      </c>
      <c r="J28" s="9">
        <f ca="1">ROUNDUP(IF(Staff[[#This Row],[Tenure]]&gt;2, 3%, 2%)*Staff[[#This Row],[Salary]],0)</f>
        <v>1469</v>
      </c>
      <c r="K28" s="4">
        <f>_xlfn.XLOOKUP(Staff[[#This Row],[Rating]],'Salary Vs Rating'!$B$34:$B$38,'Salary Vs Rating'!$C$34:$C$38)</f>
        <v>3</v>
      </c>
      <c r="L28" s="4"/>
      <c r="M28" s="4"/>
    </row>
    <row r="29" spans="1:15" x14ac:dyDescent="0.35">
      <c r="A29" t="s">
        <v>14</v>
      </c>
      <c r="B29" t="s">
        <v>15</v>
      </c>
      <c r="C29">
        <v>31</v>
      </c>
      <c r="D29" t="s">
        <v>16</v>
      </c>
      <c r="E29" s="3">
        <v>44511</v>
      </c>
      <c r="F29" t="s">
        <v>12</v>
      </c>
      <c r="G29">
        <v>48950</v>
      </c>
      <c r="H29" t="s">
        <v>208</v>
      </c>
      <c r="I29" s="4">
        <f ca="1">(TODAY()-Staff[[#This Row],[Date Joined]])/365</f>
        <v>2.5780821917808221</v>
      </c>
      <c r="J29" s="9">
        <f ca="1">ROUNDUP(IF(Staff[[#This Row],[Tenure]]&gt;2, 3%, 2%)*Staff[[#This Row],[Salary]],0)</f>
        <v>1469</v>
      </c>
      <c r="K29" s="4">
        <f>_xlfn.XLOOKUP(Staff[[#This Row],[Rating]],'Salary Vs Rating'!$B$34:$B$38,'Salary Vs Rating'!$C$34:$C$38)</f>
        <v>3</v>
      </c>
      <c r="L29" s="4"/>
      <c r="M29" s="4"/>
    </row>
    <row r="30" spans="1:15" x14ac:dyDescent="0.35">
      <c r="A30" t="s">
        <v>146</v>
      </c>
      <c r="B30" t="s">
        <v>15</v>
      </c>
      <c r="C30">
        <v>27</v>
      </c>
      <c r="D30" t="s">
        <v>16</v>
      </c>
      <c r="E30" s="3">
        <v>44506</v>
      </c>
      <c r="F30" t="s">
        <v>21</v>
      </c>
      <c r="G30">
        <v>48980</v>
      </c>
      <c r="H30" t="s">
        <v>206</v>
      </c>
      <c r="I30" s="4">
        <f ca="1">(TODAY()-Staff[[#This Row],[Date Joined]])/365</f>
        <v>2.591780821917808</v>
      </c>
      <c r="J30" s="9">
        <f ca="1">ROUNDUP(IF(Staff[[#This Row],[Tenure]]&gt;2, 3%, 2%)*Staff[[#This Row],[Salary]],0)</f>
        <v>1470</v>
      </c>
      <c r="K30" s="4">
        <f>_xlfn.XLOOKUP(Staff[[#This Row],[Rating]],'Salary Vs Rating'!$B$34:$B$38,'Salary Vs Rating'!$C$34:$C$38)</f>
        <v>3</v>
      </c>
      <c r="L30" s="4"/>
      <c r="M30" s="4"/>
    </row>
    <row r="31" spans="1:15" x14ac:dyDescent="0.35">
      <c r="A31" t="s">
        <v>53</v>
      </c>
      <c r="B31" t="s">
        <v>15</v>
      </c>
      <c r="C31">
        <v>27</v>
      </c>
      <c r="D31" t="s">
        <v>16</v>
      </c>
      <c r="E31" s="3">
        <v>44567</v>
      </c>
      <c r="F31" t="s">
        <v>21</v>
      </c>
      <c r="G31">
        <v>48980</v>
      </c>
      <c r="H31" t="s">
        <v>208</v>
      </c>
      <c r="I31" s="4">
        <f ca="1">(TODAY()-Staff[[#This Row],[Date Joined]])/365</f>
        <v>2.4246575342465753</v>
      </c>
      <c r="J31" s="9">
        <f ca="1">ROUNDUP(IF(Staff[[#This Row],[Tenure]]&gt;2, 3%, 2%)*Staff[[#This Row],[Salary]],0)</f>
        <v>1470</v>
      </c>
      <c r="K31" s="4">
        <f>_xlfn.XLOOKUP(Staff[[#This Row],[Rating]],'Salary Vs Rating'!$B$34:$B$38,'Salary Vs Rating'!$C$34:$C$38)</f>
        <v>3</v>
      </c>
      <c r="L31" s="4"/>
      <c r="M31" s="4"/>
    </row>
    <row r="32" spans="1:15" x14ac:dyDescent="0.35">
      <c r="A32" t="s">
        <v>165</v>
      </c>
      <c r="B32" t="s">
        <v>8</v>
      </c>
      <c r="C32">
        <v>34</v>
      </c>
      <c r="D32" t="s">
        <v>24</v>
      </c>
      <c r="E32" s="3">
        <v>44660</v>
      </c>
      <c r="F32" t="s">
        <v>19</v>
      </c>
      <c r="G32">
        <v>49630</v>
      </c>
      <c r="H32" t="s">
        <v>206</v>
      </c>
      <c r="I32" s="4">
        <f ca="1">(TODAY()-Staff[[#This Row],[Date Joined]])/365</f>
        <v>2.1698630136986301</v>
      </c>
      <c r="J32" s="9">
        <f ca="1">ROUNDUP(IF(Staff[[#This Row],[Tenure]]&gt;2, 3%, 2%)*Staff[[#This Row],[Salary]],0)</f>
        <v>1489</v>
      </c>
      <c r="K32" s="4">
        <f>_xlfn.XLOOKUP(Staff[[#This Row],[Rating]],'Salary Vs Rating'!$B$34:$B$38,'Salary Vs Rating'!$C$34:$C$38)</f>
        <v>2</v>
      </c>
      <c r="L32" s="4"/>
      <c r="M32" s="4"/>
    </row>
    <row r="33" spans="1:13" x14ac:dyDescent="0.35">
      <c r="A33" t="s">
        <v>73</v>
      </c>
      <c r="B33" t="s">
        <v>8</v>
      </c>
      <c r="C33">
        <v>34</v>
      </c>
      <c r="D33" t="s">
        <v>24</v>
      </c>
      <c r="E33" s="3">
        <v>44721</v>
      </c>
      <c r="F33" t="s">
        <v>19</v>
      </c>
      <c r="G33">
        <v>49630</v>
      </c>
      <c r="H33" t="s">
        <v>208</v>
      </c>
      <c r="I33" s="4">
        <f ca="1">(TODAY()-Staff[[#This Row],[Date Joined]])/365</f>
        <v>2.0027397260273974</v>
      </c>
      <c r="J33" s="9">
        <f ca="1">ROUNDUP(IF(Staff[[#This Row],[Tenure]]&gt;2, 3%, 2%)*Staff[[#This Row],[Salary]],0)</f>
        <v>1489</v>
      </c>
      <c r="K33" s="4">
        <f>_xlfn.XLOOKUP(Staff[[#This Row],[Rating]],'Salary Vs Rating'!$B$34:$B$38,'Salary Vs Rating'!$C$34:$C$38)</f>
        <v>2</v>
      </c>
      <c r="L33" s="4"/>
      <c r="M33" s="4"/>
    </row>
    <row r="34" spans="1:13" x14ac:dyDescent="0.35">
      <c r="A34" t="s">
        <v>155</v>
      </c>
      <c r="B34" t="s">
        <v>15</v>
      </c>
      <c r="C34">
        <v>24</v>
      </c>
      <c r="D34" t="s">
        <v>24</v>
      </c>
      <c r="E34" s="3">
        <v>44375</v>
      </c>
      <c r="F34" t="s">
        <v>21</v>
      </c>
      <c r="G34">
        <v>52610</v>
      </c>
      <c r="H34" t="s">
        <v>206</v>
      </c>
      <c r="I34" s="4">
        <f ca="1">(TODAY()-Staff[[#This Row],[Date Joined]])/365</f>
        <v>2.9506849315068493</v>
      </c>
      <c r="J34" s="9">
        <f ca="1">ROUNDUP(IF(Staff[[#This Row],[Tenure]]&gt;2, 3%, 2%)*Staff[[#This Row],[Salary]],0)</f>
        <v>1579</v>
      </c>
      <c r="K34" s="4">
        <f>_xlfn.XLOOKUP(Staff[[#This Row],[Rating]],'Salary Vs Rating'!$B$34:$B$38,'Salary Vs Rating'!$C$34:$C$38)</f>
        <v>2</v>
      </c>
      <c r="L34" s="4"/>
      <c r="M34" s="4"/>
    </row>
    <row r="35" spans="1:13" x14ac:dyDescent="0.35">
      <c r="A35" t="s">
        <v>63</v>
      </c>
      <c r="B35" t="s">
        <v>15</v>
      </c>
      <c r="C35">
        <v>24</v>
      </c>
      <c r="D35" t="s">
        <v>24</v>
      </c>
      <c r="E35" s="3">
        <v>44436</v>
      </c>
      <c r="F35" t="s">
        <v>21</v>
      </c>
      <c r="G35">
        <v>52610</v>
      </c>
      <c r="H35" t="s">
        <v>208</v>
      </c>
      <c r="I35" s="4">
        <f ca="1">(TODAY()-Staff[[#This Row],[Date Joined]])/365</f>
        <v>2.7835616438356166</v>
      </c>
      <c r="J35" s="9">
        <f ca="1">ROUNDUP(IF(Staff[[#This Row],[Tenure]]&gt;2, 3%, 2%)*Staff[[#This Row],[Salary]],0)</f>
        <v>1579</v>
      </c>
      <c r="K35" s="4">
        <f>_xlfn.XLOOKUP(Staff[[#This Row],[Rating]],'Salary Vs Rating'!$B$34:$B$38,'Salary Vs Rating'!$C$34:$C$38)</f>
        <v>2</v>
      </c>
      <c r="L35" s="4"/>
      <c r="M35" s="4"/>
    </row>
    <row r="36" spans="1:13" x14ac:dyDescent="0.35">
      <c r="A36" t="s">
        <v>167</v>
      </c>
      <c r="B36" t="s">
        <v>8</v>
      </c>
      <c r="C36">
        <v>28</v>
      </c>
      <c r="D36" t="s">
        <v>16</v>
      </c>
      <c r="E36" s="3">
        <v>44296</v>
      </c>
      <c r="F36" t="s">
        <v>19</v>
      </c>
      <c r="G36">
        <v>53240</v>
      </c>
      <c r="H36" t="s">
        <v>206</v>
      </c>
      <c r="I36" s="4">
        <f ca="1">(TODAY()-Staff[[#This Row],[Date Joined]])/365</f>
        <v>3.1671232876712327</v>
      </c>
      <c r="J36" s="9">
        <f ca="1">ROUNDUP(IF(Staff[[#This Row],[Tenure]]&gt;2, 3%, 2%)*Staff[[#This Row],[Salary]],0)</f>
        <v>1598</v>
      </c>
      <c r="K36" s="4">
        <f>_xlfn.XLOOKUP(Staff[[#This Row],[Rating]],'Salary Vs Rating'!$B$34:$B$38,'Salary Vs Rating'!$C$34:$C$38)</f>
        <v>3</v>
      </c>
      <c r="L36" s="4"/>
      <c r="M36" s="4"/>
    </row>
    <row r="37" spans="1:13" x14ac:dyDescent="0.35">
      <c r="A37" t="s">
        <v>75</v>
      </c>
      <c r="B37" t="s">
        <v>8</v>
      </c>
      <c r="C37">
        <v>28</v>
      </c>
      <c r="D37" t="s">
        <v>16</v>
      </c>
      <c r="E37" s="3">
        <v>44357</v>
      </c>
      <c r="F37" t="s">
        <v>19</v>
      </c>
      <c r="G37">
        <v>53240</v>
      </c>
      <c r="H37" t="s">
        <v>208</v>
      </c>
      <c r="I37" s="4">
        <f ca="1">(TODAY()-Staff[[#This Row],[Date Joined]])/365</f>
        <v>3</v>
      </c>
      <c r="J37" s="9">
        <f ca="1">ROUNDUP(IF(Staff[[#This Row],[Tenure]]&gt;2, 3%, 2%)*Staff[[#This Row],[Salary]],0)</f>
        <v>1598</v>
      </c>
      <c r="K37" s="4">
        <f>_xlfn.XLOOKUP(Staff[[#This Row],[Rating]],'Salary Vs Rating'!$B$34:$B$38,'Salary Vs Rating'!$C$34:$C$38)</f>
        <v>3</v>
      </c>
      <c r="L37" s="4"/>
      <c r="M37" s="4"/>
    </row>
    <row r="38" spans="1:13" x14ac:dyDescent="0.35">
      <c r="A38" t="s">
        <v>157</v>
      </c>
      <c r="B38" t="s">
        <v>15</v>
      </c>
      <c r="C38">
        <v>32</v>
      </c>
      <c r="D38" t="s">
        <v>16</v>
      </c>
      <c r="E38" s="3">
        <v>44403</v>
      </c>
      <c r="F38" t="s">
        <v>19</v>
      </c>
      <c r="G38">
        <v>53540</v>
      </c>
      <c r="H38" t="s">
        <v>206</v>
      </c>
      <c r="I38" s="4">
        <f ca="1">(TODAY()-Staff[[#This Row],[Date Joined]])/365</f>
        <v>2.8739726027397259</v>
      </c>
      <c r="J38" s="9">
        <f ca="1">ROUNDUP(IF(Staff[[#This Row],[Tenure]]&gt;2, 3%, 2%)*Staff[[#This Row],[Salary]],0)</f>
        <v>1607</v>
      </c>
      <c r="K38" s="4">
        <f>_xlfn.XLOOKUP(Staff[[#This Row],[Rating]],'Salary Vs Rating'!$B$34:$B$38,'Salary Vs Rating'!$C$34:$C$38)</f>
        <v>3</v>
      </c>
      <c r="L38" s="4"/>
      <c r="M38" s="4"/>
    </row>
    <row r="39" spans="1:13" x14ac:dyDescent="0.35">
      <c r="A39" t="s">
        <v>139</v>
      </c>
      <c r="B39" t="s">
        <v>15</v>
      </c>
      <c r="C39">
        <v>26</v>
      </c>
      <c r="D39" t="s">
        <v>16</v>
      </c>
      <c r="E39" s="3">
        <v>44350</v>
      </c>
      <c r="F39" t="s">
        <v>9</v>
      </c>
      <c r="G39">
        <v>53540</v>
      </c>
      <c r="H39" t="s">
        <v>206</v>
      </c>
      <c r="I39" s="4">
        <f ca="1">(TODAY()-Staff[[#This Row],[Date Joined]])/365</f>
        <v>3.0191780821917806</v>
      </c>
      <c r="J39" s="9">
        <f ca="1">ROUNDUP(IF(Staff[[#This Row],[Tenure]]&gt;2, 3%, 2%)*Staff[[#This Row],[Salary]],0)</f>
        <v>1607</v>
      </c>
      <c r="K39" s="4">
        <f>_xlfn.XLOOKUP(Staff[[#This Row],[Rating]],'Salary Vs Rating'!$B$34:$B$38,'Salary Vs Rating'!$C$34:$C$38)</f>
        <v>3</v>
      </c>
      <c r="L39" s="4"/>
      <c r="M39" s="4"/>
    </row>
    <row r="40" spans="1:13" x14ac:dyDescent="0.35">
      <c r="A40" t="s">
        <v>65</v>
      </c>
      <c r="B40" t="s">
        <v>15</v>
      </c>
      <c r="C40">
        <v>32</v>
      </c>
      <c r="D40" t="s">
        <v>16</v>
      </c>
      <c r="E40" s="3">
        <v>44465</v>
      </c>
      <c r="F40" t="s">
        <v>19</v>
      </c>
      <c r="G40">
        <v>53540</v>
      </c>
      <c r="H40" t="s">
        <v>208</v>
      </c>
      <c r="I40" s="4">
        <f ca="1">(TODAY()-Staff[[#This Row],[Date Joined]])/365</f>
        <v>2.7041095890410958</v>
      </c>
      <c r="J40" s="9">
        <f ca="1">ROUNDUP(IF(Staff[[#This Row],[Tenure]]&gt;2, 3%, 2%)*Staff[[#This Row],[Salary]],0)</f>
        <v>1607</v>
      </c>
      <c r="K40" s="4">
        <f>_xlfn.XLOOKUP(Staff[[#This Row],[Rating]],'Salary Vs Rating'!$B$34:$B$38,'Salary Vs Rating'!$C$34:$C$38)</f>
        <v>3</v>
      </c>
      <c r="L40" s="4"/>
      <c r="M40" s="4"/>
    </row>
    <row r="41" spans="1:13" x14ac:dyDescent="0.35">
      <c r="A41" t="s">
        <v>46</v>
      </c>
      <c r="B41" t="s">
        <v>15</v>
      </c>
      <c r="C41">
        <v>26</v>
      </c>
      <c r="D41" t="s">
        <v>16</v>
      </c>
      <c r="E41" s="3">
        <v>44411</v>
      </c>
      <c r="F41" t="s">
        <v>9</v>
      </c>
      <c r="G41">
        <v>53540</v>
      </c>
      <c r="H41" t="s">
        <v>208</v>
      </c>
      <c r="I41" s="4">
        <f ca="1">(TODAY()-Staff[[#This Row],[Date Joined]])/365</f>
        <v>2.8520547945205479</v>
      </c>
      <c r="J41" s="9">
        <f ca="1">ROUNDUP(IF(Staff[[#This Row],[Tenure]]&gt;2, 3%, 2%)*Staff[[#This Row],[Salary]],0)</f>
        <v>1607</v>
      </c>
      <c r="K41" s="4">
        <f>_xlfn.XLOOKUP(Staff[[#This Row],[Rating]],'Salary Vs Rating'!$B$34:$B$38,'Salary Vs Rating'!$C$34:$C$38)</f>
        <v>3</v>
      </c>
      <c r="L41" s="4"/>
      <c r="M41" s="4"/>
    </row>
    <row r="42" spans="1:13" x14ac:dyDescent="0.35">
      <c r="A42" t="s">
        <v>174</v>
      </c>
      <c r="B42" t="s">
        <v>15</v>
      </c>
      <c r="C42">
        <v>33</v>
      </c>
      <c r="D42" t="s">
        <v>16</v>
      </c>
      <c r="E42" s="3">
        <v>44448</v>
      </c>
      <c r="F42" t="s">
        <v>12</v>
      </c>
      <c r="G42">
        <v>53870</v>
      </c>
      <c r="H42" t="s">
        <v>206</v>
      </c>
      <c r="I42" s="4">
        <f ca="1">(TODAY()-Staff[[#This Row],[Date Joined]])/365</f>
        <v>2.7506849315068491</v>
      </c>
      <c r="J42" s="9">
        <f ca="1">ROUNDUP(IF(Staff[[#This Row],[Tenure]]&gt;2, 3%, 2%)*Staff[[#This Row],[Salary]],0)</f>
        <v>1617</v>
      </c>
      <c r="K42" s="4">
        <f>_xlfn.XLOOKUP(Staff[[#This Row],[Rating]],'Salary Vs Rating'!$B$34:$B$38,'Salary Vs Rating'!$C$34:$C$38)</f>
        <v>3</v>
      </c>
      <c r="L42" s="4"/>
      <c r="M42" s="4"/>
    </row>
    <row r="43" spans="1:13" x14ac:dyDescent="0.35">
      <c r="A43" t="s">
        <v>82</v>
      </c>
      <c r="B43" t="s">
        <v>15</v>
      </c>
      <c r="C43">
        <v>33</v>
      </c>
      <c r="D43" t="s">
        <v>16</v>
      </c>
      <c r="E43" s="3">
        <v>44509</v>
      </c>
      <c r="F43" t="s">
        <v>12</v>
      </c>
      <c r="G43">
        <v>53870</v>
      </c>
      <c r="H43" t="s">
        <v>208</v>
      </c>
      <c r="I43" s="4">
        <f ca="1">(TODAY()-Staff[[#This Row],[Date Joined]])/365</f>
        <v>2.5835616438356164</v>
      </c>
      <c r="J43" s="9">
        <f ca="1">ROUNDUP(IF(Staff[[#This Row],[Tenure]]&gt;2, 3%, 2%)*Staff[[#This Row],[Salary]],0)</f>
        <v>1617</v>
      </c>
      <c r="K43" s="4">
        <f>_xlfn.XLOOKUP(Staff[[#This Row],[Rating]],'Salary Vs Rating'!$B$34:$B$38,'Salary Vs Rating'!$C$34:$C$38)</f>
        <v>3</v>
      </c>
      <c r="L43" s="4"/>
      <c r="M43" s="4"/>
    </row>
    <row r="44" spans="1:13" x14ac:dyDescent="0.35">
      <c r="A44" t="s">
        <v>182</v>
      </c>
      <c r="B44" t="s">
        <v>15</v>
      </c>
      <c r="C44">
        <v>27</v>
      </c>
      <c r="D44" t="s">
        <v>16</v>
      </c>
      <c r="E44" s="3">
        <v>44073</v>
      </c>
      <c r="F44" t="s">
        <v>19</v>
      </c>
      <c r="G44">
        <v>54970</v>
      </c>
      <c r="H44" t="s">
        <v>206</v>
      </c>
      <c r="I44" s="4">
        <f ca="1">(TODAY()-Staff[[#This Row],[Date Joined]])/365</f>
        <v>3.7780821917808218</v>
      </c>
      <c r="J44" s="9">
        <f ca="1">ROUNDUP(IF(Staff[[#This Row],[Tenure]]&gt;2, 3%, 2%)*Staff[[#This Row],[Salary]],0)</f>
        <v>1650</v>
      </c>
      <c r="K44" s="4">
        <f>_xlfn.XLOOKUP(Staff[[#This Row],[Rating]],'Salary Vs Rating'!$B$34:$B$38,'Salary Vs Rating'!$C$34:$C$38)</f>
        <v>3</v>
      </c>
      <c r="L44" s="4"/>
      <c r="M44" s="4"/>
    </row>
    <row r="45" spans="1:13" x14ac:dyDescent="0.35">
      <c r="A45" t="s">
        <v>89</v>
      </c>
      <c r="B45" t="s">
        <v>15</v>
      </c>
      <c r="C45">
        <v>27</v>
      </c>
      <c r="D45" t="s">
        <v>16</v>
      </c>
      <c r="E45" s="3">
        <v>44134</v>
      </c>
      <c r="F45" t="s">
        <v>19</v>
      </c>
      <c r="G45">
        <v>54970</v>
      </c>
      <c r="H45" t="s">
        <v>208</v>
      </c>
      <c r="I45" s="4">
        <f ca="1">(TODAY()-Staff[[#This Row],[Date Joined]])/365</f>
        <v>3.6109589041095891</v>
      </c>
      <c r="J45" s="9">
        <f ca="1">ROUNDUP(IF(Staff[[#This Row],[Tenure]]&gt;2, 3%, 2%)*Staff[[#This Row],[Salary]],0)</f>
        <v>1650</v>
      </c>
      <c r="K45" s="4">
        <f>_xlfn.XLOOKUP(Staff[[#This Row],[Rating]],'Salary Vs Rating'!$B$34:$B$38,'Salary Vs Rating'!$C$34:$C$38)</f>
        <v>3</v>
      </c>
      <c r="L45" s="4"/>
      <c r="M45" s="4"/>
    </row>
    <row r="46" spans="1:13" x14ac:dyDescent="0.35">
      <c r="A46" t="s">
        <v>202</v>
      </c>
      <c r="B46" t="s">
        <v>8</v>
      </c>
      <c r="C46">
        <v>38</v>
      </c>
      <c r="D46" t="s">
        <v>13</v>
      </c>
      <c r="E46" s="3">
        <v>44268</v>
      </c>
      <c r="F46" t="s">
        <v>19</v>
      </c>
      <c r="G46">
        <v>56870</v>
      </c>
      <c r="H46" t="s">
        <v>206</v>
      </c>
      <c r="I46" s="4">
        <f ca="1">(TODAY()-Staff[[#This Row],[Date Joined]])/365</f>
        <v>3.2438356164383562</v>
      </c>
      <c r="J46" s="9">
        <f ca="1">ROUNDUP(IF(Staff[[#This Row],[Tenure]]&gt;2, 3%, 2%)*Staff[[#This Row],[Salary]],0)</f>
        <v>1707</v>
      </c>
      <c r="K46" s="4">
        <f>_xlfn.XLOOKUP(Staff[[#This Row],[Rating]],'Salary Vs Rating'!$B$34:$B$38,'Salary Vs Rating'!$C$34:$C$38)</f>
        <v>4</v>
      </c>
      <c r="L46" s="4"/>
      <c r="M46" s="4"/>
    </row>
    <row r="47" spans="1:13" x14ac:dyDescent="0.35">
      <c r="A47" t="s">
        <v>109</v>
      </c>
      <c r="B47" t="s">
        <v>8</v>
      </c>
      <c r="C47">
        <v>38</v>
      </c>
      <c r="D47" t="s">
        <v>13</v>
      </c>
      <c r="E47" s="3">
        <v>44329</v>
      </c>
      <c r="F47" t="s">
        <v>19</v>
      </c>
      <c r="G47">
        <v>56870</v>
      </c>
      <c r="H47" t="s">
        <v>208</v>
      </c>
      <c r="I47" s="4">
        <f ca="1">(TODAY()-Staff[[#This Row],[Date Joined]])/365</f>
        <v>3.0767123287671234</v>
      </c>
      <c r="J47" s="9">
        <f ca="1">ROUNDUP(IF(Staff[[#This Row],[Tenure]]&gt;2, 3%, 2%)*Staff[[#This Row],[Salary]],0)</f>
        <v>1707</v>
      </c>
      <c r="K47" s="4">
        <f>_xlfn.XLOOKUP(Staff[[#This Row],[Rating]],'Salary Vs Rating'!$B$34:$B$38,'Salary Vs Rating'!$C$34:$C$38)</f>
        <v>4</v>
      </c>
      <c r="L47" s="4"/>
      <c r="M47" s="4"/>
    </row>
    <row r="48" spans="1:13" x14ac:dyDescent="0.35">
      <c r="A48" t="s">
        <v>125</v>
      </c>
      <c r="B48" t="s">
        <v>15</v>
      </c>
      <c r="C48">
        <v>21</v>
      </c>
      <c r="D48" t="s">
        <v>16</v>
      </c>
      <c r="E48" s="3">
        <v>44701</v>
      </c>
      <c r="F48" t="s">
        <v>9</v>
      </c>
      <c r="G48">
        <v>57090</v>
      </c>
      <c r="H48" t="s">
        <v>206</v>
      </c>
      <c r="I48" s="4">
        <f ca="1">(TODAY()-Staff[[#This Row],[Date Joined]])/365</f>
        <v>2.0575342465753423</v>
      </c>
      <c r="J48" s="9">
        <f ca="1">ROUNDUP(IF(Staff[[#This Row],[Tenure]]&gt;2, 3%, 2%)*Staff[[#This Row],[Salary]],0)</f>
        <v>1713</v>
      </c>
      <c r="K48" s="4">
        <f>_xlfn.XLOOKUP(Staff[[#This Row],[Rating]],'Salary Vs Rating'!$B$34:$B$38,'Salary Vs Rating'!$C$34:$C$38)</f>
        <v>3</v>
      </c>
      <c r="L48" s="4"/>
      <c r="M48" s="4"/>
    </row>
    <row r="49" spans="1:13" x14ac:dyDescent="0.35">
      <c r="A49" t="s">
        <v>31</v>
      </c>
      <c r="B49" t="s">
        <v>15</v>
      </c>
      <c r="C49">
        <v>21</v>
      </c>
      <c r="D49" t="s">
        <v>16</v>
      </c>
      <c r="E49" s="3">
        <v>44762</v>
      </c>
      <c r="F49" t="s">
        <v>9</v>
      </c>
      <c r="G49">
        <v>57090</v>
      </c>
      <c r="H49" t="s">
        <v>208</v>
      </c>
      <c r="I49" s="4">
        <f ca="1">(TODAY()-Staff[[#This Row],[Date Joined]])/365</f>
        <v>1.8904109589041096</v>
      </c>
      <c r="J49" s="9">
        <f ca="1">ROUNDUP(IF(Staff[[#This Row],[Tenure]]&gt;2, 3%, 2%)*Staff[[#This Row],[Salary]],0)</f>
        <v>1142</v>
      </c>
      <c r="K49" s="4">
        <f>_xlfn.XLOOKUP(Staff[[#This Row],[Rating]],'Salary Vs Rating'!$B$34:$B$38,'Salary Vs Rating'!$C$34:$C$38)</f>
        <v>3</v>
      </c>
      <c r="L49" s="4"/>
      <c r="M49" s="4"/>
    </row>
    <row r="50" spans="1:13" x14ac:dyDescent="0.35">
      <c r="A50" t="s">
        <v>120</v>
      </c>
      <c r="B50" t="s">
        <v>8</v>
      </c>
      <c r="C50">
        <v>31</v>
      </c>
      <c r="D50" t="s">
        <v>16</v>
      </c>
      <c r="E50" s="3">
        <v>44604</v>
      </c>
      <c r="F50" t="s">
        <v>12</v>
      </c>
      <c r="G50">
        <v>58100</v>
      </c>
      <c r="H50" t="s">
        <v>206</v>
      </c>
      <c r="I50" s="4">
        <f ca="1">(TODAY()-Staff[[#This Row],[Date Joined]])/365</f>
        <v>2.3232876712328765</v>
      </c>
      <c r="J50" s="9">
        <f ca="1">ROUNDUP(IF(Staff[[#This Row],[Tenure]]&gt;2, 3%, 2%)*Staff[[#This Row],[Salary]],0)</f>
        <v>1743</v>
      </c>
      <c r="K50" s="4">
        <f>_xlfn.XLOOKUP(Staff[[#This Row],[Rating]],'Salary Vs Rating'!$B$34:$B$38,'Salary Vs Rating'!$C$34:$C$38)</f>
        <v>3</v>
      </c>
      <c r="L50" s="4"/>
      <c r="M50" s="4"/>
    </row>
    <row r="51" spans="1:13" x14ac:dyDescent="0.35">
      <c r="A51" t="s">
        <v>26</v>
      </c>
      <c r="B51" t="s">
        <v>8</v>
      </c>
      <c r="C51">
        <v>31</v>
      </c>
      <c r="D51" t="s">
        <v>16</v>
      </c>
      <c r="E51" s="3">
        <v>44663</v>
      </c>
      <c r="F51" t="s">
        <v>12</v>
      </c>
      <c r="G51">
        <v>58100</v>
      </c>
      <c r="H51" t="s">
        <v>208</v>
      </c>
      <c r="I51" s="4">
        <f ca="1">(TODAY()-Staff[[#This Row],[Date Joined]])/365</f>
        <v>2.1616438356164385</v>
      </c>
      <c r="J51" s="9">
        <f ca="1">ROUNDUP(IF(Staff[[#This Row],[Tenure]]&gt;2, 3%, 2%)*Staff[[#This Row],[Salary]],0)</f>
        <v>1743</v>
      </c>
      <c r="K51" s="4">
        <f>_xlfn.XLOOKUP(Staff[[#This Row],[Rating]],'Salary Vs Rating'!$B$34:$B$38,'Salary Vs Rating'!$C$34:$C$38)</f>
        <v>3</v>
      </c>
      <c r="L51" s="4"/>
      <c r="M51" s="4"/>
    </row>
    <row r="52" spans="1:13" x14ac:dyDescent="0.35">
      <c r="A52" t="s">
        <v>130</v>
      </c>
      <c r="B52" t="s">
        <v>8</v>
      </c>
      <c r="C52">
        <v>34</v>
      </c>
      <c r="D52" t="s">
        <v>16</v>
      </c>
      <c r="E52" s="3">
        <v>44594</v>
      </c>
      <c r="F52" t="s">
        <v>21</v>
      </c>
      <c r="G52">
        <v>58940</v>
      </c>
      <c r="H52" t="s">
        <v>206</v>
      </c>
      <c r="I52" s="4">
        <f ca="1">(TODAY()-Staff[[#This Row],[Date Joined]])/365</f>
        <v>2.3506849315068492</v>
      </c>
      <c r="J52" s="9">
        <f ca="1">ROUNDUP(IF(Staff[[#This Row],[Tenure]]&gt;2, 3%, 2%)*Staff[[#This Row],[Salary]],0)</f>
        <v>1769</v>
      </c>
      <c r="K52" s="4">
        <f>_xlfn.XLOOKUP(Staff[[#This Row],[Rating]],'Salary Vs Rating'!$B$34:$B$38,'Salary Vs Rating'!$C$34:$C$38)</f>
        <v>3</v>
      </c>
      <c r="L52" s="4"/>
      <c r="M52" s="4"/>
    </row>
    <row r="53" spans="1:13" x14ac:dyDescent="0.35">
      <c r="A53" t="s">
        <v>36</v>
      </c>
      <c r="B53" t="s">
        <v>8</v>
      </c>
      <c r="C53">
        <v>34</v>
      </c>
      <c r="D53" t="s">
        <v>16</v>
      </c>
      <c r="E53" s="3">
        <v>44653</v>
      </c>
      <c r="F53" t="s">
        <v>21</v>
      </c>
      <c r="G53">
        <v>58940</v>
      </c>
      <c r="H53" t="s">
        <v>208</v>
      </c>
      <c r="I53" s="4">
        <f ca="1">(TODAY()-Staff[[#This Row],[Date Joined]])/365</f>
        <v>2.1890410958904107</v>
      </c>
      <c r="J53" s="9">
        <f ca="1">ROUNDUP(IF(Staff[[#This Row],[Tenure]]&gt;2, 3%, 2%)*Staff[[#This Row],[Salary]],0)</f>
        <v>1769</v>
      </c>
      <c r="K53" s="4">
        <f>_xlfn.XLOOKUP(Staff[[#This Row],[Rating]],'Salary Vs Rating'!$B$34:$B$38,'Salary Vs Rating'!$C$34:$C$38)</f>
        <v>3</v>
      </c>
      <c r="L53" s="4"/>
      <c r="M53" s="4"/>
    </row>
    <row r="54" spans="1:13" x14ac:dyDescent="0.35">
      <c r="A54" t="s">
        <v>193</v>
      </c>
      <c r="B54" t="s">
        <v>15</v>
      </c>
      <c r="C54">
        <v>19</v>
      </c>
      <c r="D54" t="s">
        <v>16</v>
      </c>
      <c r="E54" s="3">
        <v>44218</v>
      </c>
      <c r="F54" t="s">
        <v>9</v>
      </c>
      <c r="G54">
        <v>58960</v>
      </c>
      <c r="H54" t="s">
        <v>206</v>
      </c>
      <c r="I54" s="4">
        <f ca="1">(TODAY()-Staff[[#This Row],[Date Joined]])/365</f>
        <v>3.3808219178082193</v>
      </c>
      <c r="J54" s="9">
        <f ca="1">ROUNDUP(IF(Staff[[#This Row],[Tenure]]&gt;2, 3%, 2%)*Staff[[#This Row],[Salary]],0)</f>
        <v>1769</v>
      </c>
      <c r="K54" s="4">
        <f>_xlfn.XLOOKUP(Staff[[#This Row],[Rating]],'Salary Vs Rating'!$B$34:$B$38,'Salary Vs Rating'!$C$34:$C$38)</f>
        <v>3</v>
      </c>
      <c r="L54" s="4"/>
      <c r="M54" s="4"/>
    </row>
    <row r="55" spans="1:13" x14ac:dyDescent="0.35">
      <c r="A55" t="s">
        <v>100</v>
      </c>
      <c r="B55" t="s">
        <v>15</v>
      </c>
      <c r="C55">
        <v>19</v>
      </c>
      <c r="D55" t="s">
        <v>16</v>
      </c>
      <c r="E55" s="3">
        <v>44277</v>
      </c>
      <c r="F55" t="s">
        <v>9</v>
      </c>
      <c r="G55">
        <v>58960</v>
      </c>
      <c r="H55" t="s">
        <v>208</v>
      </c>
      <c r="I55" s="4">
        <f ca="1">(TODAY()-Staff[[#This Row],[Date Joined]])/365</f>
        <v>3.2191780821917808</v>
      </c>
      <c r="J55" s="9">
        <f ca="1">ROUNDUP(IF(Staff[[#This Row],[Tenure]]&gt;2, 3%, 2%)*Staff[[#This Row],[Salary]],0)</f>
        <v>1769</v>
      </c>
      <c r="K55" s="4">
        <f>_xlfn.XLOOKUP(Staff[[#This Row],[Rating]],'Salary Vs Rating'!$B$34:$B$38,'Salary Vs Rating'!$C$34:$C$38)</f>
        <v>3</v>
      </c>
      <c r="L55" s="4"/>
      <c r="M55" s="4"/>
    </row>
    <row r="56" spans="1:13" x14ac:dyDescent="0.35">
      <c r="A56" t="s">
        <v>171</v>
      </c>
      <c r="B56" t="s">
        <v>15</v>
      </c>
      <c r="C56">
        <v>33</v>
      </c>
      <c r="D56" t="s">
        <v>16</v>
      </c>
      <c r="E56" s="3">
        <v>44181</v>
      </c>
      <c r="F56" t="s">
        <v>21</v>
      </c>
      <c r="G56">
        <v>59430</v>
      </c>
      <c r="H56" t="s">
        <v>206</v>
      </c>
      <c r="I56" s="4">
        <f ca="1">(TODAY()-Staff[[#This Row],[Date Joined]])/365</f>
        <v>3.4821917808219176</v>
      </c>
      <c r="J56" s="9">
        <f ca="1">ROUNDUP(IF(Staff[[#This Row],[Tenure]]&gt;2, 3%, 2%)*Staff[[#This Row],[Salary]],0)</f>
        <v>1783</v>
      </c>
      <c r="K56" s="4">
        <f>_xlfn.XLOOKUP(Staff[[#This Row],[Rating]],'Salary Vs Rating'!$B$34:$B$38,'Salary Vs Rating'!$C$34:$C$38)</f>
        <v>3</v>
      </c>
      <c r="L56" s="4"/>
      <c r="M56" s="4"/>
    </row>
    <row r="57" spans="1:13" x14ac:dyDescent="0.35">
      <c r="A57" t="s">
        <v>79</v>
      </c>
      <c r="B57" t="s">
        <v>15</v>
      </c>
      <c r="C57">
        <v>33</v>
      </c>
      <c r="D57" t="s">
        <v>16</v>
      </c>
      <c r="E57" s="3">
        <v>44243</v>
      </c>
      <c r="F57" t="s">
        <v>21</v>
      </c>
      <c r="G57">
        <v>59430</v>
      </c>
      <c r="H57" t="s">
        <v>208</v>
      </c>
      <c r="I57" s="4">
        <f ca="1">(TODAY()-Staff[[#This Row],[Date Joined]])/365</f>
        <v>3.3123287671232875</v>
      </c>
      <c r="J57" s="9">
        <f ca="1">ROUNDUP(IF(Staff[[#This Row],[Tenure]]&gt;2, 3%, 2%)*Staff[[#This Row],[Salary]],0)</f>
        <v>1783</v>
      </c>
      <c r="K57" s="4">
        <f>_xlfn.XLOOKUP(Staff[[#This Row],[Rating]],'Salary Vs Rating'!$B$34:$B$38,'Salary Vs Rating'!$C$34:$C$38)</f>
        <v>3</v>
      </c>
      <c r="L57" s="4"/>
      <c r="M57" s="4"/>
    </row>
    <row r="58" spans="1:13" x14ac:dyDescent="0.35">
      <c r="A58" t="s">
        <v>132</v>
      </c>
      <c r="B58" t="s">
        <v>8</v>
      </c>
      <c r="C58">
        <v>34</v>
      </c>
      <c r="D58" t="s">
        <v>16</v>
      </c>
      <c r="E58" s="3">
        <v>44550</v>
      </c>
      <c r="F58" t="s">
        <v>21</v>
      </c>
      <c r="G58">
        <v>60130</v>
      </c>
      <c r="H58" t="s">
        <v>206</v>
      </c>
      <c r="I58" s="4">
        <f ca="1">(TODAY()-Staff[[#This Row],[Date Joined]])/365</f>
        <v>2.4712328767123286</v>
      </c>
      <c r="J58" s="9">
        <f ca="1">ROUNDUP(IF(Staff[[#This Row],[Tenure]]&gt;2, 3%, 2%)*Staff[[#This Row],[Salary]],0)</f>
        <v>1804</v>
      </c>
      <c r="K58" s="4">
        <f>_xlfn.XLOOKUP(Staff[[#This Row],[Rating]],'Salary Vs Rating'!$B$34:$B$38,'Salary Vs Rating'!$C$34:$C$38)</f>
        <v>3</v>
      </c>
      <c r="L58" s="4"/>
      <c r="M58" s="4"/>
    </row>
    <row r="59" spans="1:13" x14ac:dyDescent="0.35">
      <c r="A59" t="s">
        <v>38</v>
      </c>
      <c r="B59" t="s">
        <v>8</v>
      </c>
      <c r="C59">
        <v>34</v>
      </c>
      <c r="D59" t="s">
        <v>16</v>
      </c>
      <c r="E59" s="3">
        <v>44612</v>
      </c>
      <c r="F59" t="s">
        <v>21</v>
      </c>
      <c r="G59">
        <v>60130</v>
      </c>
      <c r="H59" t="s">
        <v>208</v>
      </c>
      <c r="I59" s="4">
        <f ca="1">(TODAY()-Staff[[#This Row],[Date Joined]])/365</f>
        <v>2.3013698630136985</v>
      </c>
      <c r="J59" s="9">
        <f ca="1">ROUNDUP(IF(Staff[[#This Row],[Tenure]]&gt;2, 3%, 2%)*Staff[[#This Row],[Salary]],0)</f>
        <v>1804</v>
      </c>
      <c r="K59" s="4">
        <f>_xlfn.XLOOKUP(Staff[[#This Row],[Rating]],'Salary Vs Rating'!$B$34:$B$38,'Salary Vs Rating'!$C$34:$C$38)</f>
        <v>3</v>
      </c>
      <c r="L59" s="4"/>
      <c r="M59" s="4"/>
    </row>
    <row r="60" spans="1:13" x14ac:dyDescent="0.35">
      <c r="A60" t="s">
        <v>131</v>
      </c>
      <c r="B60" t="s">
        <v>15</v>
      </c>
      <c r="C60">
        <v>30</v>
      </c>
      <c r="D60" t="s">
        <v>16</v>
      </c>
      <c r="E60" s="3">
        <v>44607</v>
      </c>
      <c r="F60" t="s">
        <v>9</v>
      </c>
      <c r="G60">
        <v>60570</v>
      </c>
      <c r="H60" t="s">
        <v>206</v>
      </c>
      <c r="I60" s="4">
        <f ca="1">(TODAY()-Staff[[#This Row],[Date Joined]])/365</f>
        <v>2.3150684931506849</v>
      </c>
      <c r="J60" s="9">
        <f ca="1">ROUNDUP(IF(Staff[[#This Row],[Tenure]]&gt;2, 3%, 2%)*Staff[[#This Row],[Salary]],0)</f>
        <v>1818</v>
      </c>
      <c r="K60" s="4">
        <f>_xlfn.XLOOKUP(Staff[[#This Row],[Rating]],'Salary Vs Rating'!$B$34:$B$38,'Salary Vs Rating'!$C$34:$C$38)</f>
        <v>3</v>
      </c>
      <c r="L60" s="4"/>
      <c r="M60" s="4"/>
    </row>
    <row r="61" spans="1:13" x14ac:dyDescent="0.35">
      <c r="A61" t="s">
        <v>37</v>
      </c>
      <c r="B61" t="s">
        <v>15</v>
      </c>
      <c r="C61">
        <v>30</v>
      </c>
      <c r="D61" t="s">
        <v>16</v>
      </c>
      <c r="E61" s="3">
        <v>44666</v>
      </c>
      <c r="F61" t="s">
        <v>9</v>
      </c>
      <c r="G61">
        <v>60570</v>
      </c>
      <c r="H61" t="s">
        <v>208</v>
      </c>
      <c r="I61" s="4">
        <f ca="1">(TODAY()-Staff[[#This Row],[Date Joined]])/365</f>
        <v>2.1534246575342464</v>
      </c>
      <c r="J61" s="9">
        <f ca="1">ROUNDUP(IF(Staff[[#This Row],[Tenure]]&gt;2, 3%, 2%)*Staff[[#This Row],[Salary]],0)</f>
        <v>1818</v>
      </c>
      <c r="K61" s="4">
        <f>_xlfn.XLOOKUP(Staff[[#This Row],[Rating]],'Salary Vs Rating'!$B$34:$B$38,'Salary Vs Rating'!$C$34:$C$38)</f>
        <v>3</v>
      </c>
      <c r="L61" s="4"/>
      <c r="M61" s="4"/>
    </row>
    <row r="62" spans="1:13" x14ac:dyDescent="0.35">
      <c r="A62" t="s">
        <v>153</v>
      </c>
      <c r="B62" t="s">
        <v>8</v>
      </c>
      <c r="C62">
        <v>24</v>
      </c>
      <c r="D62" t="s">
        <v>16</v>
      </c>
      <c r="E62" s="3">
        <v>44087</v>
      </c>
      <c r="F62" t="s">
        <v>12</v>
      </c>
      <c r="G62">
        <v>62780</v>
      </c>
      <c r="H62" t="s">
        <v>206</v>
      </c>
      <c r="I62" s="4">
        <f ca="1">(TODAY()-Staff[[#This Row],[Date Joined]])/365</f>
        <v>3.7397260273972601</v>
      </c>
      <c r="J62" s="9">
        <f ca="1">ROUNDUP(IF(Staff[[#This Row],[Tenure]]&gt;2, 3%, 2%)*Staff[[#This Row],[Salary]],0)</f>
        <v>1884</v>
      </c>
      <c r="K62" s="4">
        <f>_xlfn.XLOOKUP(Staff[[#This Row],[Rating]],'Salary Vs Rating'!$B$34:$B$38,'Salary Vs Rating'!$C$34:$C$38)</f>
        <v>3</v>
      </c>
      <c r="L62" s="4"/>
      <c r="M62" s="4"/>
    </row>
    <row r="63" spans="1:13" x14ac:dyDescent="0.35">
      <c r="A63" t="s">
        <v>61</v>
      </c>
      <c r="B63" t="s">
        <v>8</v>
      </c>
      <c r="C63">
        <v>24</v>
      </c>
      <c r="D63" t="s">
        <v>16</v>
      </c>
      <c r="E63" s="3">
        <v>44148</v>
      </c>
      <c r="F63" t="s">
        <v>12</v>
      </c>
      <c r="G63">
        <v>62780</v>
      </c>
      <c r="H63" t="s">
        <v>208</v>
      </c>
      <c r="I63" s="4">
        <f ca="1">(TODAY()-Staff[[#This Row],[Date Joined]])/365</f>
        <v>3.5726027397260274</v>
      </c>
      <c r="J63" s="9">
        <f ca="1">ROUNDUP(IF(Staff[[#This Row],[Tenure]]&gt;2, 3%, 2%)*Staff[[#This Row],[Salary]],0)</f>
        <v>1884</v>
      </c>
      <c r="K63" s="4">
        <f>_xlfn.XLOOKUP(Staff[[#This Row],[Rating]],'Salary Vs Rating'!$B$34:$B$38,'Salary Vs Rating'!$C$34:$C$38)</f>
        <v>3</v>
      </c>
      <c r="L63" s="4"/>
      <c r="M63" s="4"/>
    </row>
    <row r="64" spans="1:13" x14ac:dyDescent="0.35">
      <c r="A64" t="s">
        <v>116</v>
      </c>
      <c r="B64" t="s">
        <v>207</v>
      </c>
      <c r="C64">
        <v>30</v>
      </c>
      <c r="D64" t="s">
        <v>16</v>
      </c>
      <c r="E64" s="3">
        <v>44535</v>
      </c>
      <c r="F64" t="s">
        <v>21</v>
      </c>
      <c r="G64">
        <v>64000</v>
      </c>
      <c r="H64" t="s">
        <v>206</v>
      </c>
      <c r="I64" s="4">
        <f ca="1">(TODAY()-Staff[[#This Row],[Date Joined]])/365</f>
        <v>2.5123287671232877</v>
      </c>
      <c r="J64" s="9">
        <f ca="1">ROUNDUP(IF(Staff[[#This Row],[Tenure]]&gt;2, 3%, 2%)*Staff[[#This Row],[Salary]],0)</f>
        <v>1920</v>
      </c>
      <c r="K64" s="4">
        <f>_xlfn.XLOOKUP(Staff[[#This Row],[Rating]],'Salary Vs Rating'!$B$34:$B$38,'Salary Vs Rating'!$C$34:$C$38)</f>
        <v>3</v>
      </c>
      <c r="L64" s="4"/>
      <c r="M64" s="4"/>
    </row>
    <row r="65" spans="1:13" x14ac:dyDescent="0.35">
      <c r="A65" t="s">
        <v>20</v>
      </c>
      <c r="B65" t="s">
        <v>207</v>
      </c>
      <c r="C65">
        <v>30</v>
      </c>
      <c r="D65" t="s">
        <v>16</v>
      </c>
      <c r="E65" s="3">
        <v>44597</v>
      </c>
      <c r="F65" t="s">
        <v>21</v>
      </c>
      <c r="G65">
        <v>64000</v>
      </c>
      <c r="H65" t="s">
        <v>208</v>
      </c>
      <c r="I65" s="4">
        <f ca="1">(TODAY()-Staff[[#This Row],[Date Joined]])/365</f>
        <v>2.3424657534246576</v>
      </c>
      <c r="J65" s="9">
        <f ca="1">ROUNDUP(IF(Staff[[#This Row],[Tenure]]&gt;2, 3%, 2%)*Staff[[#This Row],[Salary]],0)</f>
        <v>1920</v>
      </c>
      <c r="K65" s="4">
        <f>_xlfn.XLOOKUP(Staff[[#This Row],[Rating]],'Salary Vs Rating'!$B$34:$B$38,'Salary Vs Rating'!$C$34:$C$38)</f>
        <v>3</v>
      </c>
      <c r="L65" s="4"/>
      <c r="M65" s="4"/>
    </row>
    <row r="66" spans="1:13" x14ac:dyDescent="0.35">
      <c r="A66" t="s">
        <v>186</v>
      </c>
      <c r="B66" t="s">
        <v>8</v>
      </c>
      <c r="C66">
        <v>33</v>
      </c>
      <c r="D66" t="s">
        <v>16</v>
      </c>
      <c r="E66" s="3">
        <v>44006</v>
      </c>
      <c r="F66" t="s">
        <v>21</v>
      </c>
      <c r="G66">
        <v>65360</v>
      </c>
      <c r="H66" t="s">
        <v>206</v>
      </c>
      <c r="I66" s="4">
        <f ca="1">(TODAY()-Staff[[#This Row],[Date Joined]])/365</f>
        <v>3.9616438356164383</v>
      </c>
      <c r="J66" s="9">
        <f ca="1">ROUNDUP(IF(Staff[[#This Row],[Tenure]]&gt;2, 3%, 2%)*Staff[[#This Row],[Salary]],0)</f>
        <v>1961</v>
      </c>
      <c r="K66" s="4">
        <f>_xlfn.XLOOKUP(Staff[[#This Row],[Rating]],'Salary Vs Rating'!$B$34:$B$38,'Salary Vs Rating'!$C$34:$C$38)</f>
        <v>3</v>
      </c>
      <c r="L66" s="4"/>
      <c r="M66" s="4"/>
    </row>
    <row r="67" spans="1:13" x14ac:dyDescent="0.35">
      <c r="A67" t="s">
        <v>93</v>
      </c>
      <c r="B67" t="s">
        <v>8</v>
      </c>
      <c r="C67">
        <v>33</v>
      </c>
      <c r="D67" t="s">
        <v>16</v>
      </c>
      <c r="E67" s="3">
        <v>44067</v>
      </c>
      <c r="F67" t="s">
        <v>21</v>
      </c>
      <c r="G67">
        <v>65360</v>
      </c>
      <c r="H67" t="s">
        <v>208</v>
      </c>
      <c r="I67" s="4">
        <f ca="1">(TODAY()-Staff[[#This Row],[Date Joined]])/365</f>
        <v>3.7945205479452055</v>
      </c>
      <c r="J67" s="9">
        <f ca="1">ROUNDUP(IF(Staff[[#This Row],[Tenure]]&gt;2, 3%, 2%)*Staff[[#This Row],[Salary]],0)</f>
        <v>1961</v>
      </c>
      <c r="K67" s="4">
        <f>_xlfn.XLOOKUP(Staff[[#This Row],[Rating]],'Salary Vs Rating'!$B$34:$B$38,'Salary Vs Rating'!$C$34:$C$38)</f>
        <v>3</v>
      </c>
      <c r="L67" s="4"/>
      <c r="M67" s="4"/>
    </row>
    <row r="68" spans="1:13" x14ac:dyDescent="0.35">
      <c r="A68" t="s">
        <v>168</v>
      </c>
      <c r="B68" t="s">
        <v>15</v>
      </c>
      <c r="C68">
        <v>25</v>
      </c>
      <c r="D68" t="s">
        <v>16</v>
      </c>
      <c r="E68" s="3">
        <v>44322</v>
      </c>
      <c r="F68" t="s">
        <v>19</v>
      </c>
      <c r="G68">
        <v>65700</v>
      </c>
      <c r="H68" t="s">
        <v>206</v>
      </c>
      <c r="I68" s="4">
        <f ca="1">(TODAY()-Staff[[#This Row],[Date Joined]])/365</f>
        <v>3.095890410958904</v>
      </c>
      <c r="J68" s="9">
        <f ca="1">ROUNDUP(IF(Staff[[#This Row],[Tenure]]&gt;2, 3%, 2%)*Staff[[#This Row],[Salary]],0)</f>
        <v>1971</v>
      </c>
      <c r="K68" s="4">
        <f>_xlfn.XLOOKUP(Staff[[#This Row],[Rating]],'Salary Vs Rating'!$B$34:$B$38,'Salary Vs Rating'!$C$34:$C$38)</f>
        <v>3</v>
      </c>
      <c r="L68" s="4"/>
      <c r="M68" s="4"/>
    </row>
    <row r="69" spans="1:13" x14ac:dyDescent="0.35">
      <c r="A69" t="s">
        <v>76</v>
      </c>
      <c r="B69" t="s">
        <v>15</v>
      </c>
      <c r="C69">
        <v>25</v>
      </c>
      <c r="D69" t="s">
        <v>16</v>
      </c>
      <c r="E69" s="3">
        <v>44383</v>
      </c>
      <c r="F69" t="s">
        <v>19</v>
      </c>
      <c r="G69">
        <v>65700</v>
      </c>
      <c r="H69" t="s">
        <v>208</v>
      </c>
      <c r="I69" s="4">
        <f ca="1">(TODAY()-Staff[[#This Row],[Date Joined]])/365</f>
        <v>2.9287671232876713</v>
      </c>
      <c r="J69" s="9">
        <f ca="1">ROUNDUP(IF(Staff[[#This Row],[Tenure]]&gt;2, 3%, 2%)*Staff[[#This Row],[Salary]],0)</f>
        <v>1971</v>
      </c>
      <c r="K69" s="4">
        <f>_xlfn.XLOOKUP(Staff[[#This Row],[Rating]],'Salary Vs Rating'!$B$34:$B$38,'Salary Vs Rating'!$C$34:$C$38)</f>
        <v>3</v>
      </c>
      <c r="L69" s="4"/>
      <c r="M69" s="4"/>
    </row>
    <row r="70" spans="1:13" x14ac:dyDescent="0.35">
      <c r="A70" t="s">
        <v>126</v>
      </c>
      <c r="B70" t="s">
        <v>8</v>
      </c>
      <c r="C70">
        <v>21</v>
      </c>
      <c r="D70" t="s">
        <v>16</v>
      </c>
      <c r="E70" s="3">
        <v>44256</v>
      </c>
      <c r="F70" t="s">
        <v>21</v>
      </c>
      <c r="G70">
        <v>65920</v>
      </c>
      <c r="H70" t="s">
        <v>206</v>
      </c>
      <c r="I70" s="4">
        <f ca="1">(TODAY()-Staff[[#This Row],[Date Joined]])/365</f>
        <v>3.2767123287671232</v>
      </c>
      <c r="J70" s="9">
        <f ca="1">ROUNDUP(IF(Staff[[#This Row],[Tenure]]&gt;2, 3%, 2%)*Staff[[#This Row],[Salary]],0)</f>
        <v>1978</v>
      </c>
      <c r="K70" s="4">
        <f>_xlfn.XLOOKUP(Staff[[#This Row],[Rating]],'Salary Vs Rating'!$B$34:$B$38,'Salary Vs Rating'!$C$34:$C$38)</f>
        <v>3</v>
      </c>
      <c r="L70" s="4"/>
      <c r="M70" s="4"/>
    </row>
    <row r="71" spans="1:13" x14ac:dyDescent="0.35">
      <c r="A71" t="s">
        <v>32</v>
      </c>
      <c r="B71" t="s">
        <v>8</v>
      </c>
      <c r="C71">
        <v>21</v>
      </c>
      <c r="D71" t="s">
        <v>16</v>
      </c>
      <c r="E71" s="3">
        <v>44317</v>
      </c>
      <c r="F71" t="s">
        <v>21</v>
      </c>
      <c r="G71">
        <v>65920</v>
      </c>
      <c r="H71" t="s">
        <v>208</v>
      </c>
      <c r="I71" s="4">
        <f ca="1">(TODAY()-Staff[[#This Row],[Date Joined]])/365</f>
        <v>3.1095890410958904</v>
      </c>
      <c r="J71" s="9">
        <f ca="1">ROUNDUP(IF(Staff[[#This Row],[Tenure]]&gt;2, 3%, 2%)*Staff[[#This Row],[Salary]],0)</f>
        <v>1978</v>
      </c>
      <c r="K71" s="4">
        <f>_xlfn.XLOOKUP(Staff[[#This Row],[Rating]],'Salary Vs Rating'!$B$34:$B$38,'Salary Vs Rating'!$C$34:$C$38)</f>
        <v>3</v>
      </c>
      <c r="L71" s="4"/>
      <c r="M71" s="4"/>
    </row>
    <row r="72" spans="1:13" x14ac:dyDescent="0.35">
      <c r="A72" t="s">
        <v>121</v>
      </c>
      <c r="B72" t="s">
        <v>8</v>
      </c>
      <c r="C72">
        <v>30</v>
      </c>
      <c r="D72" t="s">
        <v>24</v>
      </c>
      <c r="E72" s="3">
        <v>44328</v>
      </c>
      <c r="F72" t="s">
        <v>21</v>
      </c>
      <c r="G72">
        <v>67910</v>
      </c>
      <c r="H72" t="s">
        <v>206</v>
      </c>
      <c r="I72" s="4">
        <f ca="1">(TODAY()-Staff[[#This Row],[Date Joined]])/365</f>
        <v>3.0794520547945203</v>
      </c>
      <c r="J72" s="9">
        <f ca="1">ROUNDUP(IF(Staff[[#This Row],[Tenure]]&gt;2, 3%, 2%)*Staff[[#This Row],[Salary]],0)</f>
        <v>2038</v>
      </c>
      <c r="K72" s="4">
        <f>_xlfn.XLOOKUP(Staff[[#This Row],[Rating]],'Salary Vs Rating'!$B$34:$B$38,'Salary Vs Rating'!$C$34:$C$38)</f>
        <v>2</v>
      </c>
      <c r="L72" s="4"/>
      <c r="M72" s="4"/>
    </row>
    <row r="73" spans="1:13" x14ac:dyDescent="0.35">
      <c r="A73" t="s">
        <v>27</v>
      </c>
      <c r="B73" t="s">
        <v>8</v>
      </c>
      <c r="C73">
        <v>30</v>
      </c>
      <c r="D73" t="s">
        <v>24</v>
      </c>
      <c r="E73" s="3">
        <v>44389</v>
      </c>
      <c r="F73" t="s">
        <v>21</v>
      </c>
      <c r="G73">
        <v>67910</v>
      </c>
      <c r="H73" t="s">
        <v>208</v>
      </c>
      <c r="I73" s="4">
        <f ca="1">(TODAY()-Staff[[#This Row],[Date Joined]])/365</f>
        <v>2.9123287671232876</v>
      </c>
      <c r="J73" s="9">
        <f ca="1">ROUNDUP(IF(Staff[[#This Row],[Tenure]]&gt;2, 3%, 2%)*Staff[[#This Row],[Salary]],0)</f>
        <v>2038</v>
      </c>
      <c r="K73" s="4">
        <f>_xlfn.XLOOKUP(Staff[[#This Row],[Rating]],'Salary Vs Rating'!$B$34:$B$38,'Salary Vs Rating'!$C$34:$C$38)</f>
        <v>2</v>
      </c>
      <c r="L73" s="4"/>
      <c r="M73" s="4"/>
    </row>
    <row r="74" spans="1:13" x14ac:dyDescent="0.35">
      <c r="A74" t="s">
        <v>138</v>
      </c>
      <c r="B74" t="s">
        <v>15</v>
      </c>
      <c r="C74">
        <v>30</v>
      </c>
      <c r="D74" t="s">
        <v>16</v>
      </c>
      <c r="E74" s="3">
        <v>44640</v>
      </c>
      <c r="F74" t="s">
        <v>9</v>
      </c>
      <c r="G74">
        <v>67950</v>
      </c>
      <c r="H74" t="s">
        <v>206</v>
      </c>
      <c r="I74" s="4">
        <f ca="1">(TODAY()-Staff[[#This Row],[Date Joined]])/365</f>
        <v>2.2246575342465755</v>
      </c>
      <c r="J74" s="9">
        <f ca="1">ROUNDUP(IF(Staff[[#This Row],[Tenure]]&gt;2, 3%, 2%)*Staff[[#This Row],[Salary]],0)</f>
        <v>2039</v>
      </c>
      <c r="K74" s="4">
        <f>_xlfn.XLOOKUP(Staff[[#This Row],[Rating]],'Salary Vs Rating'!$B$34:$B$38,'Salary Vs Rating'!$C$34:$C$38)</f>
        <v>3</v>
      </c>
      <c r="L74" s="4"/>
      <c r="M74" s="4"/>
    </row>
    <row r="75" spans="1:13" x14ac:dyDescent="0.35">
      <c r="A75" t="s">
        <v>45</v>
      </c>
      <c r="B75" t="s">
        <v>15</v>
      </c>
      <c r="C75">
        <v>30</v>
      </c>
      <c r="D75" t="s">
        <v>16</v>
      </c>
      <c r="E75" s="3">
        <v>44701</v>
      </c>
      <c r="F75" t="s">
        <v>9</v>
      </c>
      <c r="G75">
        <v>67950</v>
      </c>
      <c r="H75" t="s">
        <v>208</v>
      </c>
      <c r="I75" s="4">
        <f ca="1">(TODAY()-Staff[[#This Row],[Date Joined]])/365</f>
        <v>2.0575342465753423</v>
      </c>
      <c r="J75" s="9">
        <f ca="1">ROUNDUP(IF(Staff[[#This Row],[Tenure]]&gt;2, 3%, 2%)*Staff[[#This Row],[Salary]],0)</f>
        <v>2039</v>
      </c>
      <c r="K75" s="4">
        <f>_xlfn.XLOOKUP(Staff[[#This Row],[Rating]],'Salary Vs Rating'!$B$34:$B$38,'Salary Vs Rating'!$C$34:$C$38)</f>
        <v>3</v>
      </c>
      <c r="L75" s="4"/>
      <c r="M75" s="4"/>
    </row>
    <row r="76" spans="1:13" x14ac:dyDescent="0.35">
      <c r="A76" t="s">
        <v>184</v>
      </c>
      <c r="B76" t="s">
        <v>8</v>
      </c>
      <c r="C76">
        <v>20</v>
      </c>
      <c r="D76" t="s">
        <v>24</v>
      </c>
      <c r="E76" s="3">
        <v>44476</v>
      </c>
      <c r="F76" t="s">
        <v>19</v>
      </c>
      <c r="G76">
        <v>68900</v>
      </c>
      <c r="H76" t="s">
        <v>206</v>
      </c>
      <c r="I76" s="4">
        <f ca="1">(TODAY()-Staff[[#This Row],[Date Joined]])/365</f>
        <v>2.6739726027397261</v>
      </c>
      <c r="J76" s="9">
        <f ca="1">ROUNDUP(IF(Staff[[#This Row],[Tenure]]&gt;2, 3%, 2%)*Staff[[#This Row],[Salary]],0)</f>
        <v>2067</v>
      </c>
      <c r="K76" s="4">
        <f>_xlfn.XLOOKUP(Staff[[#This Row],[Rating]],'Salary Vs Rating'!$B$34:$B$38,'Salary Vs Rating'!$C$34:$C$38)</f>
        <v>2</v>
      </c>
      <c r="L76" s="4"/>
      <c r="M76" s="4"/>
    </row>
    <row r="77" spans="1:13" x14ac:dyDescent="0.35">
      <c r="A77" t="s">
        <v>91</v>
      </c>
      <c r="B77" t="s">
        <v>8</v>
      </c>
      <c r="C77">
        <v>20</v>
      </c>
      <c r="D77" t="s">
        <v>24</v>
      </c>
      <c r="E77" s="3">
        <v>44537</v>
      </c>
      <c r="F77" t="s">
        <v>19</v>
      </c>
      <c r="G77">
        <v>68900</v>
      </c>
      <c r="H77" t="s">
        <v>208</v>
      </c>
      <c r="I77" s="4">
        <f ca="1">(TODAY()-Staff[[#This Row],[Date Joined]])/365</f>
        <v>2.506849315068493</v>
      </c>
      <c r="J77" s="9">
        <f ca="1">ROUNDUP(IF(Staff[[#This Row],[Tenure]]&gt;2, 3%, 2%)*Staff[[#This Row],[Salary]],0)</f>
        <v>2067</v>
      </c>
      <c r="K77" s="4">
        <f>_xlfn.XLOOKUP(Staff[[#This Row],[Rating]],'Salary Vs Rating'!$B$34:$B$38,'Salary Vs Rating'!$C$34:$C$38)</f>
        <v>2</v>
      </c>
      <c r="L77" s="4"/>
      <c r="M77" s="4"/>
    </row>
    <row r="78" spans="1:13" x14ac:dyDescent="0.35">
      <c r="A78" t="s">
        <v>190</v>
      </c>
      <c r="B78" t="s">
        <v>15</v>
      </c>
      <c r="C78">
        <v>37</v>
      </c>
      <c r="D78" t="s">
        <v>16</v>
      </c>
      <c r="E78" s="3">
        <v>44640</v>
      </c>
      <c r="F78" t="s">
        <v>12</v>
      </c>
      <c r="G78">
        <v>69070</v>
      </c>
      <c r="H78" t="s">
        <v>206</v>
      </c>
      <c r="I78" s="4">
        <f ca="1">(TODAY()-Staff[[#This Row],[Date Joined]])/365</f>
        <v>2.2246575342465755</v>
      </c>
      <c r="J78" s="9">
        <f ca="1">ROUNDUP(IF(Staff[[#This Row],[Tenure]]&gt;2, 3%, 2%)*Staff[[#This Row],[Salary]],0)</f>
        <v>2073</v>
      </c>
      <c r="K78" s="4">
        <f>_xlfn.XLOOKUP(Staff[[#This Row],[Rating]],'Salary Vs Rating'!$B$34:$B$38,'Salary Vs Rating'!$C$34:$C$38)</f>
        <v>3</v>
      </c>
      <c r="L78" s="4"/>
      <c r="M78" s="4"/>
    </row>
    <row r="79" spans="1:13" x14ac:dyDescent="0.35">
      <c r="A79" t="s">
        <v>97</v>
      </c>
      <c r="B79" t="s">
        <v>15</v>
      </c>
      <c r="C79">
        <v>37</v>
      </c>
      <c r="D79" t="s">
        <v>16</v>
      </c>
      <c r="E79" s="3">
        <v>44701</v>
      </c>
      <c r="F79" t="s">
        <v>12</v>
      </c>
      <c r="G79">
        <v>69070</v>
      </c>
      <c r="H79" t="s">
        <v>208</v>
      </c>
      <c r="I79" s="4">
        <f ca="1">(TODAY()-Staff[[#This Row],[Date Joined]])/365</f>
        <v>2.0575342465753423</v>
      </c>
      <c r="J79" s="9">
        <f ca="1">ROUNDUP(IF(Staff[[#This Row],[Tenure]]&gt;2, 3%, 2%)*Staff[[#This Row],[Salary]],0)</f>
        <v>2073</v>
      </c>
      <c r="K79" s="4">
        <f>_xlfn.XLOOKUP(Staff[[#This Row],[Rating]],'Salary Vs Rating'!$B$34:$B$38,'Salary Vs Rating'!$C$34:$C$38)</f>
        <v>3</v>
      </c>
      <c r="L79" s="4"/>
      <c r="M79" s="4"/>
    </row>
    <row r="80" spans="1:13" x14ac:dyDescent="0.35">
      <c r="A80" t="s">
        <v>119</v>
      </c>
      <c r="B80" t="s">
        <v>15</v>
      </c>
      <c r="C80">
        <v>30</v>
      </c>
      <c r="D80" t="s">
        <v>16</v>
      </c>
      <c r="E80" s="3">
        <v>44214</v>
      </c>
      <c r="F80" t="s">
        <v>12</v>
      </c>
      <c r="G80">
        <v>69120</v>
      </c>
      <c r="H80" t="s">
        <v>206</v>
      </c>
      <c r="I80" s="4">
        <f ca="1">(TODAY()-Staff[[#This Row],[Date Joined]])/365</f>
        <v>3.3917808219178083</v>
      </c>
      <c r="J80" s="9">
        <f ca="1">ROUNDUP(IF(Staff[[#This Row],[Tenure]]&gt;2, 3%, 2%)*Staff[[#This Row],[Salary]],0)</f>
        <v>2074</v>
      </c>
      <c r="K80" s="4">
        <f>_xlfn.XLOOKUP(Staff[[#This Row],[Rating]],'Salary Vs Rating'!$B$34:$B$38,'Salary Vs Rating'!$C$34:$C$38)</f>
        <v>3</v>
      </c>
      <c r="L80" s="4"/>
      <c r="M80" s="4"/>
    </row>
    <row r="81" spans="1:13" x14ac:dyDescent="0.35">
      <c r="A81" t="s">
        <v>25</v>
      </c>
      <c r="B81" t="s">
        <v>15</v>
      </c>
      <c r="C81">
        <v>30</v>
      </c>
      <c r="D81" t="s">
        <v>16</v>
      </c>
      <c r="E81" s="3">
        <v>44273</v>
      </c>
      <c r="F81" t="s">
        <v>12</v>
      </c>
      <c r="G81">
        <v>69120</v>
      </c>
      <c r="H81" t="s">
        <v>208</v>
      </c>
      <c r="I81" s="4">
        <f ca="1">(TODAY()-Staff[[#This Row],[Date Joined]])/365</f>
        <v>3.2301369863013698</v>
      </c>
      <c r="J81" s="9">
        <f ca="1">ROUNDUP(IF(Staff[[#This Row],[Tenure]]&gt;2, 3%, 2%)*Staff[[#This Row],[Salary]],0)</f>
        <v>2074</v>
      </c>
      <c r="K81" s="4">
        <f>_xlfn.XLOOKUP(Staff[[#This Row],[Rating]],'Salary Vs Rating'!$B$34:$B$38,'Salary Vs Rating'!$C$34:$C$38)</f>
        <v>3</v>
      </c>
      <c r="L81" s="4"/>
      <c r="M81" s="4"/>
    </row>
    <row r="82" spans="1:13" x14ac:dyDescent="0.35">
      <c r="A82" t="s">
        <v>159</v>
      </c>
      <c r="B82" t="s">
        <v>15</v>
      </c>
      <c r="C82">
        <v>30</v>
      </c>
      <c r="D82" t="s">
        <v>16</v>
      </c>
      <c r="E82" s="3">
        <v>44789</v>
      </c>
      <c r="F82" t="s">
        <v>12</v>
      </c>
      <c r="G82">
        <v>69710</v>
      </c>
      <c r="H82" t="s">
        <v>206</v>
      </c>
      <c r="I82" s="4">
        <f ca="1">(TODAY()-Staff[[#This Row],[Date Joined]])/365</f>
        <v>1.8164383561643835</v>
      </c>
      <c r="J82" s="9">
        <f ca="1">ROUNDUP(IF(Staff[[#This Row],[Tenure]]&gt;2, 3%, 2%)*Staff[[#This Row],[Salary]],0)</f>
        <v>1395</v>
      </c>
      <c r="K82" s="4">
        <f>_xlfn.XLOOKUP(Staff[[#This Row],[Rating]],'Salary Vs Rating'!$B$34:$B$38,'Salary Vs Rating'!$C$34:$C$38)</f>
        <v>3</v>
      </c>
      <c r="L82" s="4"/>
      <c r="M82" s="4"/>
    </row>
    <row r="83" spans="1:13" x14ac:dyDescent="0.35">
      <c r="A83" t="s">
        <v>67</v>
      </c>
      <c r="B83" t="s">
        <v>15</v>
      </c>
      <c r="C83">
        <v>30</v>
      </c>
      <c r="D83" t="s">
        <v>16</v>
      </c>
      <c r="E83" s="3">
        <v>44850</v>
      </c>
      <c r="F83" t="s">
        <v>12</v>
      </c>
      <c r="G83">
        <v>69710</v>
      </c>
      <c r="H83" t="s">
        <v>208</v>
      </c>
      <c r="I83" s="4">
        <f ca="1">(TODAY()-Staff[[#This Row],[Date Joined]])/365</f>
        <v>1.6493150684931508</v>
      </c>
      <c r="J83" s="9">
        <f ca="1">ROUNDUP(IF(Staff[[#This Row],[Tenure]]&gt;2, 3%, 2%)*Staff[[#This Row],[Salary]],0)</f>
        <v>1395</v>
      </c>
      <c r="K83" s="4">
        <f>_xlfn.XLOOKUP(Staff[[#This Row],[Rating]],'Salary Vs Rating'!$B$34:$B$38,'Salary Vs Rating'!$C$34:$C$38)</f>
        <v>3</v>
      </c>
      <c r="L83" s="4"/>
      <c r="M83" s="4"/>
    </row>
    <row r="84" spans="1:13" x14ac:dyDescent="0.35">
      <c r="A84" t="s">
        <v>183</v>
      </c>
      <c r="B84" t="s">
        <v>15</v>
      </c>
      <c r="C84">
        <v>42</v>
      </c>
      <c r="D84" t="s">
        <v>24</v>
      </c>
      <c r="E84" s="3">
        <v>44670</v>
      </c>
      <c r="F84" t="s">
        <v>21</v>
      </c>
      <c r="G84">
        <v>70270</v>
      </c>
      <c r="H84" t="s">
        <v>206</v>
      </c>
      <c r="I84" s="4">
        <f ca="1">(TODAY()-Staff[[#This Row],[Date Joined]])/365</f>
        <v>2.1424657534246574</v>
      </c>
      <c r="J84" s="9">
        <f ca="1">ROUNDUP(IF(Staff[[#This Row],[Tenure]]&gt;2, 3%, 2%)*Staff[[#This Row],[Salary]],0)</f>
        <v>2109</v>
      </c>
      <c r="K84" s="4">
        <f>_xlfn.XLOOKUP(Staff[[#This Row],[Rating]],'Salary Vs Rating'!$B$34:$B$38,'Salary Vs Rating'!$C$34:$C$38)</f>
        <v>2</v>
      </c>
      <c r="L84" s="4"/>
      <c r="M84" s="4"/>
    </row>
    <row r="85" spans="1:13" x14ac:dyDescent="0.35">
      <c r="A85" t="s">
        <v>90</v>
      </c>
      <c r="B85" t="s">
        <v>15</v>
      </c>
      <c r="C85">
        <v>42</v>
      </c>
      <c r="D85" t="s">
        <v>24</v>
      </c>
      <c r="E85" s="3">
        <v>44731</v>
      </c>
      <c r="F85" t="s">
        <v>21</v>
      </c>
      <c r="G85">
        <v>70270</v>
      </c>
      <c r="H85" t="s">
        <v>208</v>
      </c>
      <c r="I85" s="4">
        <f ca="1">(TODAY()-Staff[[#This Row],[Date Joined]])/365</f>
        <v>1.9753424657534246</v>
      </c>
      <c r="J85" s="9">
        <f ca="1">ROUNDUP(IF(Staff[[#This Row],[Tenure]]&gt;2, 3%, 2%)*Staff[[#This Row],[Salary]],0)</f>
        <v>1406</v>
      </c>
      <c r="K85" s="4">
        <f>_xlfn.XLOOKUP(Staff[[#This Row],[Rating]],'Salary Vs Rating'!$B$34:$B$38,'Salary Vs Rating'!$C$34:$C$38)</f>
        <v>2</v>
      </c>
      <c r="L85" s="4"/>
      <c r="M85" s="4"/>
    </row>
    <row r="86" spans="1:13" x14ac:dyDescent="0.35">
      <c r="A86" t="s">
        <v>162</v>
      </c>
      <c r="B86" t="s">
        <v>15</v>
      </c>
      <c r="C86">
        <v>46</v>
      </c>
      <c r="D86" t="s">
        <v>16</v>
      </c>
      <c r="E86" s="3">
        <v>44697</v>
      </c>
      <c r="F86" t="s">
        <v>9</v>
      </c>
      <c r="G86">
        <v>70610</v>
      </c>
      <c r="H86" t="s">
        <v>206</v>
      </c>
      <c r="I86" s="4">
        <f ca="1">(TODAY()-Staff[[#This Row],[Date Joined]])/365</f>
        <v>2.0684931506849313</v>
      </c>
      <c r="J86" s="9">
        <f ca="1">ROUNDUP(IF(Staff[[#This Row],[Tenure]]&gt;2, 3%, 2%)*Staff[[#This Row],[Salary]],0)</f>
        <v>2119</v>
      </c>
      <c r="K86" s="4">
        <f>_xlfn.XLOOKUP(Staff[[#This Row],[Rating]],'Salary Vs Rating'!$B$34:$B$38,'Salary Vs Rating'!$C$34:$C$38)</f>
        <v>3</v>
      </c>
      <c r="L86" s="4"/>
      <c r="M86" s="4"/>
    </row>
    <row r="87" spans="1:13" x14ac:dyDescent="0.35">
      <c r="A87" t="s">
        <v>70</v>
      </c>
      <c r="B87" t="s">
        <v>15</v>
      </c>
      <c r="C87">
        <v>46</v>
      </c>
      <c r="D87" t="s">
        <v>16</v>
      </c>
      <c r="E87" s="3">
        <v>44758</v>
      </c>
      <c r="F87" t="s">
        <v>9</v>
      </c>
      <c r="G87">
        <v>70610</v>
      </c>
      <c r="H87" t="s">
        <v>208</v>
      </c>
      <c r="I87" s="4">
        <f ca="1">(TODAY()-Staff[[#This Row],[Date Joined]])/365</f>
        <v>1.9013698630136986</v>
      </c>
      <c r="J87" s="9">
        <f ca="1">ROUNDUP(IF(Staff[[#This Row],[Tenure]]&gt;2, 3%, 2%)*Staff[[#This Row],[Salary]],0)</f>
        <v>1413</v>
      </c>
      <c r="K87" s="4">
        <f>_xlfn.XLOOKUP(Staff[[#This Row],[Rating]],'Salary Vs Rating'!$B$34:$B$38,'Salary Vs Rating'!$C$34:$C$38)</f>
        <v>3</v>
      </c>
      <c r="L87" s="4"/>
      <c r="M87" s="4"/>
    </row>
    <row r="88" spans="1:13" x14ac:dyDescent="0.35">
      <c r="A88" t="s">
        <v>187</v>
      </c>
      <c r="B88" t="s">
        <v>15</v>
      </c>
      <c r="C88">
        <v>36</v>
      </c>
      <c r="D88" t="s">
        <v>16</v>
      </c>
      <c r="E88" s="3">
        <v>44272</v>
      </c>
      <c r="F88" t="s">
        <v>21</v>
      </c>
      <c r="G88">
        <v>71380</v>
      </c>
      <c r="H88" t="s">
        <v>206</v>
      </c>
      <c r="I88" s="4">
        <f ca="1">(TODAY()-Staff[[#This Row],[Date Joined]])/365</f>
        <v>3.2328767123287672</v>
      </c>
      <c r="J88" s="9">
        <f ca="1">ROUNDUP(IF(Staff[[#This Row],[Tenure]]&gt;2, 3%, 2%)*Staff[[#This Row],[Salary]],0)</f>
        <v>2142</v>
      </c>
      <c r="K88" s="4">
        <f>_xlfn.XLOOKUP(Staff[[#This Row],[Rating]],'Salary Vs Rating'!$B$34:$B$38,'Salary Vs Rating'!$C$34:$C$38)</f>
        <v>3</v>
      </c>
      <c r="L88" s="4"/>
      <c r="M88" s="4"/>
    </row>
    <row r="89" spans="1:13" x14ac:dyDescent="0.35">
      <c r="A89" t="s">
        <v>94</v>
      </c>
      <c r="B89" t="s">
        <v>15</v>
      </c>
      <c r="C89">
        <v>36</v>
      </c>
      <c r="D89" t="s">
        <v>16</v>
      </c>
      <c r="E89" s="3">
        <v>44333</v>
      </c>
      <c r="F89" t="s">
        <v>21</v>
      </c>
      <c r="G89">
        <v>71380</v>
      </c>
      <c r="H89" t="s">
        <v>208</v>
      </c>
      <c r="I89" s="4">
        <f ca="1">(TODAY()-Staff[[#This Row],[Date Joined]])/365</f>
        <v>3.0657534246575344</v>
      </c>
      <c r="J89" s="9">
        <f ca="1">ROUNDUP(IF(Staff[[#This Row],[Tenure]]&gt;2, 3%, 2%)*Staff[[#This Row],[Salary]],0)</f>
        <v>2142</v>
      </c>
      <c r="K89" s="4">
        <f>_xlfn.XLOOKUP(Staff[[#This Row],[Rating]],'Salary Vs Rating'!$B$34:$B$38,'Salary Vs Rating'!$C$34:$C$38)</f>
        <v>3</v>
      </c>
      <c r="L89" s="4"/>
      <c r="M89" s="4"/>
    </row>
    <row r="90" spans="1:13" x14ac:dyDescent="0.35">
      <c r="A90" t="s">
        <v>115</v>
      </c>
      <c r="B90" t="s">
        <v>15</v>
      </c>
      <c r="C90">
        <v>33</v>
      </c>
      <c r="D90" t="s">
        <v>16</v>
      </c>
      <c r="E90" s="3">
        <v>44324</v>
      </c>
      <c r="F90" t="s">
        <v>19</v>
      </c>
      <c r="G90">
        <v>74550</v>
      </c>
      <c r="H90" t="s">
        <v>206</v>
      </c>
      <c r="I90" s="4">
        <f ca="1">(TODAY()-Staff[[#This Row],[Date Joined]])/365</f>
        <v>3.0904109589041098</v>
      </c>
      <c r="J90" s="9">
        <f ca="1">ROUNDUP(IF(Staff[[#This Row],[Tenure]]&gt;2, 3%, 2%)*Staff[[#This Row],[Salary]],0)</f>
        <v>2237</v>
      </c>
      <c r="K90" s="4">
        <f>_xlfn.XLOOKUP(Staff[[#This Row],[Rating]],'Salary Vs Rating'!$B$34:$B$38,'Salary Vs Rating'!$C$34:$C$38)</f>
        <v>3</v>
      </c>
      <c r="L90" s="4"/>
      <c r="M90" s="4"/>
    </row>
    <row r="91" spans="1:13" x14ac:dyDescent="0.35">
      <c r="A91" t="s">
        <v>18</v>
      </c>
      <c r="B91" t="s">
        <v>15</v>
      </c>
      <c r="C91">
        <v>33</v>
      </c>
      <c r="D91" t="s">
        <v>16</v>
      </c>
      <c r="E91" s="3">
        <v>44385</v>
      </c>
      <c r="F91" t="s">
        <v>19</v>
      </c>
      <c r="G91">
        <v>74550</v>
      </c>
      <c r="H91" t="s">
        <v>208</v>
      </c>
      <c r="I91" s="4">
        <f ca="1">(TODAY()-Staff[[#This Row],[Date Joined]])/365</f>
        <v>2.9232876712328766</v>
      </c>
      <c r="J91" s="9">
        <f ca="1">ROUNDUP(IF(Staff[[#This Row],[Tenure]]&gt;2, 3%, 2%)*Staff[[#This Row],[Salary]],0)</f>
        <v>2237</v>
      </c>
      <c r="K91" s="4">
        <f>_xlfn.XLOOKUP(Staff[[#This Row],[Rating]],'Salary Vs Rating'!$B$34:$B$38,'Salary Vs Rating'!$C$34:$C$38)</f>
        <v>3</v>
      </c>
      <c r="L91" s="4"/>
      <c r="M91" s="4"/>
    </row>
    <row r="92" spans="1:13" x14ac:dyDescent="0.35">
      <c r="A92" t="s">
        <v>111</v>
      </c>
      <c r="B92" t="s">
        <v>8</v>
      </c>
      <c r="C92">
        <v>42</v>
      </c>
      <c r="D92" t="s">
        <v>10</v>
      </c>
      <c r="E92" s="3">
        <v>44718</v>
      </c>
      <c r="F92" t="s">
        <v>9</v>
      </c>
      <c r="G92">
        <v>75000</v>
      </c>
      <c r="H92" t="s">
        <v>206</v>
      </c>
      <c r="I92" s="4">
        <f ca="1">(TODAY()-Staff[[#This Row],[Date Joined]])/365</f>
        <v>2.010958904109589</v>
      </c>
      <c r="J92" s="9">
        <f ca="1">ROUNDUP(IF(Staff[[#This Row],[Tenure]]&gt;2, 3%, 2%)*Staff[[#This Row],[Salary]],0)</f>
        <v>2250</v>
      </c>
      <c r="K92" s="4">
        <f>_xlfn.XLOOKUP(Staff[[#This Row],[Rating]],'Salary Vs Rating'!$B$34:$B$38,'Salary Vs Rating'!$C$34:$C$38)</f>
        <v>5</v>
      </c>
      <c r="L92" s="4"/>
      <c r="M92" s="4"/>
    </row>
    <row r="93" spans="1:13" x14ac:dyDescent="0.35">
      <c r="A93" t="s">
        <v>7</v>
      </c>
      <c r="B93" t="s">
        <v>8</v>
      </c>
      <c r="C93">
        <v>42</v>
      </c>
      <c r="D93" t="s">
        <v>10</v>
      </c>
      <c r="E93" s="3">
        <v>44779</v>
      </c>
      <c r="F93" t="s">
        <v>9</v>
      </c>
      <c r="G93">
        <v>75000</v>
      </c>
      <c r="H93" t="s">
        <v>208</v>
      </c>
      <c r="I93" s="4">
        <f ca="1">(TODAY()-Staff[[#This Row],[Date Joined]])/365</f>
        <v>1.8438356164383563</v>
      </c>
      <c r="J93" s="9">
        <f ca="1">ROUNDUP(IF(Staff[[#This Row],[Tenure]]&gt;2, 3%, 2%)*Staff[[#This Row],[Salary]],0)</f>
        <v>1500</v>
      </c>
      <c r="K93" s="4">
        <f>_xlfn.XLOOKUP(Staff[[#This Row],[Rating]],'Salary Vs Rating'!$B$34:$B$38,'Salary Vs Rating'!$C$34:$C$38)</f>
        <v>5</v>
      </c>
      <c r="L93" s="4"/>
      <c r="M93" s="4"/>
    </row>
    <row r="94" spans="1:13" x14ac:dyDescent="0.35">
      <c r="A94" t="s">
        <v>188</v>
      </c>
      <c r="B94" t="s">
        <v>8</v>
      </c>
      <c r="C94">
        <v>33</v>
      </c>
      <c r="D94" t="s">
        <v>16</v>
      </c>
      <c r="E94" s="3">
        <v>44253</v>
      </c>
      <c r="F94" t="s">
        <v>12</v>
      </c>
      <c r="G94">
        <v>75280</v>
      </c>
      <c r="H94" t="s">
        <v>206</v>
      </c>
      <c r="I94" s="4">
        <f ca="1">(TODAY()-Staff[[#This Row],[Date Joined]])/365</f>
        <v>3.2849315068493152</v>
      </c>
      <c r="J94" s="9">
        <f ca="1">ROUNDUP(IF(Staff[[#This Row],[Tenure]]&gt;2, 3%, 2%)*Staff[[#This Row],[Salary]],0)</f>
        <v>2259</v>
      </c>
      <c r="K94" s="4">
        <f>_xlfn.XLOOKUP(Staff[[#This Row],[Rating]],'Salary Vs Rating'!$B$34:$B$38,'Salary Vs Rating'!$C$34:$C$38)</f>
        <v>3</v>
      </c>
      <c r="L94" s="4"/>
      <c r="M94" s="4"/>
    </row>
    <row r="95" spans="1:13" x14ac:dyDescent="0.35">
      <c r="A95" t="s">
        <v>95</v>
      </c>
      <c r="B95" t="s">
        <v>8</v>
      </c>
      <c r="C95">
        <v>33</v>
      </c>
      <c r="D95" t="s">
        <v>16</v>
      </c>
      <c r="E95" s="3">
        <v>44312</v>
      </c>
      <c r="F95" t="s">
        <v>12</v>
      </c>
      <c r="G95">
        <v>75280</v>
      </c>
      <c r="H95" t="s">
        <v>208</v>
      </c>
      <c r="I95" s="4">
        <f ca="1">(TODAY()-Staff[[#This Row],[Date Joined]])/365</f>
        <v>3.1232876712328768</v>
      </c>
      <c r="J95" s="9">
        <f ca="1">ROUNDUP(IF(Staff[[#This Row],[Tenure]]&gt;2, 3%, 2%)*Staff[[#This Row],[Salary]],0)</f>
        <v>2259</v>
      </c>
      <c r="K95" s="4">
        <f>_xlfn.XLOOKUP(Staff[[#This Row],[Rating]],'Salary Vs Rating'!$B$34:$B$38,'Salary Vs Rating'!$C$34:$C$38)</f>
        <v>3</v>
      </c>
      <c r="L95" s="4"/>
      <c r="M95" s="4"/>
    </row>
    <row r="96" spans="1:13" x14ac:dyDescent="0.35">
      <c r="A96" t="s">
        <v>135</v>
      </c>
      <c r="B96" t="s">
        <v>8</v>
      </c>
      <c r="C96">
        <v>33</v>
      </c>
      <c r="D96" t="s">
        <v>42</v>
      </c>
      <c r="E96" s="3">
        <v>44313</v>
      </c>
      <c r="F96" t="s">
        <v>12</v>
      </c>
      <c r="G96">
        <v>75480</v>
      </c>
      <c r="H96" t="s">
        <v>206</v>
      </c>
      <c r="I96" s="4">
        <f ca="1">(TODAY()-Staff[[#This Row],[Date Joined]])/365</f>
        <v>3.1205479452054794</v>
      </c>
      <c r="J96" s="9">
        <f ca="1">ROUNDUP(IF(Staff[[#This Row],[Tenure]]&gt;2, 3%, 2%)*Staff[[#This Row],[Salary]],0)</f>
        <v>2265</v>
      </c>
      <c r="K96" s="4">
        <f>_xlfn.XLOOKUP(Staff[[#This Row],[Rating]],'Salary Vs Rating'!$B$34:$B$38,'Salary Vs Rating'!$C$34:$C$38)</f>
        <v>1</v>
      </c>
      <c r="L96" s="4"/>
      <c r="M96" s="4"/>
    </row>
    <row r="97" spans="1:13" x14ac:dyDescent="0.35">
      <c r="A97" t="s">
        <v>41</v>
      </c>
      <c r="B97" t="s">
        <v>8</v>
      </c>
      <c r="C97">
        <v>33</v>
      </c>
      <c r="D97" t="s">
        <v>42</v>
      </c>
      <c r="E97" s="3">
        <v>44374</v>
      </c>
      <c r="F97" t="s">
        <v>12</v>
      </c>
      <c r="G97">
        <v>75480</v>
      </c>
      <c r="H97" t="s">
        <v>208</v>
      </c>
      <c r="I97" s="4">
        <f ca="1">(TODAY()-Staff[[#This Row],[Date Joined]])/365</f>
        <v>2.9534246575342467</v>
      </c>
      <c r="J97" s="9">
        <f ca="1">ROUNDUP(IF(Staff[[#This Row],[Tenure]]&gt;2, 3%, 2%)*Staff[[#This Row],[Salary]],0)</f>
        <v>2265</v>
      </c>
      <c r="K97" s="4">
        <f>_xlfn.XLOOKUP(Staff[[#This Row],[Rating]],'Salary Vs Rating'!$B$34:$B$38,'Salary Vs Rating'!$C$34:$C$38)</f>
        <v>1</v>
      </c>
      <c r="L97" s="4"/>
      <c r="M97" s="4"/>
    </row>
    <row r="98" spans="1:13" x14ac:dyDescent="0.35">
      <c r="A98" t="s">
        <v>170</v>
      </c>
      <c r="B98" t="s">
        <v>15</v>
      </c>
      <c r="C98">
        <v>21</v>
      </c>
      <c r="D98" t="s">
        <v>16</v>
      </c>
      <c r="E98" s="3">
        <v>44180</v>
      </c>
      <c r="F98" t="s">
        <v>56</v>
      </c>
      <c r="G98">
        <v>75880</v>
      </c>
      <c r="H98" t="s">
        <v>206</v>
      </c>
      <c r="I98" s="4">
        <f ca="1">(TODAY()-Staff[[#This Row],[Date Joined]])/365</f>
        <v>3.484931506849315</v>
      </c>
      <c r="J98" s="9">
        <f ca="1">ROUNDUP(IF(Staff[[#This Row],[Tenure]]&gt;2, 3%, 2%)*Staff[[#This Row],[Salary]],0)</f>
        <v>2277</v>
      </c>
      <c r="K98" s="4">
        <f>_xlfn.XLOOKUP(Staff[[#This Row],[Rating]],'Salary Vs Rating'!$B$34:$B$38,'Salary Vs Rating'!$C$34:$C$38)</f>
        <v>3</v>
      </c>
      <c r="L98" s="4"/>
      <c r="M98" s="4"/>
    </row>
    <row r="99" spans="1:13" x14ac:dyDescent="0.35">
      <c r="A99" t="s">
        <v>78</v>
      </c>
      <c r="B99" t="s">
        <v>15</v>
      </c>
      <c r="C99">
        <v>21</v>
      </c>
      <c r="D99" t="s">
        <v>16</v>
      </c>
      <c r="E99" s="3">
        <v>44242</v>
      </c>
      <c r="F99" t="s">
        <v>56</v>
      </c>
      <c r="G99">
        <v>75880</v>
      </c>
      <c r="H99" t="s">
        <v>208</v>
      </c>
      <c r="I99" s="4">
        <f ca="1">(TODAY()-Staff[[#This Row],[Date Joined]])/365</f>
        <v>3.3150684931506849</v>
      </c>
      <c r="J99" s="9">
        <f ca="1">ROUNDUP(IF(Staff[[#This Row],[Tenure]]&gt;2, 3%, 2%)*Staff[[#This Row],[Salary]],0)</f>
        <v>2277</v>
      </c>
      <c r="K99" s="4">
        <f>_xlfn.XLOOKUP(Staff[[#This Row],[Rating]],'Salary Vs Rating'!$B$34:$B$38,'Salary Vs Rating'!$C$34:$C$38)</f>
        <v>3</v>
      </c>
      <c r="L99" s="4"/>
      <c r="M99" s="4"/>
    </row>
    <row r="100" spans="1:13" x14ac:dyDescent="0.35">
      <c r="A100" t="s">
        <v>129</v>
      </c>
      <c r="B100" t="s">
        <v>8</v>
      </c>
      <c r="C100">
        <v>28</v>
      </c>
      <c r="D100" t="s">
        <v>16</v>
      </c>
      <c r="E100" s="3">
        <v>44124</v>
      </c>
      <c r="F100" t="s">
        <v>21</v>
      </c>
      <c r="G100">
        <v>75970</v>
      </c>
      <c r="H100" t="s">
        <v>206</v>
      </c>
      <c r="I100" s="4">
        <f ca="1">(TODAY()-Staff[[#This Row],[Date Joined]])/365</f>
        <v>3.6383561643835618</v>
      </c>
      <c r="J100" s="9">
        <f ca="1">ROUNDUP(IF(Staff[[#This Row],[Tenure]]&gt;2, 3%, 2%)*Staff[[#This Row],[Salary]],0)</f>
        <v>2280</v>
      </c>
      <c r="K100" s="4">
        <f>_xlfn.XLOOKUP(Staff[[#This Row],[Rating]],'Salary Vs Rating'!$B$34:$B$38,'Salary Vs Rating'!$C$34:$C$38)</f>
        <v>3</v>
      </c>
      <c r="L100" s="4"/>
      <c r="M100" s="4"/>
    </row>
    <row r="101" spans="1:13" x14ac:dyDescent="0.35">
      <c r="A101" t="s">
        <v>35</v>
      </c>
      <c r="B101" t="s">
        <v>8</v>
      </c>
      <c r="C101">
        <v>28</v>
      </c>
      <c r="D101" t="s">
        <v>16</v>
      </c>
      <c r="E101" s="3">
        <v>44185</v>
      </c>
      <c r="F101" t="s">
        <v>21</v>
      </c>
      <c r="G101">
        <v>75970</v>
      </c>
      <c r="H101" t="s">
        <v>208</v>
      </c>
      <c r="I101" s="4">
        <f ca="1">(TODAY()-Staff[[#This Row],[Date Joined]])/365</f>
        <v>3.4712328767123286</v>
      </c>
      <c r="J101" s="9">
        <f ca="1">ROUNDUP(IF(Staff[[#This Row],[Tenure]]&gt;2, 3%, 2%)*Staff[[#This Row],[Salary]],0)</f>
        <v>2280</v>
      </c>
      <c r="K101" s="4">
        <f>_xlfn.XLOOKUP(Staff[[#This Row],[Rating]],'Salary Vs Rating'!$B$34:$B$38,'Salary Vs Rating'!$C$34:$C$38)</f>
        <v>3</v>
      </c>
      <c r="L101" s="4"/>
      <c r="M101" s="4"/>
    </row>
    <row r="102" spans="1:13" x14ac:dyDescent="0.35">
      <c r="A102" t="s">
        <v>154</v>
      </c>
      <c r="B102" t="s">
        <v>8</v>
      </c>
      <c r="C102">
        <v>22</v>
      </c>
      <c r="D102" t="s">
        <v>13</v>
      </c>
      <c r="E102" s="3">
        <v>44388</v>
      </c>
      <c r="F102" t="s">
        <v>9</v>
      </c>
      <c r="G102">
        <v>76900</v>
      </c>
      <c r="H102" t="s">
        <v>206</v>
      </c>
      <c r="I102" s="4">
        <f ca="1">(TODAY()-Staff[[#This Row],[Date Joined]])/365</f>
        <v>2.9150684931506849</v>
      </c>
      <c r="J102" s="9">
        <f ca="1">ROUNDUP(IF(Staff[[#This Row],[Tenure]]&gt;2, 3%, 2%)*Staff[[#This Row],[Salary]],0)</f>
        <v>2307</v>
      </c>
      <c r="K102" s="4">
        <f>_xlfn.XLOOKUP(Staff[[#This Row],[Rating]],'Salary Vs Rating'!$B$34:$B$38,'Salary Vs Rating'!$C$34:$C$38)</f>
        <v>4</v>
      </c>
      <c r="L102" s="4"/>
      <c r="M102" s="4"/>
    </row>
    <row r="103" spans="1:13" x14ac:dyDescent="0.35">
      <c r="A103" t="s">
        <v>62</v>
      </c>
      <c r="B103" t="s">
        <v>8</v>
      </c>
      <c r="C103">
        <v>22</v>
      </c>
      <c r="D103" t="s">
        <v>13</v>
      </c>
      <c r="E103" s="3">
        <v>44450</v>
      </c>
      <c r="F103" t="s">
        <v>9</v>
      </c>
      <c r="G103">
        <v>76900</v>
      </c>
      <c r="H103" t="s">
        <v>208</v>
      </c>
      <c r="I103" s="4">
        <f ca="1">(TODAY()-Staff[[#This Row],[Date Joined]])/365</f>
        <v>2.7452054794520548</v>
      </c>
      <c r="J103" s="9">
        <f ca="1">ROUNDUP(IF(Staff[[#This Row],[Tenure]]&gt;2, 3%, 2%)*Staff[[#This Row],[Salary]],0)</f>
        <v>2307</v>
      </c>
      <c r="K103" s="4">
        <f>_xlfn.XLOOKUP(Staff[[#This Row],[Rating]],'Salary Vs Rating'!$B$34:$B$38,'Salary Vs Rating'!$C$34:$C$38)</f>
        <v>4</v>
      </c>
      <c r="L103" s="4"/>
      <c r="M103" s="4"/>
    </row>
    <row r="104" spans="1:13" x14ac:dyDescent="0.35">
      <c r="A104" t="s">
        <v>164</v>
      </c>
      <c r="B104" t="s">
        <v>8</v>
      </c>
      <c r="C104">
        <v>36</v>
      </c>
      <c r="D104" t="s">
        <v>16</v>
      </c>
      <c r="E104" s="3">
        <v>44468</v>
      </c>
      <c r="F104" t="s">
        <v>9</v>
      </c>
      <c r="G104">
        <v>78390</v>
      </c>
      <c r="H104" t="s">
        <v>206</v>
      </c>
      <c r="I104" s="4">
        <f ca="1">(TODAY()-Staff[[#This Row],[Date Joined]])/365</f>
        <v>2.6958904109589041</v>
      </c>
      <c r="J104" s="9">
        <f ca="1">ROUNDUP(IF(Staff[[#This Row],[Tenure]]&gt;2, 3%, 2%)*Staff[[#This Row],[Salary]],0)</f>
        <v>2352</v>
      </c>
      <c r="K104" s="4">
        <f>_xlfn.XLOOKUP(Staff[[#This Row],[Rating]],'Salary Vs Rating'!$B$34:$B$38,'Salary Vs Rating'!$C$34:$C$38)</f>
        <v>3</v>
      </c>
      <c r="L104" s="4"/>
      <c r="M104" s="4"/>
    </row>
    <row r="105" spans="1:13" x14ac:dyDescent="0.35">
      <c r="A105" t="s">
        <v>72</v>
      </c>
      <c r="B105" t="s">
        <v>8</v>
      </c>
      <c r="C105">
        <v>36</v>
      </c>
      <c r="D105" t="s">
        <v>16</v>
      </c>
      <c r="E105" s="3">
        <v>44529</v>
      </c>
      <c r="F105" t="s">
        <v>9</v>
      </c>
      <c r="G105">
        <v>78390</v>
      </c>
      <c r="H105" t="s">
        <v>208</v>
      </c>
      <c r="I105" s="4">
        <f ca="1">(TODAY()-Staff[[#This Row],[Date Joined]])/365</f>
        <v>2.5287671232876714</v>
      </c>
      <c r="J105" s="9">
        <f ca="1">ROUNDUP(IF(Staff[[#This Row],[Tenure]]&gt;2, 3%, 2%)*Staff[[#This Row],[Salary]],0)</f>
        <v>2352</v>
      </c>
      <c r="K105" s="4">
        <f>_xlfn.XLOOKUP(Staff[[#This Row],[Rating]],'Salary Vs Rating'!$B$34:$B$38,'Salary Vs Rating'!$C$34:$C$38)</f>
        <v>3</v>
      </c>
      <c r="L105" s="4"/>
      <c r="M105" s="4"/>
    </row>
    <row r="106" spans="1:13" x14ac:dyDescent="0.35">
      <c r="A106" t="s">
        <v>141</v>
      </c>
      <c r="B106" t="s">
        <v>8</v>
      </c>
      <c r="C106">
        <v>36</v>
      </c>
      <c r="D106" t="s">
        <v>16</v>
      </c>
      <c r="E106" s="3">
        <v>44433</v>
      </c>
      <c r="F106" t="s">
        <v>19</v>
      </c>
      <c r="G106">
        <v>78540</v>
      </c>
      <c r="H106" t="s">
        <v>206</v>
      </c>
      <c r="I106" s="4">
        <f ca="1">(TODAY()-Staff[[#This Row],[Date Joined]])/365</f>
        <v>2.7917808219178082</v>
      </c>
      <c r="J106" s="9">
        <f ca="1">ROUNDUP(IF(Staff[[#This Row],[Tenure]]&gt;2, 3%, 2%)*Staff[[#This Row],[Salary]],0)</f>
        <v>2357</v>
      </c>
      <c r="K106" s="4">
        <f>_xlfn.XLOOKUP(Staff[[#This Row],[Rating]],'Salary Vs Rating'!$B$34:$B$38,'Salary Vs Rating'!$C$34:$C$38)</f>
        <v>3</v>
      </c>
      <c r="L106" s="4"/>
      <c r="M106" s="4"/>
    </row>
    <row r="107" spans="1:13" x14ac:dyDescent="0.35">
      <c r="A107" t="s">
        <v>48</v>
      </c>
      <c r="B107" t="s">
        <v>8</v>
      </c>
      <c r="C107">
        <v>36</v>
      </c>
      <c r="D107" t="s">
        <v>16</v>
      </c>
      <c r="E107" s="3">
        <v>44494</v>
      </c>
      <c r="F107" t="s">
        <v>19</v>
      </c>
      <c r="G107">
        <v>78540</v>
      </c>
      <c r="H107" t="s">
        <v>208</v>
      </c>
      <c r="I107" s="4">
        <f ca="1">(TODAY()-Staff[[#This Row],[Date Joined]])/365</f>
        <v>2.6246575342465754</v>
      </c>
      <c r="J107" s="9">
        <f ca="1">ROUNDUP(IF(Staff[[#This Row],[Tenure]]&gt;2, 3%, 2%)*Staff[[#This Row],[Salary]],0)</f>
        <v>2357</v>
      </c>
      <c r="K107" s="4">
        <f>_xlfn.XLOOKUP(Staff[[#This Row],[Rating]],'Salary Vs Rating'!$B$34:$B$38,'Salary Vs Rating'!$C$34:$C$38)</f>
        <v>3</v>
      </c>
      <c r="L107" s="4"/>
      <c r="M107" s="4"/>
    </row>
    <row r="108" spans="1:13" x14ac:dyDescent="0.35">
      <c r="A108" t="s">
        <v>197</v>
      </c>
      <c r="B108" t="s">
        <v>15</v>
      </c>
      <c r="C108">
        <v>20</v>
      </c>
      <c r="D108" t="s">
        <v>16</v>
      </c>
      <c r="E108" s="3">
        <v>44683</v>
      </c>
      <c r="F108" t="s">
        <v>9</v>
      </c>
      <c r="G108">
        <v>79570</v>
      </c>
      <c r="H108" t="s">
        <v>206</v>
      </c>
      <c r="I108" s="4">
        <f ca="1">(TODAY()-Staff[[#This Row],[Date Joined]])/365</f>
        <v>2.106849315068493</v>
      </c>
      <c r="J108" s="9">
        <f ca="1">ROUNDUP(IF(Staff[[#This Row],[Tenure]]&gt;2, 3%, 2%)*Staff[[#This Row],[Salary]],0)</f>
        <v>2388</v>
      </c>
      <c r="K108" s="4">
        <f>_xlfn.XLOOKUP(Staff[[#This Row],[Rating]],'Salary Vs Rating'!$B$34:$B$38,'Salary Vs Rating'!$C$34:$C$38)</f>
        <v>3</v>
      </c>
      <c r="L108" s="4"/>
      <c r="M108" s="4"/>
    </row>
    <row r="109" spans="1:13" x14ac:dyDescent="0.35">
      <c r="A109" t="s">
        <v>104</v>
      </c>
      <c r="B109" t="s">
        <v>15</v>
      </c>
      <c r="C109">
        <v>20</v>
      </c>
      <c r="D109" t="s">
        <v>16</v>
      </c>
      <c r="E109" s="3">
        <v>44744</v>
      </c>
      <c r="F109" t="s">
        <v>9</v>
      </c>
      <c r="G109">
        <v>79570</v>
      </c>
      <c r="H109" t="s">
        <v>208</v>
      </c>
      <c r="I109" s="4">
        <f ca="1">(TODAY()-Staff[[#This Row],[Date Joined]])/365</f>
        <v>1.9397260273972603</v>
      </c>
      <c r="J109" s="9">
        <f ca="1">ROUNDUP(IF(Staff[[#This Row],[Tenure]]&gt;2, 3%, 2%)*Staff[[#This Row],[Salary]],0)</f>
        <v>1592</v>
      </c>
      <c r="K109" s="4">
        <f>_xlfn.XLOOKUP(Staff[[#This Row],[Rating]],'Salary Vs Rating'!$B$34:$B$38,'Salary Vs Rating'!$C$34:$C$38)</f>
        <v>3</v>
      </c>
      <c r="L109" s="4"/>
      <c r="M109" s="4"/>
    </row>
    <row r="110" spans="1:13" x14ac:dyDescent="0.35">
      <c r="A110" t="s">
        <v>133</v>
      </c>
      <c r="B110" t="s">
        <v>8</v>
      </c>
      <c r="C110">
        <v>25</v>
      </c>
      <c r="D110" t="s">
        <v>13</v>
      </c>
      <c r="E110" s="3">
        <v>44633</v>
      </c>
      <c r="F110" t="s">
        <v>12</v>
      </c>
      <c r="G110">
        <v>80700</v>
      </c>
      <c r="H110" t="s">
        <v>206</v>
      </c>
      <c r="I110" s="4">
        <f ca="1">(TODAY()-Staff[[#This Row],[Date Joined]])/365</f>
        <v>2.2438356164383562</v>
      </c>
      <c r="J110" s="9">
        <f ca="1">ROUNDUP(IF(Staff[[#This Row],[Tenure]]&gt;2, 3%, 2%)*Staff[[#This Row],[Salary]],0)</f>
        <v>2421</v>
      </c>
      <c r="K110" s="4">
        <f>_xlfn.XLOOKUP(Staff[[#This Row],[Rating]],'Salary Vs Rating'!$B$34:$B$38,'Salary Vs Rating'!$C$34:$C$38)</f>
        <v>4</v>
      </c>
      <c r="L110" s="4"/>
      <c r="M110" s="4"/>
    </row>
    <row r="111" spans="1:13" x14ac:dyDescent="0.35">
      <c r="A111" t="s">
        <v>39</v>
      </c>
      <c r="B111" t="s">
        <v>8</v>
      </c>
      <c r="C111">
        <v>25</v>
      </c>
      <c r="D111" t="s">
        <v>13</v>
      </c>
      <c r="E111" s="3">
        <v>44694</v>
      </c>
      <c r="F111" t="s">
        <v>12</v>
      </c>
      <c r="G111">
        <v>80700</v>
      </c>
      <c r="H111" t="s">
        <v>208</v>
      </c>
      <c r="I111" s="4">
        <f ca="1">(TODAY()-Staff[[#This Row],[Date Joined]])/365</f>
        <v>2.0767123287671234</v>
      </c>
      <c r="J111" s="9">
        <f ca="1">ROUNDUP(IF(Staff[[#This Row],[Tenure]]&gt;2, 3%, 2%)*Staff[[#This Row],[Salary]],0)</f>
        <v>2421</v>
      </c>
      <c r="K111" s="4">
        <f>_xlfn.XLOOKUP(Staff[[#This Row],[Rating]],'Salary Vs Rating'!$B$34:$B$38,'Salary Vs Rating'!$C$34:$C$38)</f>
        <v>4</v>
      </c>
      <c r="L111" s="4"/>
      <c r="M111" s="4"/>
    </row>
    <row r="112" spans="1:13" x14ac:dyDescent="0.35">
      <c r="A112" t="s">
        <v>185</v>
      </c>
      <c r="B112" t="s">
        <v>8</v>
      </c>
      <c r="C112">
        <v>27</v>
      </c>
      <c r="D112" t="s">
        <v>16</v>
      </c>
      <c r="E112" s="3">
        <v>44625</v>
      </c>
      <c r="F112" t="s">
        <v>12</v>
      </c>
      <c r="G112">
        <v>83750</v>
      </c>
      <c r="H112" t="s">
        <v>206</v>
      </c>
      <c r="I112" s="4">
        <f ca="1">(TODAY()-Staff[[#This Row],[Date Joined]])/365</f>
        <v>2.2657534246575342</v>
      </c>
      <c r="J112" s="9">
        <f ca="1">ROUNDUP(IF(Staff[[#This Row],[Tenure]]&gt;2, 3%, 2%)*Staff[[#This Row],[Salary]],0)</f>
        <v>2513</v>
      </c>
      <c r="K112" s="4">
        <f>_xlfn.XLOOKUP(Staff[[#This Row],[Rating]],'Salary Vs Rating'!$B$34:$B$38,'Salary Vs Rating'!$C$34:$C$38)</f>
        <v>3</v>
      </c>
      <c r="L112" s="4"/>
      <c r="M112" s="4"/>
    </row>
    <row r="113" spans="1:13" x14ac:dyDescent="0.35">
      <c r="A113" t="s">
        <v>92</v>
      </c>
      <c r="B113" t="s">
        <v>8</v>
      </c>
      <c r="C113">
        <v>27</v>
      </c>
      <c r="D113" t="s">
        <v>16</v>
      </c>
      <c r="E113" s="3">
        <v>44686</v>
      </c>
      <c r="F113" t="s">
        <v>12</v>
      </c>
      <c r="G113">
        <v>83750</v>
      </c>
      <c r="H113" t="s">
        <v>208</v>
      </c>
      <c r="I113" s="4">
        <f ca="1">(TODAY()-Staff[[#This Row],[Date Joined]])/365</f>
        <v>2.0986301369863014</v>
      </c>
      <c r="J113" s="9">
        <f ca="1">ROUNDUP(IF(Staff[[#This Row],[Tenure]]&gt;2, 3%, 2%)*Staff[[#This Row],[Salary]],0)</f>
        <v>2513</v>
      </c>
      <c r="K113" s="4">
        <f>_xlfn.XLOOKUP(Staff[[#This Row],[Rating]],'Salary Vs Rating'!$B$34:$B$38,'Salary Vs Rating'!$C$34:$C$38)</f>
        <v>3</v>
      </c>
      <c r="L113" s="4"/>
      <c r="M113" s="4"/>
    </row>
    <row r="114" spans="1:13" x14ac:dyDescent="0.35">
      <c r="A114" t="s">
        <v>122</v>
      </c>
      <c r="B114" t="s">
        <v>8</v>
      </c>
      <c r="C114">
        <v>34</v>
      </c>
      <c r="D114" t="s">
        <v>16</v>
      </c>
      <c r="E114" s="3">
        <v>44397</v>
      </c>
      <c r="F114" t="s">
        <v>21</v>
      </c>
      <c r="G114">
        <v>85000</v>
      </c>
      <c r="H114" t="s">
        <v>206</v>
      </c>
      <c r="I114" s="4">
        <f ca="1">(TODAY()-Staff[[#This Row],[Date Joined]])/365</f>
        <v>2.8904109589041096</v>
      </c>
      <c r="J114" s="9">
        <f ca="1">ROUNDUP(IF(Staff[[#This Row],[Tenure]]&gt;2, 3%, 2%)*Staff[[#This Row],[Salary]],0)</f>
        <v>2550</v>
      </c>
      <c r="K114" s="4">
        <f>_xlfn.XLOOKUP(Staff[[#This Row],[Rating]],'Salary Vs Rating'!$B$34:$B$38,'Salary Vs Rating'!$C$34:$C$38)</f>
        <v>3</v>
      </c>
      <c r="L114" s="4"/>
      <c r="M114" s="4"/>
    </row>
    <row r="115" spans="1:13" x14ac:dyDescent="0.35">
      <c r="A115" t="s">
        <v>28</v>
      </c>
      <c r="B115" t="s">
        <v>8</v>
      </c>
      <c r="C115">
        <v>34</v>
      </c>
      <c r="D115" t="s">
        <v>16</v>
      </c>
      <c r="E115" s="3">
        <v>44459</v>
      </c>
      <c r="F115" t="s">
        <v>21</v>
      </c>
      <c r="G115">
        <v>85000</v>
      </c>
      <c r="H115" t="s">
        <v>208</v>
      </c>
      <c r="I115" s="4">
        <f ca="1">(TODAY()-Staff[[#This Row],[Date Joined]])/365</f>
        <v>2.7205479452054795</v>
      </c>
      <c r="J115" s="9">
        <f ca="1">ROUNDUP(IF(Staff[[#This Row],[Tenure]]&gt;2, 3%, 2%)*Staff[[#This Row],[Salary]],0)</f>
        <v>2550</v>
      </c>
      <c r="K115" s="4">
        <f>_xlfn.XLOOKUP(Staff[[#This Row],[Rating]],'Salary Vs Rating'!$B$34:$B$38,'Salary Vs Rating'!$C$34:$C$38)</f>
        <v>3</v>
      </c>
      <c r="L115" s="4"/>
      <c r="M115" s="4"/>
    </row>
    <row r="116" spans="1:13" x14ac:dyDescent="0.35">
      <c r="A116" t="s">
        <v>181</v>
      </c>
      <c r="B116" t="s">
        <v>8</v>
      </c>
      <c r="C116">
        <v>33</v>
      </c>
      <c r="D116" t="s">
        <v>16</v>
      </c>
      <c r="E116" s="3">
        <v>44747</v>
      </c>
      <c r="F116" t="s">
        <v>21</v>
      </c>
      <c r="G116">
        <v>86570</v>
      </c>
      <c r="H116" t="s">
        <v>206</v>
      </c>
      <c r="I116" s="4">
        <f ca="1">(TODAY()-Staff[[#This Row],[Date Joined]])/365</f>
        <v>1.9315068493150684</v>
      </c>
      <c r="J116" s="9">
        <f ca="1">ROUNDUP(IF(Staff[[#This Row],[Tenure]]&gt;2, 3%, 2%)*Staff[[#This Row],[Salary]],0)</f>
        <v>1732</v>
      </c>
      <c r="K116" s="4">
        <f>_xlfn.XLOOKUP(Staff[[#This Row],[Rating]],'Salary Vs Rating'!$B$34:$B$38,'Salary Vs Rating'!$C$34:$C$38)</f>
        <v>3</v>
      </c>
      <c r="L116" s="4"/>
      <c r="M116" s="4"/>
    </row>
    <row r="117" spans="1:13" x14ac:dyDescent="0.35">
      <c r="A117" t="s">
        <v>88</v>
      </c>
      <c r="B117" t="s">
        <v>8</v>
      </c>
      <c r="C117">
        <v>33</v>
      </c>
      <c r="D117" t="s">
        <v>16</v>
      </c>
      <c r="E117" s="3">
        <v>44809</v>
      </c>
      <c r="F117" t="s">
        <v>21</v>
      </c>
      <c r="G117">
        <v>86570</v>
      </c>
      <c r="H117" t="s">
        <v>208</v>
      </c>
      <c r="I117" s="4">
        <f ca="1">(TODAY()-Staff[[#This Row],[Date Joined]])/365</f>
        <v>1.7616438356164383</v>
      </c>
      <c r="J117" s="9">
        <f ca="1">ROUNDUP(IF(Staff[[#This Row],[Tenure]]&gt;2, 3%, 2%)*Staff[[#This Row],[Salary]],0)</f>
        <v>1732</v>
      </c>
      <c r="K117" s="4">
        <f>_xlfn.XLOOKUP(Staff[[#This Row],[Rating]],'Salary Vs Rating'!$B$34:$B$38,'Salary Vs Rating'!$C$34:$C$38)</f>
        <v>3</v>
      </c>
      <c r="L117" s="4"/>
      <c r="M117" s="4"/>
    </row>
    <row r="118" spans="1:13" x14ac:dyDescent="0.35">
      <c r="A118" t="s">
        <v>166</v>
      </c>
      <c r="B118" t="s">
        <v>8</v>
      </c>
      <c r="C118">
        <v>40</v>
      </c>
      <c r="D118" t="s">
        <v>16</v>
      </c>
      <c r="E118" s="3">
        <v>44276</v>
      </c>
      <c r="F118" t="s">
        <v>12</v>
      </c>
      <c r="G118">
        <v>87620</v>
      </c>
      <c r="H118" t="s">
        <v>206</v>
      </c>
      <c r="I118" s="4">
        <f ca="1">(TODAY()-Staff[[#This Row],[Date Joined]])/365</f>
        <v>3.2219178082191782</v>
      </c>
      <c r="J118" s="9">
        <f ca="1">ROUNDUP(IF(Staff[[#This Row],[Tenure]]&gt;2, 3%, 2%)*Staff[[#This Row],[Salary]],0)</f>
        <v>2629</v>
      </c>
      <c r="K118" s="4">
        <f>_xlfn.XLOOKUP(Staff[[#This Row],[Rating]],'Salary Vs Rating'!$B$34:$B$38,'Salary Vs Rating'!$C$34:$C$38)</f>
        <v>3</v>
      </c>
      <c r="L118" s="4"/>
      <c r="M118" s="4"/>
    </row>
    <row r="119" spans="1:13" x14ac:dyDescent="0.35">
      <c r="A119" t="s">
        <v>74</v>
      </c>
      <c r="B119" t="s">
        <v>8</v>
      </c>
      <c r="C119">
        <v>40</v>
      </c>
      <c r="D119" t="s">
        <v>16</v>
      </c>
      <c r="E119" s="3">
        <v>44337</v>
      </c>
      <c r="F119" t="s">
        <v>12</v>
      </c>
      <c r="G119">
        <v>87620</v>
      </c>
      <c r="H119" t="s">
        <v>208</v>
      </c>
      <c r="I119" s="4">
        <f ca="1">(TODAY()-Staff[[#This Row],[Date Joined]])/365</f>
        <v>3.0547945205479454</v>
      </c>
      <c r="J119" s="9">
        <f ca="1">ROUNDUP(IF(Staff[[#This Row],[Tenure]]&gt;2, 3%, 2%)*Staff[[#This Row],[Salary]],0)</f>
        <v>2629</v>
      </c>
      <c r="K119" s="4">
        <f>_xlfn.XLOOKUP(Staff[[#This Row],[Rating]],'Salary Vs Rating'!$B$34:$B$38,'Salary Vs Rating'!$C$34:$C$38)</f>
        <v>3</v>
      </c>
      <c r="L119" s="4"/>
      <c r="M119" s="4"/>
    </row>
    <row r="120" spans="1:13" x14ac:dyDescent="0.35">
      <c r="A120" t="s">
        <v>118</v>
      </c>
      <c r="B120" t="s">
        <v>15</v>
      </c>
      <c r="C120">
        <v>37</v>
      </c>
      <c r="D120" t="s">
        <v>24</v>
      </c>
      <c r="E120" s="3">
        <v>44277</v>
      </c>
      <c r="F120" t="s">
        <v>12</v>
      </c>
      <c r="G120">
        <v>88050</v>
      </c>
      <c r="H120" t="s">
        <v>206</v>
      </c>
      <c r="I120" s="4">
        <f ca="1">(TODAY()-Staff[[#This Row],[Date Joined]])/365</f>
        <v>3.2191780821917808</v>
      </c>
      <c r="J120" s="9">
        <f ca="1">ROUNDUP(IF(Staff[[#This Row],[Tenure]]&gt;2, 3%, 2%)*Staff[[#This Row],[Salary]],0)</f>
        <v>2642</v>
      </c>
      <c r="K120" s="4">
        <f>_xlfn.XLOOKUP(Staff[[#This Row],[Rating]],'Salary Vs Rating'!$B$34:$B$38,'Salary Vs Rating'!$C$34:$C$38)</f>
        <v>2</v>
      </c>
      <c r="L120" s="4"/>
      <c r="M120" s="4"/>
    </row>
    <row r="121" spans="1:13" x14ac:dyDescent="0.35">
      <c r="A121" t="s">
        <v>23</v>
      </c>
      <c r="B121" t="s">
        <v>15</v>
      </c>
      <c r="C121">
        <v>37</v>
      </c>
      <c r="D121" t="s">
        <v>24</v>
      </c>
      <c r="E121" s="3">
        <v>44338</v>
      </c>
      <c r="F121" t="s">
        <v>12</v>
      </c>
      <c r="G121">
        <v>88050</v>
      </c>
      <c r="H121" t="s">
        <v>208</v>
      </c>
      <c r="I121" s="4">
        <f ca="1">(TODAY()-Staff[[#This Row],[Date Joined]])/365</f>
        <v>3.0520547945205481</v>
      </c>
      <c r="J121" s="9">
        <f ca="1">ROUNDUP(IF(Staff[[#This Row],[Tenure]]&gt;2, 3%, 2%)*Staff[[#This Row],[Salary]],0)</f>
        <v>2642</v>
      </c>
      <c r="K121" s="4">
        <f>_xlfn.XLOOKUP(Staff[[#This Row],[Rating]],'Salary Vs Rating'!$B$34:$B$38,'Salary Vs Rating'!$C$34:$C$38)</f>
        <v>2</v>
      </c>
      <c r="L121" s="4"/>
      <c r="M121" s="4"/>
    </row>
    <row r="122" spans="1:13" x14ac:dyDescent="0.35">
      <c r="A122" t="s">
        <v>112</v>
      </c>
      <c r="B122" t="s">
        <v>207</v>
      </c>
      <c r="C122">
        <v>27</v>
      </c>
      <c r="D122" t="s">
        <v>13</v>
      </c>
      <c r="E122" s="3">
        <v>44212</v>
      </c>
      <c r="F122" t="s">
        <v>12</v>
      </c>
      <c r="G122">
        <v>90700</v>
      </c>
      <c r="H122" t="s">
        <v>206</v>
      </c>
      <c r="I122" s="4">
        <f ca="1">(TODAY()-Staff[[#This Row],[Date Joined]])/365</f>
        <v>3.3972602739726026</v>
      </c>
      <c r="J122" s="9">
        <f ca="1">ROUNDUP(IF(Staff[[#This Row],[Tenure]]&gt;2, 3%, 2%)*Staff[[#This Row],[Salary]],0)</f>
        <v>2721</v>
      </c>
      <c r="K122" s="4">
        <f>_xlfn.XLOOKUP(Staff[[#This Row],[Rating]],'Salary Vs Rating'!$B$34:$B$38,'Salary Vs Rating'!$C$34:$C$38)</f>
        <v>4</v>
      </c>
      <c r="L122" s="4"/>
      <c r="M122" s="4"/>
    </row>
    <row r="123" spans="1:13" x14ac:dyDescent="0.35">
      <c r="A123" t="s">
        <v>11</v>
      </c>
      <c r="B123" t="s">
        <v>207</v>
      </c>
      <c r="C123">
        <v>26</v>
      </c>
      <c r="D123" t="s">
        <v>13</v>
      </c>
      <c r="E123" s="3">
        <v>44271</v>
      </c>
      <c r="F123" t="s">
        <v>12</v>
      </c>
      <c r="G123">
        <v>90700</v>
      </c>
      <c r="H123" t="s">
        <v>208</v>
      </c>
      <c r="I123" s="4">
        <f ca="1">(TODAY()-Staff[[#This Row],[Date Joined]])/365</f>
        <v>3.2356164383561645</v>
      </c>
      <c r="J123" s="9">
        <f ca="1">ROUNDUP(IF(Staff[[#This Row],[Tenure]]&gt;2, 3%, 2%)*Staff[[#This Row],[Salary]],0)</f>
        <v>2721</v>
      </c>
      <c r="K123" s="4">
        <f>_xlfn.XLOOKUP(Staff[[#This Row],[Rating]],'Salary Vs Rating'!$B$34:$B$38,'Salary Vs Rating'!$C$34:$C$38)</f>
        <v>4</v>
      </c>
      <c r="L123" s="4"/>
      <c r="M123" s="4"/>
    </row>
    <row r="124" spans="1:13" x14ac:dyDescent="0.35">
      <c r="A124" t="s">
        <v>145</v>
      </c>
      <c r="B124" t="s">
        <v>207</v>
      </c>
      <c r="C124">
        <v>32</v>
      </c>
      <c r="D124" t="s">
        <v>16</v>
      </c>
      <c r="E124" s="3">
        <v>44713</v>
      </c>
      <c r="F124" t="s">
        <v>12</v>
      </c>
      <c r="G124">
        <v>91310</v>
      </c>
      <c r="H124" t="s">
        <v>206</v>
      </c>
      <c r="I124" s="4">
        <f ca="1">(TODAY()-Staff[[#This Row],[Date Joined]])/365</f>
        <v>2.0246575342465754</v>
      </c>
      <c r="J124" s="9">
        <f ca="1">ROUNDUP(IF(Staff[[#This Row],[Tenure]]&gt;2, 3%, 2%)*Staff[[#This Row],[Salary]],0)</f>
        <v>2740</v>
      </c>
      <c r="K124" s="4">
        <f>_xlfn.XLOOKUP(Staff[[#This Row],[Rating]],'Salary Vs Rating'!$B$34:$B$38,'Salary Vs Rating'!$C$34:$C$38)</f>
        <v>3</v>
      </c>
      <c r="L124" s="4"/>
      <c r="M124" s="4"/>
    </row>
    <row r="125" spans="1:13" x14ac:dyDescent="0.35">
      <c r="A125" t="s">
        <v>52</v>
      </c>
      <c r="B125" t="s">
        <v>207</v>
      </c>
      <c r="C125">
        <v>32</v>
      </c>
      <c r="D125" t="s">
        <v>16</v>
      </c>
      <c r="E125" s="3">
        <v>44774</v>
      </c>
      <c r="F125" t="s">
        <v>12</v>
      </c>
      <c r="G125">
        <v>91310</v>
      </c>
      <c r="H125" t="s">
        <v>208</v>
      </c>
      <c r="I125" s="4">
        <f ca="1">(TODAY()-Staff[[#This Row],[Date Joined]])/365</f>
        <v>1.8575342465753424</v>
      </c>
      <c r="J125" s="9">
        <f ca="1">ROUNDUP(IF(Staff[[#This Row],[Tenure]]&gt;2, 3%, 2%)*Staff[[#This Row],[Salary]],0)</f>
        <v>1827</v>
      </c>
      <c r="K125" s="4">
        <f>_xlfn.XLOOKUP(Staff[[#This Row],[Rating]],'Salary Vs Rating'!$B$34:$B$38,'Salary Vs Rating'!$C$34:$C$38)</f>
        <v>3</v>
      </c>
      <c r="L125" s="4"/>
      <c r="M125" s="4"/>
    </row>
    <row r="126" spans="1:13" x14ac:dyDescent="0.35">
      <c r="A126" t="s">
        <v>160</v>
      </c>
      <c r="B126" t="s">
        <v>15</v>
      </c>
      <c r="C126">
        <v>27</v>
      </c>
      <c r="D126" t="s">
        <v>13</v>
      </c>
      <c r="E126" s="3">
        <v>44174</v>
      </c>
      <c r="F126" t="s">
        <v>21</v>
      </c>
      <c r="G126">
        <v>91650</v>
      </c>
      <c r="H126" t="s">
        <v>206</v>
      </c>
      <c r="I126" s="4">
        <f ca="1">(TODAY()-Staff[[#This Row],[Date Joined]])/365</f>
        <v>3.5013698630136987</v>
      </c>
      <c r="J126" s="9">
        <f ca="1">ROUNDUP(IF(Staff[[#This Row],[Tenure]]&gt;2, 3%, 2%)*Staff[[#This Row],[Salary]],0)</f>
        <v>2750</v>
      </c>
      <c r="K126" s="4">
        <f>_xlfn.XLOOKUP(Staff[[#This Row],[Rating]],'Salary Vs Rating'!$B$34:$B$38,'Salary Vs Rating'!$C$34:$C$38)</f>
        <v>4</v>
      </c>
      <c r="L126" s="4"/>
      <c r="M126" s="4"/>
    </row>
    <row r="127" spans="1:13" x14ac:dyDescent="0.35">
      <c r="A127" t="s">
        <v>68</v>
      </c>
      <c r="B127" t="s">
        <v>15</v>
      </c>
      <c r="C127">
        <v>27</v>
      </c>
      <c r="D127" t="s">
        <v>13</v>
      </c>
      <c r="E127" s="3">
        <v>44236</v>
      </c>
      <c r="F127" t="s">
        <v>21</v>
      </c>
      <c r="G127">
        <v>91650</v>
      </c>
      <c r="H127" t="s">
        <v>208</v>
      </c>
      <c r="I127" s="4">
        <f ca="1">(TODAY()-Staff[[#This Row],[Date Joined]])/365</f>
        <v>3.3315068493150686</v>
      </c>
      <c r="J127" s="9">
        <f ca="1">ROUNDUP(IF(Staff[[#This Row],[Tenure]]&gt;2, 3%, 2%)*Staff[[#This Row],[Salary]],0)</f>
        <v>2750</v>
      </c>
      <c r="K127" s="4">
        <f>_xlfn.XLOOKUP(Staff[[#This Row],[Rating]],'Salary Vs Rating'!$B$34:$B$38,'Salary Vs Rating'!$C$34:$C$38)</f>
        <v>4</v>
      </c>
      <c r="L127" s="4"/>
      <c r="M127" s="4"/>
    </row>
    <row r="128" spans="1:13" x14ac:dyDescent="0.35">
      <c r="A128" t="s">
        <v>195</v>
      </c>
      <c r="B128" t="s">
        <v>8</v>
      </c>
      <c r="C128">
        <v>34</v>
      </c>
      <c r="D128" t="s">
        <v>16</v>
      </c>
      <c r="E128" s="3">
        <v>44383</v>
      </c>
      <c r="F128" t="s">
        <v>21</v>
      </c>
      <c r="G128">
        <v>92450</v>
      </c>
      <c r="H128" t="s">
        <v>206</v>
      </c>
      <c r="I128" s="4">
        <f ca="1">(TODAY()-Staff[[#This Row],[Date Joined]])/365</f>
        <v>2.9287671232876713</v>
      </c>
      <c r="J128" s="9">
        <f ca="1">ROUNDUP(IF(Staff[[#This Row],[Tenure]]&gt;2, 3%, 2%)*Staff[[#This Row],[Salary]],0)</f>
        <v>2774</v>
      </c>
      <c r="K128" s="4">
        <f>_xlfn.XLOOKUP(Staff[[#This Row],[Rating]],'Salary Vs Rating'!$B$34:$B$38,'Salary Vs Rating'!$C$34:$C$38)</f>
        <v>3</v>
      </c>
      <c r="L128" s="4"/>
      <c r="M128" s="4"/>
    </row>
    <row r="129" spans="1:13" x14ac:dyDescent="0.35">
      <c r="A129" t="s">
        <v>102</v>
      </c>
      <c r="B129" t="s">
        <v>8</v>
      </c>
      <c r="C129">
        <v>34</v>
      </c>
      <c r="D129" t="s">
        <v>16</v>
      </c>
      <c r="E129" s="3">
        <v>44445</v>
      </c>
      <c r="F129" t="s">
        <v>21</v>
      </c>
      <c r="G129">
        <v>92450</v>
      </c>
      <c r="H129" t="s">
        <v>208</v>
      </c>
      <c r="I129" s="4">
        <f ca="1">(TODAY()-Staff[[#This Row],[Date Joined]])/365</f>
        <v>2.7589041095890412</v>
      </c>
      <c r="J129" s="9">
        <f ca="1">ROUNDUP(IF(Staff[[#This Row],[Tenure]]&gt;2, 3%, 2%)*Staff[[#This Row],[Salary]],0)</f>
        <v>2774</v>
      </c>
      <c r="K129" s="4">
        <f>_xlfn.XLOOKUP(Staff[[#This Row],[Rating]],'Salary Vs Rating'!$B$34:$B$38,'Salary Vs Rating'!$C$34:$C$38)</f>
        <v>3</v>
      </c>
      <c r="L129" s="4"/>
      <c r="M129" s="4"/>
    </row>
    <row r="130" spans="1:13" x14ac:dyDescent="0.35">
      <c r="A130" t="s">
        <v>169</v>
      </c>
      <c r="B130" t="s">
        <v>8</v>
      </c>
      <c r="C130">
        <v>25</v>
      </c>
      <c r="D130" t="s">
        <v>16</v>
      </c>
      <c r="E130" s="3">
        <v>44144</v>
      </c>
      <c r="F130" t="s">
        <v>19</v>
      </c>
      <c r="G130">
        <v>92700</v>
      </c>
      <c r="H130" t="s">
        <v>206</v>
      </c>
      <c r="I130" s="4">
        <f ca="1">(TODAY()-Staff[[#This Row],[Date Joined]])/365</f>
        <v>3.5835616438356164</v>
      </c>
      <c r="J130" s="9">
        <f ca="1">ROUNDUP(IF(Staff[[#This Row],[Tenure]]&gt;2, 3%, 2%)*Staff[[#This Row],[Salary]],0)</f>
        <v>2781</v>
      </c>
      <c r="K130" s="4">
        <f>_xlfn.XLOOKUP(Staff[[#This Row],[Rating]],'Salary Vs Rating'!$B$34:$B$38,'Salary Vs Rating'!$C$34:$C$38)</f>
        <v>3</v>
      </c>
      <c r="L130" s="4"/>
      <c r="M130" s="4"/>
    </row>
    <row r="131" spans="1:13" x14ac:dyDescent="0.35">
      <c r="A131" t="s">
        <v>77</v>
      </c>
      <c r="B131" t="s">
        <v>8</v>
      </c>
      <c r="C131">
        <v>25</v>
      </c>
      <c r="D131" t="s">
        <v>16</v>
      </c>
      <c r="E131" s="3">
        <v>44205</v>
      </c>
      <c r="F131" t="s">
        <v>19</v>
      </c>
      <c r="G131">
        <v>92700</v>
      </c>
      <c r="H131" t="s">
        <v>208</v>
      </c>
      <c r="I131" s="4">
        <f ca="1">(TODAY()-Staff[[#This Row],[Date Joined]])/365</f>
        <v>3.4164383561643836</v>
      </c>
      <c r="J131" s="9">
        <f ca="1">ROUNDUP(IF(Staff[[#This Row],[Tenure]]&gt;2, 3%, 2%)*Staff[[#This Row],[Salary]],0)</f>
        <v>2781</v>
      </c>
      <c r="K131" s="4">
        <f>_xlfn.XLOOKUP(Staff[[#This Row],[Rating]],'Salary Vs Rating'!$B$34:$B$38,'Salary Vs Rating'!$C$34:$C$38)</f>
        <v>3</v>
      </c>
      <c r="L131" s="4"/>
      <c r="M131" s="4"/>
    </row>
    <row r="132" spans="1:13" x14ac:dyDescent="0.35">
      <c r="A132" t="s">
        <v>163</v>
      </c>
      <c r="B132" t="s">
        <v>8</v>
      </c>
      <c r="C132">
        <v>33</v>
      </c>
      <c r="D132" t="s">
        <v>16</v>
      </c>
      <c r="E132" s="3">
        <v>44129</v>
      </c>
      <c r="F132" t="s">
        <v>12</v>
      </c>
      <c r="G132">
        <v>96140</v>
      </c>
      <c r="H132" t="s">
        <v>206</v>
      </c>
      <c r="I132" s="4">
        <f ca="1">(TODAY()-Staff[[#This Row],[Date Joined]])/365</f>
        <v>3.6246575342465754</v>
      </c>
      <c r="J132" s="9">
        <f ca="1">ROUNDUP(IF(Staff[[#This Row],[Tenure]]&gt;2, 3%, 2%)*Staff[[#This Row],[Salary]],0)</f>
        <v>2885</v>
      </c>
      <c r="K132" s="4">
        <f>_xlfn.XLOOKUP(Staff[[#This Row],[Rating]],'Salary Vs Rating'!$B$34:$B$38,'Salary Vs Rating'!$C$34:$C$38)</f>
        <v>3</v>
      </c>
      <c r="L132" s="4"/>
      <c r="M132" s="4"/>
    </row>
    <row r="133" spans="1:13" x14ac:dyDescent="0.35">
      <c r="A133" t="s">
        <v>71</v>
      </c>
      <c r="B133" t="s">
        <v>8</v>
      </c>
      <c r="C133">
        <v>33</v>
      </c>
      <c r="D133" t="s">
        <v>16</v>
      </c>
      <c r="E133" s="3">
        <v>44190</v>
      </c>
      <c r="F133" t="s">
        <v>12</v>
      </c>
      <c r="G133">
        <v>96140</v>
      </c>
      <c r="H133" t="s">
        <v>208</v>
      </c>
      <c r="I133" s="4">
        <f ca="1">(TODAY()-Staff[[#This Row],[Date Joined]])/365</f>
        <v>3.4575342465753423</v>
      </c>
      <c r="J133" s="9">
        <f ca="1">ROUNDUP(IF(Staff[[#This Row],[Tenure]]&gt;2, 3%, 2%)*Staff[[#This Row],[Salary]],0)</f>
        <v>2885</v>
      </c>
      <c r="K133" s="4">
        <f>_xlfn.XLOOKUP(Staff[[#This Row],[Rating]],'Salary Vs Rating'!$B$34:$B$38,'Salary Vs Rating'!$C$34:$C$38)</f>
        <v>3</v>
      </c>
      <c r="L133" s="4"/>
      <c r="M133" s="4"/>
    </row>
    <row r="134" spans="1:13" x14ac:dyDescent="0.35">
      <c r="A134" t="s">
        <v>177</v>
      </c>
      <c r="B134" t="s">
        <v>15</v>
      </c>
      <c r="C134">
        <v>30</v>
      </c>
      <c r="D134" t="s">
        <v>16</v>
      </c>
      <c r="E134" s="3">
        <v>44544</v>
      </c>
      <c r="F134" t="s">
        <v>21</v>
      </c>
      <c r="G134">
        <v>96800</v>
      </c>
      <c r="H134" t="s">
        <v>206</v>
      </c>
      <c r="I134" s="4">
        <f ca="1">(TODAY()-Staff[[#This Row],[Date Joined]])/365</f>
        <v>2.4876712328767123</v>
      </c>
      <c r="J134" s="9">
        <f ca="1">ROUNDUP(IF(Staff[[#This Row],[Tenure]]&gt;2, 3%, 2%)*Staff[[#This Row],[Salary]],0)</f>
        <v>2904</v>
      </c>
      <c r="K134" s="4">
        <f>_xlfn.XLOOKUP(Staff[[#This Row],[Rating]],'Salary Vs Rating'!$B$34:$B$38,'Salary Vs Rating'!$C$34:$C$38)</f>
        <v>3</v>
      </c>
      <c r="L134" s="4"/>
      <c r="M134" s="4"/>
    </row>
    <row r="135" spans="1:13" x14ac:dyDescent="0.35">
      <c r="A135" t="s">
        <v>85</v>
      </c>
      <c r="B135" t="s">
        <v>15</v>
      </c>
      <c r="C135">
        <v>30</v>
      </c>
      <c r="D135" t="s">
        <v>16</v>
      </c>
      <c r="E135" s="3">
        <v>44606</v>
      </c>
      <c r="F135" t="s">
        <v>21</v>
      </c>
      <c r="G135">
        <v>96800</v>
      </c>
      <c r="H135" t="s">
        <v>208</v>
      </c>
      <c r="I135" s="4">
        <f ca="1">(TODAY()-Staff[[#This Row],[Date Joined]])/365</f>
        <v>2.3178082191780822</v>
      </c>
      <c r="J135" s="9">
        <f ca="1">ROUNDUP(IF(Staff[[#This Row],[Tenure]]&gt;2, 3%, 2%)*Staff[[#This Row],[Salary]],0)</f>
        <v>2904</v>
      </c>
      <c r="K135" s="4">
        <f>_xlfn.XLOOKUP(Staff[[#This Row],[Rating]],'Salary Vs Rating'!$B$34:$B$38,'Salary Vs Rating'!$C$34:$C$38)</f>
        <v>3</v>
      </c>
      <c r="L135" s="4"/>
      <c r="M135" s="4"/>
    </row>
    <row r="136" spans="1:13" x14ac:dyDescent="0.35">
      <c r="A136" t="s">
        <v>198</v>
      </c>
      <c r="B136" t="s">
        <v>15</v>
      </c>
      <c r="C136">
        <v>40</v>
      </c>
      <c r="D136" t="s">
        <v>16</v>
      </c>
      <c r="E136" s="3">
        <v>44204</v>
      </c>
      <c r="F136" t="s">
        <v>9</v>
      </c>
      <c r="G136">
        <v>99750</v>
      </c>
      <c r="H136" t="s">
        <v>206</v>
      </c>
      <c r="I136" s="4">
        <f ca="1">(TODAY()-Staff[[#This Row],[Date Joined]])/365</f>
        <v>3.419178082191781</v>
      </c>
      <c r="J136" s="9">
        <f ca="1">ROUNDUP(IF(Staff[[#This Row],[Tenure]]&gt;2, 3%, 2%)*Staff[[#This Row],[Salary]],0)</f>
        <v>2993</v>
      </c>
      <c r="K136" s="4">
        <f>_xlfn.XLOOKUP(Staff[[#This Row],[Rating]],'Salary Vs Rating'!$B$34:$B$38,'Salary Vs Rating'!$C$34:$C$38)</f>
        <v>3</v>
      </c>
      <c r="L136" s="4"/>
      <c r="M136" s="4"/>
    </row>
    <row r="137" spans="1:13" x14ac:dyDescent="0.35">
      <c r="A137" t="s">
        <v>105</v>
      </c>
      <c r="B137" t="s">
        <v>15</v>
      </c>
      <c r="C137">
        <v>40</v>
      </c>
      <c r="D137" t="s">
        <v>16</v>
      </c>
      <c r="E137" s="3">
        <v>44263</v>
      </c>
      <c r="F137" t="s">
        <v>9</v>
      </c>
      <c r="G137">
        <v>99750</v>
      </c>
      <c r="H137" t="s">
        <v>208</v>
      </c>
      <c r="I137" s="4">
        <f ca="1">(TODAY()-Staff[[#This Row],[Date Joined]])/365</f>
        <v>3.2575342465753425</v>
      </c>
      <c r="J137" s="9">
        <f ca="1">ROUNDUP(IF(Staff[[#This Row],[Tenure]]&gt;2, 3%, 2%)*Staff[[#This Row],[Salary]],0)</f>
        <v>2993</v>
      </c>
      <c r="K137" s="4">
        <f>_xlfn.XLOOKUP(Staff[[#This Row],[Rating]],'Salary Vs Rating'!$B$34:$B$38,'Salary Vs Rating'!$C$34:$C$38)</f>
        <v>3</v>
      </c>
      <c r="L137" s="4"/>
      <c r="M137" s="4"/>
    </row>
    <row r="138" spans="1:13" x14ac:dyDescent="0.35">
      <c r="A138" t="s">
        <v>200</v>
      </c>
      <c r="B138" t="s">
        <v>8</v>
      </c>
      <c r="C138">
        <v>28</v>
      </c>
      <c r="D138" t="s">
        <v>16</v>
      </c>
      <c r="E138" s="3">
        <v>44571</v>
      </c>
      <c r="F138" t="s">
        <v>9</v>
      </c>
      <c r="G138">
        <v>99970</v>
      </c>
      <c r="H138" t="s">
        <v>206</v>
      </c>
      <c r="I138" s="4">
        <f ca="1">(TODAY()-Staff[[#This Row],[Date Joined]])/365</f>
        <v>2.4136986301369863</v>
      </c>
      <c r="J138" s="9">
        <f ca="1">ROUNDUP(IF(Staff[[#This Row],[Tenure]]&gt;2, 3%, 2%)*Staff[[#This Row],[Salary]],0)</f>
        <v>3000</v>
      </c>
      <c r="K138" s="4">
        <f>_xlfn.XLOOKUP(Staff[[#This Row],[Rating]],'Salary Vs Rating'!$B$34:$B$38,'Salary Vs Rating'!$C$34:$C$38)</f>
        <v>3</v>
      </c>
      <c r="L138" s="4"/>
      <c r="M138" s="4"/>
    </row>
    <row r="139" spans="1:13" x14ac:dyDescent="0.35">
      <c r="A139" t="s">
        <v>107</v>
      </c>
      <c r="B139" t="s">
        <v>8</v>
      </c>
      <c r="C139">
        <v>28</v>
      </c>
      <c r="D139" t="s">
        <v>16</v>
      </c>
      <c r="E139" s="3">
        <v>44630</v>
      </c>
      <c r="F139" t="s">
        <v>9</v>
      </c>
      <c r="G139">
        <v>99970</v>
      </c>
      <c r="H139" t="s">
        <v>208</v>
      </c>
      <c r="I139" s="4">
        <f ca="1">(TODAY()-Staff[[#This Row],[Date Joined]])/365</f>
        <v>2.2520547945205478</v>
      </c>
      <c r="J139" s="9">
        <f ca="1">ROUNDUP(IF(Staff[[#This Row],[Tenure]]&gt;2, 3%, 2%)*Staff[[#This Row],[Salary]],0)</f>
        <v>3000</v>
      </c>
      <c r="K139" s="4">
        <f>_xlfn.XLOOKUP(Staff[[#This Row],[Rating]],'Salary Vs Rating'!$B$34:$B$38,'Salary Vs Rating'!$C$34:$C$38)</f>
        <v>3</v>
      </c>
      <c r="L139" s="4"/>
      <c r="M139" s="4"/>
    </row>
    <row r="140" spans="1:13" x14ac:dyDescent="0.35">
      <c r="A140" t="s">
        <v>196</v>
      </c>
      <c r="B140" t="s">
        <v>15</v>
      </c>
      <c r="C140">
        <v>24</v>
      </c>
      <c r="D140" t="s">
        <v>16</v>
      </c>
      <c r="E140" s="3">
        <v>44625</v>
      </c>
      <c r="F140" t="s">
        <v>12</v>
      </c>
      <c r="G140">
        <v>100420</v>
      </c>
      <c r="H140" t="s">
        <v>206</v>
      </c>
      <c r="I140" s="4">
        <f ca="1">(TODAY()-Staff[[#This Row],[Date Joined]])/365</f>
        <v>2.2657534246575342</v>
      </c>
      <c r="J140" s="9">
        <f ca="1">ROUNDUP(IF(Staff[[#This Row],[Tenure]]&gt;2, 3%, 2%)*Staff[[#This Row],[Salary]],0)</f>
        <v>3013</v>
      </c>
      <c r="K140" s="4">
        <f>_xlfn.XLOOKUP(Staff[[#This Row],[Rating]],'Salary Vs Rating'!$B$34:$B$38,'Salary Vs Rating'!$C$34:$C$38)</f>
        <v>3</v>
      </c>
      <c r="L140" s="4"/>
      <c r="M140" s="4"/>
    </row>
    <row r="141" spans="1:13" x14ac:dyDescent="0.35">
      <c r="A141" t="s">
        <v>103</v>
      </c>
      <c r="B141" t="s">
        <v>15</v>
      </c>
      <c r="C141">
        <v>24</v>
      </c>
      <c r="D141" t="s">
        <v>16</v>
      </c>
      <c r="E141" s="3">
        <v>44686</v>
      </c>
      <c r="F141" t="s">
        <v>12</v>
      </c>
      <c r="G141">
        <v>100420</v>
      </c>
      <c r="H141" t="s">
        <v>208</v>
      </c>
      <c r="I141" s="4">
        <f ca="1">(TODAY()-Staff[[#This Row],[Date Joined]])/365</f>
        <v>2.0986301369863014</v>
      </c>
      <c r="J141" s="9">
        <f ca="1">ROUNDUP(IF(Staff[[#This Row],[Tenure]]&gt;2, 3%, 2%)*Staff[[#This Row],[Salary]],0)</f>
        <v>3013</v>
      </c>
      <c r="K141" s="4">
        <f>_xlfn.XLOOKUP(Staff[[#This Row],[Rating]],'Salary Vs Rating'!$B$34:$B$38,'Salary Vs Rating'!$C$34:$C$38)</f>
        <v>3</v>
      </c>
      <c r="L141" s="4"/>
      <c r="M141" s="4"/>
    </row>
    <row r="142" spans="1:13" x14ac:dyDescent="0.35">
      <c r="A142" t="s">
        <v>143</v>
      </c>
      <c r="B142" t="s">
        <v>15</v>
      </c>
      <c r="C142">
        <v>31</v>
      </c>
      <c r="D142" t="s">
        <v>16</v>
      </c>
      <c r="E142" s="3">
        <v>44663</v>
      </c>
      <c r="F142" t="s">
        <v>9</v>
      </c>
      <c r="G142">
        <v>103550</v>
      </c>
      <c r="H142" t="s">
        <v>206</v>
      </c>
      <c r="I142" s="4">
        <f ca="1">(TODAY()-Staff[[#This Row],[Date Joined]])/365</f>
        <v>2.1616438356164385</v>
      </c>
      <c r="J142" s="9">
        <f ca="1">ROUNDUP(IF(Staff[[#This Row],[Tenure]]&gt;2, 3%, 2%)*Staff[[#This Row],[Salary]],0)</f>
        <v>3107</v>
      </c>
      <c r="K142" s="4">
        <f>_xlfn.XLOOKUP(Staff[[#This Row],[Rating]],'Salary Vs Rating'!$B$34:$B$38,'Salary Vs Rating'!$C$34:$C$38)</f>
        <v>3</v>
      </c>
      <c r="L142" s="4"/>
      <c r="M142" s="4"/>
    </row>
    <row r="143" spans="1:13" x14ac:dyDescent="0.35">
      <c r="A143" t="s">
        <v>50</v>
      </c>
      <c r="B143" t="s">
        <v>15</v>
      </c>
      <c r="C143">
        <v>31</v>
      </c>
      <c r="D143" t="s">
        <v>16</v>
      </c>
      <c r="E143" s="3">
        <v>44724</v>
      </c>
      <c r="F143" t="s">
        <v>9</v>
      </c>
      <c r="G143">
        <v>103550</v>
      </c>
      <c r="H143" t="s">
        <v>208</v>
      </c>
      <c r="I143" s="4">
        <f ca="1">(TODAY()-Staff[[#This Row],[Date Joined]])/365</f>
        <v>1.9945205479452055</v>
      </c>
      <c r="J143" s="9">
        <f ca="1">ROUNDUP(IF(Staff[[#This Row],[Tenure]]&gt;2, 3%, 2%)*Staff[[#This Row],[Salary]],0)</f>
        <v>2071</v>
      </c>
      <c r="K143" s="4">
        <f>_xlfn.XLOOKUP(Staff[[#This Row],[Rating]],'Salary Vs Rating'!$B$34:$B$38,'Salary Vs Rating'!$C$34:$C$38)</f>
        <v>3</v>
      </c>
      <c r="L143" s="4"/>
      <c r="M143" s="4"/>
    </row>
    <row r="144" spans="1:13" x14ac:dyDescent="0.35">
      <c r="A144" t="s">
        <v>189</v>
      </c>
      <c r="B144" t="s">
        <v>8</v>
      </c>
      <c r="C144">
        <v>28</v>
      </c>
      <c r="D144" t="s">
        <v>16</v>
      </c>
      <c r="E144" s="3">
        <v>44590</v>
      </c>
      <c r="F144" t="s">
        <v>9</v>
      </c>
      <c r="G144">
        <v>104120</v>
      </c>
      <c r="H144" t="s">
        <v>206</v>
      </c>
      <c r="I144" s="4">
        <f ca="1">(TODAY()-Staff[[#This Row],[Date Joined]])/365</f>
        <v>2.3616438356164382</v>
      </c>
      <c r="J144" s="9">
        <f ca="1">ROUNDUP(IF(Staff[[#This Row],[Tenure]]&gt;2, 3%, 2%)*Staff[[#This Row],[Salary]],0)</f>
        <v>3124</v>
      </c>
      <c r="K144" s="4">
        <f>_xlfn.XLOOKUP(Staff[[#This Row],[Rating]],'Salary Vs Rating'!$B$34:$B$38,'Salary Vs Rating'!$C$34:$C$38)</f>
        <v>3</v>
      </c>
      <c r="L144" s="4"/>
      <c r="M144" s="4"/>
    </row>
    <row r="145" spans="1:13" x14ac:dyDescent="0.35">
      <c r="A145" t="s">
        <v>96</v>
      </c>
      <c r="B145" t="s">
        <v>8</v>
      </c>
      <c r="C145">
        <v>28</v>
      </c>
      <c r="D145" t="s">
        <v>16</v>
      </c>
      <c r="E145" s="3">
        <v>44649</v>
      </c>
      <c r="F145" t="s">
        <v>9</v>
      </c>
      <c r="G145">
        <v>104120</v>
      </c>
      <c r="H145" t="s">
        <v>208</v>
      </c>
      <c r="I145" s="4">
        <f ca="1">(TODAY()-Staff[[#This Row],[Date Joined]])/365</f>
        <v>2.2000000000000002</v>
      </c>
      <c r="J145" s="9">
        <f ca="1">ROUNDUP(IF(Staff[[#This Row],[Tenure]]&gt;2, 3%, 2%)*Staff[[#This Row],[Salary]],0)</f>
        <v>3124</v>
      </c>
      <c r="K145" s="4">
        <f>_xlfn.XLOOKUP(Staff[[#This Row],[Rating]],'Salary Vs Rating'!$B$34:$B$38,'Salary Vs Rating'!$C$34:$C$38)</f>
        <v>3</v>
      </c>
      <c r="L145" s="4"/>
      <c r="M145" s="4"/>
    </row>
    <row r="146" spans="1:13" x14ac:dyDescent="0.35">
      <c r="A146" t="s">
        <v>194</v>
      </c>
      <c r="B146" t="s">
        <v>8</v>
      </c>
      <c r="C146">
        <v>40</v>
      </c>
      <c r="D146" t="s">
        <v>16</v>
      </c>
      <c r="E146" s="3">
        <v>44320</v>
      </c>
      <c r="F146" t="s">
        <v>12</v>
      </c>
      <c r="G146">
        <v>104410</v>
      </c>
      <c r="H146" t="s">
        <v>206</v>
      </c>
      <c r="I146" s="4">
        <f ca="1">(TODAY()-Staff[[#This Row],[Date Joined]])/365</f>
        <v>3.1013698630136988</v>
      </c>
      <c r="J146" s="9">
        <f ca="1">ROUNDUP(IF(Staff[[#This Row],[Tenure]]&gt;2, 3%, 2%)*Staff[[#This Row],[Salary]],0)</f>
        <v>3133</v>
      </c>
      <c r="K146" s="4">
        <f>_xlfn.XLOOKUP(Staff[[#This Row],[Rating]],'Salary Vs Rating'!$B$34:$B$38,'Salary Vs Rating'!$C$34:$C$38)</f>
        <v>3</v>
      </c>
      <c r="L146" s="4"/>
      <c r="M146" s="4"/>
    </row>
    <row r="147" spans="1:13" x14ac:dyDescent="0.35">
      <c r="A147" t="s">
        <v>101</v>
      </c>
      <c r="B147" t="s">
        <v>8</v>
      </c>
      <c r="C147">
        <v>40</v>
      </c>
      <c r="D147" t="s">
        <v>16</v>
      </c>
      <c r="E147" s="3">
        <v>44381</v>
      </c>
      <c r="F147" t="s">
        <v>12</v>
      </c>
      <c r="G147">
        <v>104410</v>
      </c>
      <c r="H147" t="s">
        <v>208</v>
      </c>
      <c r="I147" s="4">
        <f ca="1">(TODAY()-Staff[[#This Row],[Date Joined]])/365</f>
        <v>2.9342465753424656</v>
      </c>
      <c r="J147" s="9">
        <f ca="1">ROUNDUP(IF(Staff[[#This Row],[Tenure]]&gt;2, 3%, 2%)*Staff[[#This Row],[Salary]],0)</f>
        <v>3133</v>
      </c>
      <c r="K147" s="4">
        <f>_xlfn.XLOOKUP(Staff[[#This Row],[Rating]],'Salary Vs Rating'!$B$34:$B$38,'Salary Vs Rating'!$C$34:$C$38)</f>
        <v>3</v>
      </c>
      <c r="L147" s="4"/>
      <c r="M147" s="4"/>
    </row>
    <row r="148" spans="1:13" x14ac:dyDescent="0.35">
      <c r="A148" t="s">
        <v>136</v>
      </c>
      <c r="B148" t="s">
        <v>8</v>
      </c>
      <c r="C148">
        <v>28</v>
      </c>
      <c r="D148" t="s">
        <v>16</v>
      </c>
      <c r="E148" s="3">
        <v>44425</v>
      </c>
      <c r="F148" t="s">
        <v>9</v>
      </c>
      <c r="G148">
        <v>104770</v>
      </c>
      <c r="H148" t="s">
        <v>206</v>
      </c>
      <c r="I148" s="4">
        <f ca="1">(TODAY()-Staff[[#This Row],[Date Joined]])/365</f>
        <v>2.8136986301369862</v>
      </c>
      <c r="J148" s="9">
        <f ca="1">ROUNDUP(IF(Staff[[#This Row],[Tenure]]&gt;2, 3%, 2%)*Staff[[#This Row],[Salary]],0)</f>
        <v>3144</v>
      </c>
      <c r="K148" s="4">
        <f>_xlfn.XLOOKUP(Staff[[#This Row],[Rating]],'Salary Vs Rating'!$B$34:$B$38,'Salary Vs Rating'!$C$34:$C$38)</f>
        <v>3</v>
      </c>
      <c r="L148" s="4"/>
      <c r="M148" s="4"/>
    </row>
    <row r="149" spans="1:13" x14ac:dyDescent="0.35">
      <c r="A149" t="s">
        <v>43</v>
      </c>
      <c r="B149" t="s">
        <v>8</v>
      </c>
      <c r="C149">
        <v>28</v>
      </c>
      <c r="D149" t="s">
        <v>16</v>
      </c>
      <c r="E149" s="3">
        <v>44486</v>
      </c>
      <c r="F149" t="s">
        <v>9</v>
      </c>
      <c r="G149">
        <v>104770</v>
      </c>
      <c r="H149" t="s">
        <v>208</v>
      </c>
      <c r="I149" s="4">
        <f ca="1">(TODAY()-Staff[[#This Row],[Date Joined]])/365</f>
        <v>2.6465753424657534</v>
      </c>
      <c r="J149" s="9">
        <f ca="1">ROUNDUP(IF(Staff[[#This Row],[Tenure]]&gt;2, 3%, 2%)*Staff[[#This Row],[Salary]],0)</f>
        <v>3144</v>
      </c>
      <c r="K149" s="4">
        <f>_xlfn.XLOOKUP(Staff[[#This Row],[Rating]],'Salary Vs Rating'!$B$34:$B$38,'Salary Vs Rating'!$C$34:$C$38)</f>
        <v>3</v>
      </c>
      <c r="L149" s="4"/>
      <c r="M149" s="4"/>
    </row>
    <row r="150" spans="1:13" x14ac:dyDescent="0.35">
      <c r="A150" t="s">
        <v>161</v>
      </c>
      <c r="B150" t="s">
        <v>15</v>
      </c>
      <c r="C150">
        <v>23</v>
      </c>
      <c r="D150" t="s">
        <v>16</v>
      </c>
      <c r="E150" s="3">
        <v>44378</v>
      </c>
      <c r="F150" t="s">
        <v>9</v>
      </c>
      <c r="G150">
        <v>106460</v>
      </c>
      <c r="H150" t="s">
        <v>206</v>
      </c>
      <c r="I150" s="4">
        <f ca="1">(TODAY()-Staff[[#This Row],[Date Joined]])/365</f>
        <v>2.9424657534246577</v>
      </c>
      <c r="J150" s="9">
        <f ca="1">ROUNDUP(IF(Staff[[#This Row],[Tenure]]&gt;2, 3%, 2%)*Staff[[#This Row],[Salary]],0)</f>
        <v>3194</v>
      </c>
      <c r="K150" s="4">
        <f>_xlfn.XLOOKUP(Staff[[#This Row],[Rating]],'Salary Vs Rating'!$B$34:$B$38,'Salary Vs Rating'!$C$34:$C$38)</f>
        <v>3</v>
      </c>
      <c r="L150" s="4"/>
      <c r="M150" s="4"/>
    </row>
    <row r="151" spans="1:13" x14ac:dyDescent="0.35">
      <c r="A151" t="s">
        <v>69</v>
      </c>
      <c r="B151" t="s">
        <v>15</v>
      </c>
      <c r="C151">
        <v>23</v>
      </c>
      <c r="D151" t="s">
        <v>16</v>
      </c>
      <c r="E151" s="3">
        <v>44440</v>
      </c>
      <c r="F151" t="s">
        <v>9</v>
      </c>
      <c r="G151">
        <v>106460</v>
      </c>
      <c r="H151" t="s">
        <v>208</v>
      </c>
      <c r="I151" s="4">
        <f ca="1">(TODAY()-Staff[[#This Row],[Date Joined]])/365</f>
        <v>2.7726027397260276</v>
      </c>
      <c r="J151" s="9">
        <f ca="1">ROUNDUP(IF(Staff[[#This Row],[Tenure]]&gt;2, 3%, 2%)*Staff[[#This Row],[Salary]],0)</f>
        <v>3194</v>
      </c>
      <c r="K151" s="4">
        <f>_xlfn.XLOOKUP(Staff[[#This Row],[Rating]],'Salary Vs Rating'!$B$34:$B$38,'Salary Vs Rating'!$C$34:$C$38)</f>
        <v>3</v>
      </c>
      <c r="L151" s="4"/>
      <c r="M151" s="4"/>
    </row>
    <row r="152" spans="1:13" x14ac:dyDescent="0.35">
      <c r="A152" t="s">
        <v>117</v>
      </c>
      <c r="B152" t="s">
        <v>15</v>
      </c>
      <c r="C152">
        <v>20</v>
      </c>
      <c r="D152" t="s">
        <v>16</v>
      </c>
      <c r="E152" s="3">
        <v>44397</v>
      </c>
      <c r="F152" t="s">
        <v>12</v>
      </c>
      <c r="G152">
        <v>107700</v>
      </c>
      <c r="H152" t="s">
        <v>206</v>
      </c>
      <c r="I152" s="4">
        <f ca="1">(TODAY()-Staff[[#This Row],[Date Joined]])/365</f>
        <v>2.8904109589041096</v>
      </c>
      <c r="J152" s="9">
        <f ca="1">ROUNDUP(IF(Staff[[#This Row],[Tenure]]&gt;2, 3%, 2%)*Staff[[#This Row],[Salary]],0)</f>
        <v>3231</v>
      </c>
      <c r="K152" s="4">
        <f>_xlfn.XLOOKUP(Staff[[#This Row],[Rating]],'Salary Vs Rating'!$B$34:$B$38,'Salary Vs Rating'!$C$34:$C$38)</f>
        <v>3</v>
      </c>
      <c r="L152" s="4"/>
      <c r="M152" s="4"/>
    </row>
    <row r="153" spans="1:13" x14ac:dyDescent="0.35">
      <c r="A153" t="s">
        <v>22</v>
      </c>
      <c r="B153" t="s">
        <v>15</v>
      </c>
      <c r="C153">
        <v>20</v>
      </c>
      <c r="D153" t="s">
        <v>16</v>
      </c>
      <c r="E153" s="3">
        <v>44459</v>
      </c>
      <c r="F153" t="s">
        <v>12</v>
      </c>
      <c r="G153">
        <v>107700</v>
      </c>
      <c r="H153" t="s">
        <v>208</v>
      </c>
      <c r="I153" s="4">
        <f ca="1">(TODAY()-Staff[[#This Row],[Date Joined]])/365</f>
        <v>2.7205479452054795</v>
      </c>
      <c r="J153" s="9">
        <f ca="1">ROUNDUP(IF(Staff[[#This Row],[Tenure]]&gt;2, 3%, 2%)*Staff[[#This Row],[Salary]],0)</f>
        <v>3231</v>
      </c>
      <c r="K153" s="4">
        <f>_xlfn.XLOOKUP(Staff[[#This Row],[Rating]],'Salary Vs Rating'!$B$34:$B$38,'Salary Vs Rating'!$C$34:$C$38)</f>
        <v>3</v>
      </c>
      <c r="L153" s="4"/>
      <c r="M153" s="4"/>
    </row>
    <row r="154" spans="1:13" x14ac:dyDescent="0.35">
      <c r="A154" t="s">
        <v>127</v>
      </c>
      <c r="B154" t="s">
        <v>8</v>
      </c>
      <c r="C154">
        <v>38</v>
      </c>
      <c r="D154" t="s">
        <v>10</v>
      </c>
      <c r="E154" s="3">
        <v>44316</v>
      </c>
      <c r="F154" t="s">
        <v>19</v>
      </c>
      <c r="G154">
        <v>109160</v>
      </c>
      <c r="H154" t="s">
        <v>206</v>
      </c>
      <c r="I154" s="4">
        <f ca="1">(TODAY()-Staff[[#This Row],[Date Joined]])/365</f>
        <v>3.1123287671232878</v>
      </c>
      <c r="J154" s="9">
        <f ca="1">ROUNDUP(IF(Staff[[#This Row],[Tenure]]&gt;2, 3%, 2%)*Staff[[#This Row],[Salary]],0)</f>
        <v>3275</v>
      </c>
      <c r="K154" s="4">
        <f>_xlfn.XLOOKUP(Staff[[#This Row],[Rating]],'Salary Vs Rating'!$B$34:$B$38,'Salary Vs Rating'!$C$34:$C$38)</f>
        <v>5</v>
      </c>
      <c r="L154" s="4"/>
      <c r="M154" s="4"/>
    </row>
    <row r="155" spans="1:13" x14ac:dyDescent="0.35">
      <c r="A155" t="s">
        <v>33</v>
      </c>
      <c r="B155" t="s">
        <v>8</v>
      </c>
      <c r="C155">
        <v>38</v>
      </c>
      <c r="D155" t="s">
        <v>10</v>
      </c>
      <c r="E155" s="3">
        <v>44377</v>
      </c>
      <c r="F155" t="s">
        <v>19</v>
      </c>
      <c r="G155">
        <v>109160</v>
      </c>
      <c r="H155" t="s">
        <v>208</v>
      </c>
      <c r="I155" s="4">
        <f ca="1">(TODAY()-Staff[[#This Row],[Date Joined]])/365</f>
        <v>2.9452054794520546</v>
      </c>
      <c r="J155" s="9">
        <f ca="1">ROUNDUP(IF(Staff[[#This Row],[Tenure]]&gt;2, 3%, 2%)*Staff[[#This Row],[Salary]],0)</f>
        <v>3275</v>
      </c>
      <c r="K155" s="4">
        <f>_xlfn.XLOOKUP(Staff[[#This Row],[Rating]],'Salary Vs Rating'!$B$34:$B$38,'Salary Vs Rating'!$C$34:$C$38)</f>
        <v>5</v>
      </c>
      <c r="L155" s="4"/>
      <c r="M155" s="4"/>
    </row>
    <row r="156" spans="1:13" x14ac:dyDescent="0.35">
      <c r="A156" t="s">
        <v>128</v>
      </c>
      <c r="B156" t="s">
        <v>15</v>
      </c>
      <c r="C156">
        <v>25</v>
      </c>
      <c r="D156" t="s">
        <v>13</v>
      </c>
      <c r="E156" s="3">
        <v>44665</v>
      </c>
      <c r="F156" t="s">
        <v>9</v>
      </c>
      <c r="G156">
        <v>109190</v>
      </c>
      <c r="H156" t="s">
        <v>206</v>
      </c>
      <c r="I156" s="4">
        <f ca="1">(TODAY()-Staff[[#This Row],[Date Joined]])/365</f>
        <v>2.1561643835616437</v>
      </c>
      <c r="J156" s="9">
        <f ca="1">ROUNDUP(IF(Staff[[#This Row],[Tenure]]&gt;2, 3%, 2%)*Staff[[#This Row],[Salary]],0)</f>
        <v>3276</v>
      </c>
      <c r="K156" s="4">
        <f>_xlfn.XLOOKUP(Staff[[#This Row],[Rating]],'Salary Vs Rating'!$B$34:$B$38,'Salary Vs Rating'!$C$34:$C$38)</f>
        <v>4</v>
      </c>
      <c r="L156" s="4"/>
      <c r="M156" s="4"/>
    </row>
    <row r="157" spans="1:13" x14ac:dyDescent="0.35">
      <c r="A157" t="s">
        <v>34</v>
      </c>
      <c r="B157" t="s">
        <v>15</v>
      </c>
      <c r="C157">
        <v>25</v>
      </c>
      <c r="D157" t="s">
        <v>13</v>
      </c>
      <c r="E157" s="3">
        <v>44726</v>
      </c>
      <c r="F157" t="s">
        <v>9</v>
      </c>
      <c r="G157">
        <v>109190</v>
      </c>
      <c r="H157" t="s">
        <v>208</v>
      </c>
      <c r="I157" s="4">
        <f ca="1">(TODAY()-Staff[[#This Row],[Date Joined]])/365</f>
        <v>1.989041095890411</v>
      </c>
      <c r="J157" s="9">
        <f ca="1">ROUNDUP(IF(Staff[[#This Row],[Tenure]]&gt;2, 3%, 2%)*Staff[[#This Row],[Salary]],0)</f>
        <v>2184</v>
      </c>
      <c r="K157" s="4">
        <f>_xlfn.XLOOKUP(Staff[[#This Row],[Rating]],'Salary Vs Rating'!$B$34:$B$38,'Salary Vs Rating'!$C$34:$C$38)</f>
        <v>4</v>
      </c>
      <c r="L157" s="4"/>
      <c r="M157" s="4"/>
    </row>
    <row r="158" spans="1:13" x14ac:dyDescent="0.35">
      <c r="A158" t="s">
        <v>180</v>
      </c>
      <c r="B158" t="s">
        <v>15</v>
      </c>
      <c r="C158">
        <v>29</v>
      </c>
      <c r="D158" t="s">
        <v>24</v>
      </c>
      <c r="E158" s="3">
        <v>44119</v>
      </c>
      <c r="F158" t="s">
        <v>12</v>
      </c>
      <c r="G158">
        <v>112110</v>
      </c>
      <c r="H158" t="s">
        <v>206</v>
      </c>
      <c r="I158" s="4">
        <f ca="1">(TODAY()-Staff[[#This Row],[Date Joined]])/365</f>
        <v>3.6520547945205482</v>
      </c>
      <c r="J158" s="9">
        <f ca="1">ROUNDUP(IF(Staff[[#This Row],[Tenure]]&gt;2, 3%, 2%)*Staff[[#This Row],[Salary]],0)</f>
        <v>3364</v>
      </c>
      <c r="K158" s="4">
        <f>_xlfn.XLOOKUP(Staff[[#This Row],[Rating]],'Salary Vs Rating'!$B$34:$B$38,'Salary Vs Rating'!$C$34:$C$38)</f>
        <v>2</v>
      </c>
      <c r="L158" s="4"/>
      <c r="M158" s="4"/>
    </row>
    <row r="159" spans="1:13" x14ac:dyDescent="0.35">
      <c r="A159" t="s">
        <v>87</v>
      </c>
      <c r="B159" t="s">
        <v>15</v>
      </c>
      <c r="C159">
        <v>29</v>
      </c>
      <c r="D159" t="s">
        <v>24</v>
      </c>
      <c r="E159" s="3">
        <v>44180</v>
      </c>
      <c r="F159" t="s">
        <v>12</v>
      </c>
      <c r="G159">
        <v>112110</v>
      </c>
      <c r="H159" t="s">
        <v>208</v>
      </c>
      <c r="I159" s="4">
        <f ca="1">(TODAY()-Staff[[#This Row],[Date Joined]])/365</f>
        <v>3.484931506849315</v>
      </c>
      <c r="J159" s="9">
        <f ca="1">ROUNDUP(IF(Staff[[#This Row],[Tenure]]&gt;2, 3%, 2%)*Staff[[#This Row],[Salary]],0)</f>
        <v>3364</v>
      </c>
      <c r="K159" s="4">
        <f>_xlfn.XLOOKUP(Staff[[#This Row],[Rating]],'Salary Vs Rating'!$B$34:$B$38,'Salary Vs Rating'!$C$34:$C$38)</f>
        <v>2</v>
      </c>
      <c r="L159" s="4"/>
      <c r="M159" s="4"/>
    </row>
    <row r="160" spans="1:13" x14ac:dyDescent="0.35">
      <c r="A160" t="s">
        <v>173</v>
      </c>
      <c r="B160" t="s">
        <v>8</v>
      </c>
      <c r="C160">
        <v>30</v>
      </c>
      <c r="D160" t="s">
        <v>16</v>
      </c>
      <c r="E160" s="3">
        <v>44800</v>
      </c>
      <c r="F160" t="s">
        <v>9</v>
      </c>
      <c r="G160">
        <v>112570</v>
      </c>
      <c r="H160" t="s">
        <v>206</v>
      </c>
      <c r="I160" s="4">
        <f ca="1">(TODAY()-Staff[[#This Row],[Date Joined]])/365</f>
        <v>1.7863013698630137</v>
      </c>
      <c r="J160" s="9">
        <f ca="1">ROUNDUP(IF(Staff[[#This Row],[Tenure]]&gt;2, 3%, 2%)*Staff[[#This Row],[Salary]],0)</f>
        <v>2252</v>
      </c>
      <c r="K160" s="4">
        <f>_xlfn.XLOOKUP(Staff[[#This Row],[Rating]],'Salary Vs Rating'!$B$34:$B$38,'Salary Vs Rating'!$C$34:$C$38)</f>
        <v>3</v>
      </c>
      <c r="L160" s="4"/>
      <c r="M160" s="4"/>
    </row>
    <row r="161" spans="1:13" x14ac:dyDescent="0.35">
      <c r="A161" t="s">
        <v>81</v>
      </c>
      <c r="B161" t="s">
        <v>8</v>
      </c>
      <c r="C161">
        <v>30</v>
      </c>
      <c r="D161" t="s">
        <v>16</v>
      </c>
      <c r="E161" s="3">
        <v>44861</v>
      </c>
      <c r="F161" t="s">
        <v>9</v>
      </c>
      <c r="G161">
        <v>112570</v>
      </c>
      <c r="H161" t="s">
        <v>208</v>
      </c>
      <c r="I161" s="4">
        <f ca="1">(TODAY()-Staff[[#This Row],[Date Joined]])/365</f>
        <v>1.6191780821917807</v>
      </c>
      <c r="J161" s="9">
        <f ca="1">ROUNDUP(IF(Staff[[#This Row],[Tenure]]&gt;2, 3%, 2%)*Staff[[#This Row],[Salary]],0)</f>
        <v>2252</v>
      </c>
      <c r="K161" s="4">
        <f>_xlfn.XLOOKUP(Staff[[#This Row],[Rating]],'Salary Vs Rating'!$B$34:$B$38,'Salary Vs Rating'!$C$34:$C$38)</f>
        <v>3</v>
      </c>
      <c r="L161" s="4"/>
      <c r="M161" s="4"/>
    </row>
    <row r="162" spans="1:13" x14ac:dyDescent="0.35">
      <c r="A162" t="s">
        <v>156</v>
      </c>
      <c r="B162" t="s">
        <v>15</v>
      </c>
      <c r="C162">
        <v>20</v>
      </c>
      <c r="D162" t="s">
        <v>16</v>
      </c>
      <c r="E162" s="3">
        <v>44122</v>
      </c>
      <c r="F162" t="s">
        <v>12</v>
      </c>
      <c r="G162">
        <v>112650</v>
      </c>
      <c r="H162" t="s">
        <v>206</v>
      </c>
      <c r="I162" s="4">
        <f ca="1">(TODAY()-Staff[[#This Row],[Date Joined]])/365</f>
        <v>3.6438356164383561</v>
      </c>
      <c r="J162" s="9">
        <f ca="1">ROUNDUP(IF(Staff[[#This Row],[Tenure]]&gt;2, 3%, 2%)*Staff[[#This Row],[Salary]],0)</f>
        <v>3380</v>
      </c>
      <c r="K162" s="4">
        <f>_xlfn.XLOOKUP(Staff[[#This Row],[Rating]],'Salary Vs Rating'!$B$34:$B$38,'Salary Vs Rating'!$C$34:$C$38)</f>
        <v>3</v>
      </c>
      <c r="L162" s="4"/>
      <c r="M162" s="4"/>
    </row>
    <row r="163" spans="1:13" x14ac:dyDescent="0.35">
      <c r="A163" t="s">
        <v>178</v>
      </c>
      <c r="B163" t="s">
        <v>15</v>
      </c>
      <c r="C163">
        <v>34</v>
      </c>
      <c r="D163" t="s">
        <v>16</v>
      </c>
      <c r="E163" s="3">
        <v>44642</v>
      </c>
      <c r="F163" t="s">
        <v>9</v>
      </c>
      <c r="G163">
        <v>112650</v>
      </c>
      <c r="H163" t="s">
        <v>206</v>
      </c>
      <c r="I163" s="4">
        <f ca="1">(TODAY()-Staff[[#This Row],[Date Joined]])/365</f>
        <v>2.2191780821917808</v>
      </c>
      <c r="J163" s="9">
        <f ca="1">ROUNDUP(IF(Staff[[#This Row],[Tenure]]&gt;2, 3%, 2%)*Staff[[#This Row],[Salary]],0)</f>
        <v>3380</v>
      </c>
      <c r="K163" s="4">
        <f>_xlfn.XLOOKUP(Staff[[#This Row],[Rating]],'Salary Vs Rating'!$B$34:$B$38,'Salary Vs Rating'!$C$34:$C$38)</f>
        <v>3</v>
      </c>
      <c r="L163" s="4"/>
      <c r="M163" s="4"/>
    </row>
    <row r="164" spans="1:13" x14ac:dyDescent="0.35">
      <c r="A164" t="s">
        <v>64</v>
      </c>
      <c r="B164" t="s">
        <v>15</v>
      </c>
      <c r="C164">
        <v>20</v>
      </c>
      <c r="D164" t="s">
        <v>16</v>
      </c>
      <c r="E164" s="3">
        <v>44183</v>
      </c>
      <c r="F164" t="s">
        <v>12</v>
      </c>
      <c r="G164">
        <v>112650</v>
      </c>
      <c r="H164" t="s">
        <v>208</v>
      </c>
      <c r="I164" s="4">
        <f ca="1">(TODAY()-Staff[[#This Row],[Date Joined]])/365</f>
        <v>3.4767123287671233</v>
      </c>
      <c r="J164" s="9">
        <f ca="1">ROUNDUP(IF(Staff[[#This Row],[Tenure]]&gt;2, 3%, 2%)*Staff[[#This Row],[Salary]],0)</f>
        <v>3380</v>
      </c>
      <c r="K164" s="4">
        <f>_xlfn.XLOOKUP(Staff[[#This Row],[Rating]],'Salary Vs Rating'!$B$34:$B$38,'Salary Vs Rating'!$C$34:$C$38)</f>
        <v>3</v>
      </c>
      <c r="L164" s="4"/>
      <c r="M164" s="4"/>
    </row>
    <row r="165" spans="1:13" x14ac:dyDescent="0.35">
      <c r="A165" t="s">
        <v>150</v>
      </c>
      <c r="B165" t="s">
        <v>15</v>
      </c>
      <c r="C165">
        <v>22</v>
      </c>
      <c r="D165" t="s">
        <v>13</v>
      </c>
      <c r="E165" s="3">
        <v>44384</v>
      </c>
      <c r="F165" t="s">
        <v>19</v>
      </c>
      <c r="G165">
        <v>112780</v>
      </c>
      <c r="H165" t="s">
        <v>206</v>
      </c>
      <c r="I165" s="4">
        <f ca="1">(TODAY()-Staff[[#This Row],[Date Joined]])/365</f>
        <v>2.9260273972602739</v>
      </c>
      <c r="J165" s="9">
        <f ca="1">ROUNDUP(IF(Staff[[#This Row],[Tenure]]&gt;2, 3%, 2%)*Staff[[#This Row],[Salary]],0)</f>
        <v>3384</v>
      </c>
      <c r="K165" s="4">
        <f>_xlfn.XLOOKUP(Staff[[#This Row],[Rating]],'Salary Vs Rating'!$B$34:$B$38,'Salary Vs Rating'!$C$34:$C$38)</f>
        <v>4</v>
      </c>
      <c r="L165" s="4"/>
      <c r="M165" s="4"/>
    </row>
    <row r="166" spans="1:13" x14ac:dyDescent="0.35">
      <c r="A166" t="s">
        <v>58</v>
      </c>
      <c r="B166" t="s">
        <v>15</v>
      </c>
      <c r="C166">
        <v>22</v>
      </c>
      <c r="D166" t="s">
        <v>13</v>
      </c>
      <c r="E166" s="3">
        <v>44446</v>
      </c>
      <c r="F166" t="s">
        <v>19</v>
      </c>
      <c r="G166">
        <v>112780</v>
      </c>
      <c r="H166" t="s">
        <v>208</v>
      </c>
      <c r="I166" s="4">
        <f ca="1">(TODAY()-Staff[[#This Row],[Date Joined]])/365</f>
        <v>2.7561643835616438</v>
      </c>
      <c r="J166" s="9">
        <f ca="1">ROUNDUP(IF(Staff[[#This Row],[Tenure]]&gt;2, 3%, 2%)*Staff[[#This Row],[Salary]],0)</f>
        <v>3384</v>
      </c>
      <c r="K166" s="4">
        <f>_xlfn.XLOOKUP(Staff[[#This Row],[Rating]],'Salary Vs Rating'!$B$34:$B$38,'Salary Vs Rating'!$C$34:$C$38)</f>
        <v>4</v>
      </c>
      <c r="L166" s="4"/>
      <c r="M166" s="4"/>
    </row>
    <row r="167" spans="1:13" x14ac:dyDescent="0.35">
      <c r="A167" t="s">
        <v>191</v>
      </c>
      <c r="B167" t="s">
        <v>15</v>
      </c>
      <c r="C167">
        <v>27</v>
      </c>
      <c r="D167" t="s">
        <v>42</v>
      </c>
      <c r="E167" s="3">
        <v>44547</v>
      </c>
      <c r="F167" t="s">
        <v>9</v>
      </c>
      <c r="G167">
        <v>113280</v>
      </c>
      <c r="H167" t="s">
        <v>206</v>
      </c>
      <c r="I167" s="4">
        <f ca="1">(TODAY()-Staff[[#This Row],[Date Joined]])/365</f>
        <v>2.4794520547945207</v>
      </c>
      <c r="J167" s="9">
        <f ca="1">ROUNDUP(IF(Staff[[#This Row],[Tenure]]&gt;2, 3%, 2%)*Staff[[#This Row],[Salary]],0)</f>
        <v>3399</v>
      </c>
      <c r="K167" s="4">
        <f>_xlfn.XLOOKUP(Staff[[#This Row],[Rating]],'Salary Vs Rating'!$B$34:$B$38,'Salary Vs Rating'!$C$34:$C$38)</f>
        <v>1</v>
      </c>
      <c r="L167" s="4"/>
      <c r="M167" s="4"/>
    </row>
    <row r="168" spans="1:13" x14ac:dyDescent="0.35">
      <c r="A168" t="s">
        <v>98</v>
      </c>
      <c r="B168" t="s">
        <v>15</v>
      </c>
      <c r="C168">
        <v>27</v>
      </c>
      <c r="D168" t="s">
        <v>42</v>
      </c>
      <c r="E168" s="3">
        <v>44609</v>
      </c>
      <c r="F168" t="s">
        <v>9</v>
      </c>
      <c r="G168">
        <v>113280</v>
      </c>
      <c r="H168" t="s">
        <v>208</v>
      </c>
      <c r="I168" s="4">
        <f ca="1">(TODAY()-Staff[[#This Row],[Date Joined]])/365</f>
        <v>2.3095890410958906</v>
      </c>
      <c r="J168" s="9">
        <f ca="1">ROUNDUP(IF(Staff[[#This Row],[Tenure]]&gt;2, 3%, 2%)*Staff[[#This Row],[Salary]],0)</f>
        <v>3399</v>
      </c>
      <c r="K168" s="4">
        <f>_xlfn.XLOOKUP(Staff[[#This Row],[Rating]],'Salary Vs Rating'!$B$34:$B$38,'Salary Vs Rating'!$C$34:$C$38)</f>
        <v>1</v>
      </c>
      <c r="L168" s="4"/>
      <c r="M168" s="4"/>
    </row>
    <row r="169" spans="1:13" x14ac:dyDescent="0.35">
      <c r="A169" t="s">
        <v>147</v>
      </c>
      <c r="B169" t="s">
        <v>8</v>
      </c>
      <c r="C169">
        <v>30</v>
      </c>
      <c r="D169" t="s">
        <v>16</v>
      </c>
      <c r="E169" s="3">
        <v>44789</v>
      </c>
      <c r="F169" t="s">
        <v>9</v>
      </c>
      <c r="G169">
        <v>114180</v>
      </c>
      <c r="H169" t="s">
        <v>206</v>
      </c>
      <c r="I169" s="4">
        <f ca="1">(TODAY()-Staff[[#This Row],[Date Joined]])/365</f>
        <v>1.8164383561643835</v>
      </c>
      <c r="J169" s="9">
        <f ca="1">ROUNDUP(IF(Staff[[#This Row],[Tenure]]&gt;2, 3%, 2%)*Staff[[#This Row],[Salary]],0)</f>
        <v>2284</v>
      </c>
      <c r="K169" s="4">
        <f>_xlfn.XLOOKUP(Staff[[#This Row],[Rating]],'Salary Vs Rating'!$B$34:$B$38,'Salary Vs Rating'!$C$34:$C$38)</f>
        <v>3</v>
      </c>
      <c r="L169" s="4"/>
      <c r="M169" s="4"/>
    </row>
    <row r="170" spans="1:13" x14ac:dyDescent="0.35">
      <c r="A170" t="s">
        <v>54</v>
      </c>
      <c r="B170" t="s">
        <v>8</v>
      </c>
      <c r="C170">
        <v>30</v>
      </c>
      <c r="D170" t="s">
        <v>16</v>
      </c>
      <c r="E170" s="3">
        <v>44850</v>
      </c>
      <c r="F170" t="s">
        <v>9</v>
      </c>
      <c r="G170">
        <v>114180</v>
      </c>
      <c r="H170" t="s">
        <v>208</v>
      </c>
      <c r="I170" s="4">
        <f ca="1">(TODAY()-Staff[[#This Row],[Date Joined]])/365</f>
        <v>1.6493150684931508</v>
      </c>
      <c r="J170" s="9">
        <f ca="1">ROUNDUP(IF(Staff[[#This Row],[Tenure]]&gt;2, 3%, 2%)*Staff[[#This Row],[Salary]],0)</f>
        <v>2284</v>
      </c>
      <c r="K170" s="4">
        <f>_xlfn.XLOOKUP(Staff[[#This Row],[Rating]],'Salary Vs Rating'!$B$34:$B$38,'Salary Vs Rating'!$C$34:$C$38)</f>
        <v>3</v>
      </c>
      <c r="L170" s="4"/>
      <c r="M170" s="4"/>
    </row>
    <row r="171" spans="1:13" x14ac:dyDescent="0.35">
      <c r="A171" t="s">
        <v>114</v>
      </c>
      <c r="B171" t="s">
        <v>8</v>
      </c>
      <c r="C171">
        <v>44</v>
      </c>
      <c r="D171" t="s">
        <v>16</v>
      </c>
      <c r="E171" s="3">
        <v>44985</v>
      </c>
      <c r="F171" t="s">
        <v>12</v>
      </c>
      <c r="G171">
        <v>114870</v>
      </c>
      <c r="H171" t="s">
        <v>206</v>
      </c>
      <c r="I171" s="4">
        <f ca="1">(TODAY()-Staff[[#This Row],[Date Joined]])/365</f>
        <v>1.2794520547945205</v>
      </c>
      <c r="J171" s="9">
        <f ca="1">ROUNDUP(IF(Staff[[#This Row],[Tenure]]&gt;2, 3%, 2%)*Staff[[#This Row],[Salary]],0)</f>
        <v>2298</v>
      </c>
      <c r="K171" s="4">
        <f>_xlfn.XLOOKUP(Staff[[#This Row],[Rating]],'Salary Vs Rating'!$B$34:$B$38,'Salary Vs Rating'!$C$34:$C$38)</f>
        <v>3</v>
      </c>
      <c r="L171" s="4"/>
      <c r="M171" s="4"/>
    </row>
    <row r="172" spans="1:13" x14ac:dyDescent="0.35">
      <c r="A172" t="s">
        <v>17</v>
      </c>
      <c r="B172" t="s">
        <v>8</v>
      </c>
      <c r="C172">
        <v>43</v>
      </c>
      <c r="D172" t="s">
        <v>16</v>
      </c>
      <c r="E172" s="3">
        <v>45045</v>
      </c>
      <c r="F172" t="s">
        <v>12</v>
      </c>
      <c r="G172">
        <v>114870</v>
      </c>
      <c r="H172" t="s">
        <v>208</v>
      </c>
      <c r="I172" s="4">
        <f ca="1">(TODAY()-Staff[[#This Row],[Date Joined]])/365</f>
        <v>1.1150684931506849</v>
      </c>
      <c r="J172" s="9">
        <f ca="1">ROUNDUP(IF(Staff[[#This Row],[Tenure]]&gt;2, 3%, 2%)*Staff[[#This Row],[Salary]],0)</f>
        <v>2298</v>
      </c>
      <c r="K172" s="4">
        <f>_xlfn.XLOOKUP(Staff[[#This Row],[Rating]],'Salary Vs Rating'!$B$34:$B$38,'Salary Vs Rating'!$C$34:$C$38)</f>
        <v>3</v>
      </c>
      <c r="L172" s="4"/>
      <c r="M172" s="4"/>
    </row>
    <row r="173" spans="1:13" x14ac:dyDescent="0.35">
      <c r="A173" t="s">
        <v>175</v>
      </c>
      <c r="B173" t="s">
        <v>8</v>
      </c>
      <c r="C173">
        <v>36</v>
      </c>
      <c r="D173" t="s">
        <v>16</v>
      </c>
      <c r="E173" s="3">
        <v>44023</v>
      </c>
      <c r="F173" t="s">
        <v>9</v>
      </c>
      <c r="G173">
        <v>114890</v>
      </c>
      <c r="H173" t="s">
        <v>206</v>
      </c>
      <c r="I173" s="4">
        <f ca="1">(TODAY()-Staff[[#This Row],[Date Joined]])/365</f>
        <v>3.9150684931506849</v>
      </c>
      <c r="J173" s="9">
        <f ca="1">ROUNDUP(IF(Staff[[#This Row],[Tenure]]&gt;2, 3%, 2%)*Staff[[#This Row],[Salary]],0)</f>
        <v>3447</v>
      </c>
      <c r="K173" s="4">
        <f>_xlfn.XLOOKUP(Staff[[#This Row],[Rating]],'Salary Vs Rating'!$B$34:$B$38,'Salary Vs Rating'!$C$34:$C$38)</f>
        <v>3</v>
      </c>
      <c r="L173" s="4"/>
      <c r="M173" s="4"/>
    </row>
    <row r="174" spans="1:13" x14ac:dyDescent="0.35">
      <c r="A174" t="s">
        <v>83</v>
      </c>
      <c r="B174" t="s">
        <v>8</v>
      </c>
      <c r="C174">
        <v>36</v>
      </c>
      <c r="D174" t="s">
        <v>16</v>
      </c>
      <c r="E174" s="3">
        <v>44085</v>
      </c>
      <c r="F174" t="s">
        <v>9</v>
      </c>
      <c r="G174">
        <v>114890</v>
      </c>
      <c r="H174" t="s">
        <v>208</v>
      </c>
      <c r="I174" s="4">
        <f ca="1">(TODAY()-Staff[[#This Row],[Date Joined]])/365</f>
        <v>3.7452054794520548</v>
      </c>
      <c r="J174" s="9">
        <f ca="1">ROUNDUP(IF(Staff[[#This Row],[Tenure]]&gt;2, 3%, 2%)*Staff[[#This Row],[Salary]],0)</f>
        <v>3447</v>
      </c>
      <c r="K174" s="4">
        <f>_xlfn.XLOOKUP(Staff[[#This Row],[Rating]],'Salary Vs Rating'!$B$34:$B$38,'Salary Vs Rating'!$C$34:$C$38)</f>
        <v>3</v>
      </c>
      <c r="L174" s="4"/>
      <c r="M174" s="4"/>
    </row>
    <row r="175" spans="1:13" x14ac:dyDescent="0.35">
      <c r="A175" t="s">
        <v>142</v>
      </c>
      <c r="B175" t="s">
        <v>207</v>
      </c>
      <c r="C175">
        <v>37</v>
      </c>
      <c r="D175" t="s">
        <v>24</v>
      </c>
      <c r="E175" s="3">
        <v>44085</v>
      </c>
      <c r="F175" t="s">
        <v>21</v>
      </c>
      <c r="G175">
        <v>115440</v>
      </c>
      <c r="H175" t="s">
        <v>206</v>
      </c>
      <c r="I175" s="4">
        <f ca="1">(TODAY()-Staff[[#This Row],[Date Joined]])/365</f>
        <v>3.7452054794520548</v>
      </c>
      <c r="J175" s="9">
        <f ca="1">ROUNDUP(IF(Staff[[#This Row],[Tenure]]&gt;2, 3%, 2%)*Staff[[#This Row],[Salary]],0)</f>
        <v>3464</v>
      </c>
      <c r="K175" s="4">
        <f>_xlfn.XLOOKUP(Staff[[#This Row],[Rating]],'Salary Vs Rating'!$B$34:$B$38,'Salary Vs Rating'!$C$34:$C$38)</f>
        <v>2</v>
      </c>
      <c r="L175" s="4"/>
      <c r="M175" s="4"/>
    </row>
    <row r="176" spans="1:13" x14ac:dyDescent="0.35">
      <c r="A176" t="s">
        <v>49</v>
      </c>
      <c r="B176" t="s">
        <v>207</v>
      </c>
      <c r="C176">
        <v>37</v>
      </c>
      <c r="D176" t="s">
        <v>24</v>
      </c>
      <c r="E176" s="3">
        <v>44146</v>
      </c>
      <c r="F176" t="s">
        <v>21</v>
      </c>
      <c r="G176">
        <v>115440</v>
      </c>
      <c r="H176" t="s">
        <v>208</v>
      </c>
      <c r="I176" s="4">
        <f ca="1">(TODAY()-Staff[[#This Row],[Date Joined]])/365</f>
        <v>3.5780821917808221</v>
      </c>
      <c r="J176" s="9">
        <f ca="1">ROUNDUP(IF(Staff[[#This Row],[Tenure]]&gt;2, 3%, 2%)*Staff[[#This Row],[Salary]],0)</f>
        <v>3464</v>
      </c>
      <c r="K176" s="4">
        <f>_xlfn.XLOOKUP(Staff[[#This Row],[Rating]],'Salary Vs Rating'!$B$34:$B$38,'Salary Vs Rating'!$C$34:$C$38)</f>
        <v>2</v>
      </c>
      <c r="L176" s="4"/>
      <c r="M176" s="4"/>
    </row>
    <row r="177" spans="1:13" x14ac:dyDescent="0.35">
      <c r="A177" t="s">
        <v>134</v>
      </c>
      <c r="B177" t="s">
        <v>15</v>
      </c>
      <c r="C177">
        <v>33</v>
      </c>
      <c r="D177" t="s">
        <v>16</v>
      </c>
      <c r="E177" s="3">
        <v>44103</v>
      </c>
      <c r="F177" t="s">
        <v>9</v>
      </c>
      <c r="G177">
        <v>115920</v>
      </c>
      <c r="H177" t="s">
        <v>206</v>
      </c>
      <c r="I177" s="4">
        <f ca="1">(TODAY()-Staff[[#This Row],[Date Joined]])/365</f>
        <v>3.6958904109589041</v>
      </c>
      <c r="J177" s="9">
        <f ca="1">ROUNDUP(IF(Staff[[#This Row],[Tenure]]&gt;2, 3%, 2%)*Staff[[#This Row],[Salary]],0)</f>
        <v>3478</v>
      </c>
      <c r="K177" s="4">
        <f>_xlfn.XLOOKUP(Staff[[#This Row],[Rating]],'Salary Vs Rating'!$B$34:$B$38,'Salary Vs Rating'!$C$34:$C$38)</f>
        <v>3</v>
      </c>
      <c r="L177" s="4"/>
      <c r="M177" s="4"/>
    </row>
    <row r="178" spans="1:13" x14ac:dyDescent="0.35">
      <c r="A178" t="s">
        <v>40</v>
      </c>
      <c r="B178" t="s">
        <v>15</v>
      </c>
      <c r="C178">
        <v>33</v>
      </c>
      <c r="D178" t="s">
        <v>16</v>
      </c>
      <c r="E178" s="3">
        <v>44164</v>
      </c>
      <c r="F178" t="s">
        <v>9</v>
      </c>
      <c r="G178">
        <v>115920</v>
      </c>
      <c r="H178" t="s">
        <v>208</v>
      </c>
      <c r="I178" s="4">
        <f ca="1">(TODAY()-Staff[[#This Row],[Date Joined]])/365</f>
        <v>3.5287671232876714</v>
      </c>
      <c r="J178" s="9">
        <f ca="1">ROUNDUP(IF(Staff[[#This Row],[Tenure]]&gt;2, 3%, 2%)*Staff[[#This Row],[Salary]],0)</f>
        <v>3478</v>
      </c>
      <c r="K178" s="4">
        <f>_xlfn.XLOOKUP(Staff[[#This Row],[Rating]],'Salary Vs Rating'!$B$34:$B$38,'Salary Vs Rating'!$C$34:$C$38)</f>
        <v>3</v>
      </c>
      <c r="L178" s="4"/>
      <c r="M178" s="4"/>
    </row>
    <row r="179" spans="1:13" x14ac:dyDescent="0.35">
      <c r="A179" t="s">
        <v>148</v>
      </c>
      <c r="B179" t="s">
        <v>8</v>
      </c>
      <c r="C179">
        <v>37</v>
      </c>
      <c r="D179" t="s">
        <v>16</v>
      </c>
      <c r="E179" s="3">
        <v>44389</v>
      </c>
      <c r="F179" t="s">
        <v>56</v>
      </c>
      <c r="G179">
        <v>118100</v>
      </c>
      <c r="H179" t="s">
        <v>206</v>
      </c>
      <c r="I179" s="4">
        <f ca="1">(TODAY()-Staff[[#This Row],[Date Joined]])/365</f>
        <v>2.9123287671232876</v>
      </c>
      <c r="J179" s="9">
        <f ca="1">ROUNDUP(IF(Staff[[#This Row],[Tenure]]&gt;2, 3%, 2%)*Staff[[#This Row],[Salary]],0)</f>
        <v>3543</v>
      </c>
      <c r="K179" s="4">
        <f>_xlfn.XLOOKUP(Staff[[#This Row],[Rating]],'Salary Vs Rating'!$B$34:$B$38,'Salary Vs Rating'!$C$34:$C$38)</f>
        <v>3</v>
      </c>
      <c r="L179" s="4"/>
      <c r="M179" s="4"/>
    </row>
    <row r="180" spans="1:13" x14ac:dyDescent="0.35">
      <c r="A180" t="s">
        <v>55</v>
      </c>
      <c r="B180" t="s">
        <v>8</v>
      </c>
      <c r="C180">
        <v>37</v>
      </c>
      <c r="D180" t="s">
        <v>16</v>
      </c>
      <c r="E180" s="3">
        <v>44451</v>
      </c>
      <c r="F180" t="s">
        <v>56</v>
      </c>
      <c r="G180">
        <v>132000</v>
      </c>
      <c r="H180" t="s">
        <v>208</v>
      </c>
      <c r="I180" s="4">
        <f ca="1">(TODAY()-Staff[[#This Row],[Date Joined]])/365</f>
        <v>2.7424657534246575</v>
      </c>
      <c r="J180" s="9">
        <f ca="1">ROUNDUP(IF(Staff[[#This Row],[Tenure]]&gt;2, 3%, 2%)*Staff[[#This Row],[Salary]],0)</f>
        <v>3960</v>
      </c>
      <c r="K180" s="4">
        <f>_xlfn.XLOOKUP(Staff[[#This Row],[Rating]],'Salary Vs Rating'!$B$34:$B$38,'Salary Vs Rating'!$C$34:$C$38)</f>
        <v>3</v>
      </c>
      <c r="L180" s="4"/>
      <c r="M180" s="4"/>
    </row>
    <row r="181" spans="1:13" x14ac:dyDescent="0.35">
      <c r="A181" t="s">
        <v>199</v>
      </c>
      <c r="B181" t="s">
        <v>15</v>
      </c>
      <c r="C181">
        <v>36</v>
      </c>
      <c r="D181" t="s">
        <v>16</v>
      </c>
      <c r="E181" s="3">
        <v>43958</v>
      </c>
      <c r="F181" t="s">
        <v>12</v>
      </c>
      <c r="G181">
        <v>148000</v>
      </c>
      <c r="H181" t="s">
        <v>206</v>
      </c>
      <c r="I181" s="4">
        <f ca="1">(TODAY()-Staff[[#This Row],[Date Joined]])/365</f>
        <v>4.0931506849315067</v>
      </c>
      <c r="J181" s="9">
        <f ca="1">ROUNDUP(IF(Staff[[#This Row],[Tenure]]&gt;2, 3%, 2%)*Staff[[#This Row],[Salary]],0)</f>
        <v>4440</v>
      </c>
      <c r="K181" s="4">
        <f>_xlfn.XLOOKUP(Staff[[#This Row],[Rating]],'Salary Vs Rating'!$B$34:$B$38,'Salary Vs Rating'!$C$34:$C$38)</f>
        <v>3</v>
      </c>
      <c r="L181" s="4"/>
      <c r="M181" s="4"/>
    </row>
    <row r="182" spans="1:13" x14ac:dyDescent="0.35">
      <c r="A182" t="s">
        <v>106</v>
      </c>
      <c r="B182" t="s">
        <v>15</v>
      </c>
      <c r="C182">
        <v>36</v>
      </c>
      <c r="D182" t="s">
        <v>16</v>
      </c>
      <c r="E182" s="3">
        <v>44019</v>
      </c>
      <c r="F182" t="s">
        <v>12</v>
      </c>
      <c r="G182">
        <v>137000</v>
      </c>
      <c r="H182" t="s">
        <v>208</v>
      </c>
      <c r="I182" s="4">
        <f ca="1">(TODAY()-Staff[[#This Row],[Date Joined]])/365</f>
        <v>3.9260273972602739</v>
      </c>
      <c r="J182" s="9">
        <f ca="1">ROUNDUP(IF(Staff[[#This Row],[Tenure]]&gt;2, 3%, 2%)*Staff[[#This Row],[Salary]],0)</f>
        <v>4110</v>
      </c>
      <c r="K182" s="4">
        <f>_xlfn.XLOOKUP(Staff[[#This Row],[Rating]],'Salary Vs Rating'!$B$34:$B$38,'Salary Vs Rating'!$C$34:$C$38)</f>
        <v>3</v>
      </c>
      <c r="L182" s="4"/>
      <c r="M182" s="4"/>
    </row>
    <row r="183" spans="1:13" x14ac:dyDescent="0.35">
      <c r="A183" t="s">
        <v>152</v>
      </c>
      <c r="B183" t="s">
        <v>8</v>
      </c>
      <c r="C183">
        <v>27</v>
      </c>
      <c r="D183" t="s">
        <v>16</v>
      </c>
      <c r="E183" s="3">
        <v>44061</v>
      </c>
      <c r="F183" t="s">
        <v>56</v>
      </c>
      <c r="G183">
        <v>119110</v>
      </c>
      <c r="H183" t="s">
        <v>206</v>
      </c>
      <c r="I183" s="4">
        <f ca="1">(TODAY()-Staff[[#This Row],[Date Joined]])/365</f>
        <v>3.8109589041095893</v>
      </c>
      <c r="J183" s="9">
        <f ca="1">ROUNDUP(IF(Staff[[#This Row],[Tenure]]&gt;2, 3%, 2%)*Staff[[#This Row],[Salary]],0)</f>
        <v>3574</v>
      </c>
      <c r="K183" s="4">
        <f>_xlfn.XLOOKUP(Staff[[#This Row],[Rating]],'Salary Vs Rating'!$B$34:$B$38,'Salary Vs Rating'!$C$34:$C$38)</f>
        <v>3</v>
      </c>
      <c r="L183" s="4"/>
      <c r="M183" s="4"/>
    </row>
    <row r="184" spans="1:13" x14ac:dyDescent="0.35">
      <c r="A184" t="s">
        <v>60</v>
      </c>
      <c r="B184" t="s">
        <v>8</v>
      </c>
      <c r="C184">
        <v>27</v>
      </c>
      <c r="D184" t="s">
        <v>16</v>
      </c>
      <c r="E184" s="3">
        <v>44122</v>
      </c>
      <c r="F184" t="s">
        <v>56</v>
      </c>
      <c r="G184">
        <v>119110</v>
      </c>
      <c r="H184" t="s">
        <v>208</v>
      </c>
      <c r="I184" s="4">
        <f ca="1">(TODAY()-Staff[[#This Row],[Date Joined]])/365</f>
        <v>3.6438356164383561</v>
      </c>
      <c r="J184" s="9">
        <f ca="1">ROUNDUP(IF(Staff[[#This Row],[Tenure]]&gt;2, 3%, 2%)*Staff[[#This Row],[Salary]],0)</f>
        <v>3574</v>
      </c>
      <c r="K184" s="4">
        <f>_xlfn.XLOOKUP(Staff[[#This Row],[Rating]],'Salary Vs Rating'!$B$34:$B$38,'Salary Vs Rating'!$C$34:$C$38)</f>
        <v>3</v>
      </c>
      <c r="L184" s="4"/>
      <c r="M184" s="4"/>
    </row>
  </sheetData>
  <mergeCells count="3">
    <mergeCell ref="N3:O3"/>
    <mergeCell ref="N16:O16"/>
    <mergeCell ref="N17:O17"/>
  </mergeCells>
  <conditionalFormatting sqref="G1:G1048576">
    <cfRule type="colorScale" priority="1">
      <colorScale>
        <cfvo type="min"/>
        <cfvo type="percentile" val="50"/>
        <cfvo type="max"/>
        <color rgb="FFF8696B"/>
        <color rgb="FFFCFCFF"/>
        <color rgb="FF5A8AC6"/>
      </colorScale>
    </cfRule>
  </conditionalFormatting>
  <dataValidations count="1">
    <dataValidation type="list" allowBlank="1" showInputMessage="1" showErrorMessage="1" sqref="N17" xr:uid="{A3C6BE65-0588-41F6-81B5-57279718B0AA}">
      <formula1>$A$2:$A$184</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7840D-6DB8-47A8-9B05-C636E418BE2A}">
  <sheetPr>
    <tabColor theme="4" tint="-0.249977111117893"/>
  </sheetPr>
  <dimension ref="B3:Q63"/>
  <sheetViews>
    <sheetView showGridLines="0" workbookViewId="0">
      <selection activeCell="E6" sqref="E6:F6"/>
    </sheetView>
  </sheetViews>
  <sheetFormatPr defaultRowHeight="14.5" x14ac:dyDescent="0.35"/>
  <cols>
    <col min="2" max="2" width="16.36328125" bestFit="1" customWidth="1"/>
    <col min="3" max="3" width="13.26953125" customWidth="1"/>
    <col min="7" max="7" width="11.6328125" bestFit="1" customWidth="1"/>
    <col min="17" max="17" width="0" hidden="1" customWidth="1"/>
  </cols>
  <sheetData>
    <row r="3" spans="2:17" ht="15" thickBot="1" x14ac:dyDescent="0.4"/>
    <row r="4" spans="2:17" ht="25.5" thickBot="1" x14ac:dyDescent="0.75">
      <c r="B4" s="34">
        <v>3</v>
      </c>
      <c r="C4" s="39" t="s">
        <v>244</v>
      </c>
      <c r="D4" s="40"/>
      <c r="E4" s="40"/>
      <c r="F4" s="40"/>
      <c r="G4" s="40"/>
      <c r="H4" s="40"/>
      <c r="I4" s="40"/>
      <c r="J4" s="40"/>
      <c r="K4" s="40"/>
      <c r="L4" s="40"/>
      <c r="Q4" t="str" cm="1">
        <f t="array" ref="Q4:Q8">_xlfn.UNIQUE(Staff[Department])</f>
        <v>Website</v>
      </c>
    </row>
    <row r="5" spans="2:17" x14ac:dyDescent="0.35">
      <c r="Q5" t="str">
        <v>Sales</v>
      </c>
    </row>
    <row r="6" spans="2:17" ht="20" x14ac:dyDescent="0.55000000000000004">
      <c r="C6" s="33" t="s">
        <v>216</v>
      </c>
      <c r="E6" s="41" t="s">
        <v>21</v>
      </c>
      <c r="F6" s="41"/>
      <c r="H6" s="33" t="s">
        <v>217</v>
      </c>
      <c r="K6" s="41">
        <f>COUNTIFS(Staff[Department],E6)</f>
        <v>38</v>
      </c>
      <c r="L6" s="41"/>
      <c r="Q6" t="str">
        <v>Procurement</v>
      </c>
    </row>
    <row r="7" spans="2:17" x14ac:dyDescent="0.35">
      <c r="Q7" t="str">
        <v>HR</v>
      </c>
    </row>
    <row r="8" spans="2:17" x14ac:dyDescent="0.35">
      <c r="Q8" t="str">
        <v>Finance</v>
      </c>
    </row>
    <row r="10" spans="2:17" ht="16.5" x14ac:dyDescent="0.45">
      <c r="B10" s="35" t="str" cm="1">
        <f t="array" aca="1" ref="B10:L47" ca="1">_xlfn._xlws.SORT(_xlfn._xlws.FILTER(Staff[],Staff[Department]=E6),7,-1)</f>
        <v>Sahila Chandrasekhar</v>
      </c>
      <c r="C10" s="35" t="str">
        <f ca="1"/>
        <v>Other</v>
      </c>
      <c r="D10" s="35">
        <f ca="1"/>
        <v>37</v>
      </c>
      <c r="E10" s="35" t="str">
        <f ca="1"/>
        <v>Poor</v>
      </c>
      <c r="F10" s="35">
        <f ca="1"/>
        <v>44085</v>
      </c>
      <c r="G10" s="35" t="str">
        <f ca="1"/>
        <v>Finance</v>
      </c>
      <c r="H10" s="35">
        <f ca="1"/>
        <v>115440</v>
      </c>
      <c r="I10" s="35" t="str">
        <f ca="1"/>
        <v>IND</v>
      </c>
      <c r="J10" s="35">
        <f ca="1"/>
        <v>3.7452054794520548</v>
      </c>
      <c r="K10" s="35">
        <f ca="1"/>
        <v>3464</v>
      </c>
      <c r="L10" s="35">
        <f ca="1"/>
        <v>2</v>
      </c>
    </row>
    <row r="11" spans="2:17" ht="16.5" x14ac:dyDescent="0.45">
      <c r="B11" s="36" t="str">
        <f ca="1"/>
        <v>Benny Karolovsky</v>
      </c>
      <c r="C11" s="36" t="str">
        <f ca="1"/>
        <v>Other</v>
      </c>
      <c r="D11" s="36">
        <f ca="1"/>
        <v>37</v>
      </c>
      <c r="E11" s="36" t="str">
        <f ca="1"/>
        <v>Poor</v>
      </c>
      <c r="F11" s="36">
        <f ca="1"/>
        <v>44146</v>
      </c>
      <c r="G11" s="36" t="str">
        <f ca="1"/>
        <v>Finance</v>
      </c>
      <c r="H11" s="36">
        <f ca="1"/>
        <v>115440</v>
      </c>
      <c r="I11" s="36" t="str">
        <f ca="1"/>
        <v>NZ</v>
      </c>
      <c r="J11" s="36">
        <f ca="1"/>
        <v>3.5780821917808221</v>
      </c>
      <c r="K11" s="36">
        <f ca="1"/>
        <v>3464</v>
      </c>
      <c r="L11" s="36">
        <f ca="1"/>
        <v>2</v>
      </c>
    </row>
    <row r="12" spans="2:17" ht="16.5" x14ac:dyDescent="0.45">
      <c r="B12" s="36" t="str">
        <f ca="1"/>
        <v>Mithil Nadkarni</v>
      </c>
      <c r="C12" s="36" t="str">
        <f ca="1"/>
        <v>Male</v>
      </c>
      <c r="D12" s="36">
        <f ca="1"/>
        <v>30</v>
      </c>
      <c r="E12" s="36" t="str">
        <f ca="1"/>
        <v>Average</v>
      </c>
      <c r="F12" s="36">
        <f ca="1"/>
        <v>44544</v>
      </c>
      <c r="G12" s="36" t="str">
        <f ca="1"/>
        <v>Finance</v>
      </c>
      <c r="H12" s="36">
        <f ca="1"/>
        <v>96800</v>
      </c>
      <c r="I12" s="36" t="str">
        <f ca="1"/>
        <v>IND</v>
      </c>
      <c r="J12" s="36">
        <f ca="1"/>
        <v>2.4876712328767123</v>
      </c>
      <c r="K12" s="36">
        <f ca="1"/>
        <v>2904</v>
      </c>
      <c r="L12" s="36">
        <f ca="1"/>
        <v>3</v>
      </c>
    </row>
    <row r="13" spans="2:17" ht="16.5" x14ac:dyDescent="0.45">
      <c r="B13" s="36" t="str">
        <f ca="1"/>
        <v>Constantino Espley</v>
      </c>
      <c r="C13" s="36" t="str">
        <f ca="1"/>
        <v>Male</v>
      </c>
      <c r="D13" s="36">
        <f ca="1"/>
        <v>30</v>
      </c>
      <c r="E13" s="36" t="str">
        <f ca="1"/>
        <v>Average</v>
      </c>
      <c r="F13" s="36">
        <f ca="1"/>
        <v>44606</v>
      </c>
      <c r="G13" s="36" t="str">
        <f ca="1"/>
        <v>Finance</v>
      </c>
      <c r="H13" s="36">
        <f ca="1"/>
        <v>96800</v>
      </c>
      <c r="I13" s="36" t="str">
        <f ca="1"/>
        <v>NZ</v>
      </c>
      <c r="J13" s="36">
        <f ca="1"/>
        <v>2.3178082191780822</v>
      </c>
      <c r="K13" s="36">
        <f ca="1"/>
        <v>2904</v>
      </c>
      <c r="L13" s="36">
        <f ca="1"/>
        <v>3</v>
      </c>
    </row>
    <row r="14" spans="2:17" ht="16.5" x14ac:dyDescent="0.45">
      <c r="B14" s="36" t="str">
        <f ca="1"/>
        <v>Deepit Ranjana</v>
      </c>
      <c r="C14" s="36" t="str">
        <f ca="1"/>
        <v>Female</v>
      </c>
      <c r="D14" s="36">
        <f ca="1"/>
        <v>34</v>
      </c>
      <c r="E14" s="36" t="str">
        <f ca="1"/>
        <v>Average</v>
      </c>
      <c r="F14" s="36">
        <f ca="1"/>
        <v>44383</v>
      </c>
      <c r="G14" s="36" t="str">
        <f ca="1"/>
        <v>Finance</v>
      </c>
      <c r="H14" s="36">
        <f ca="1"/>
        <v>92450</v>
      </c>
      <c r="I14" s="36" t="str">
        <f ca="1"/>
        <v>IND</v>
      </c>
      <c r="J14" s="36">
        <f ca="1"/>
        <v>2.9287671232876713</v>
      </c>
      <c r="K14" s="36">
        <f ca="1"/>
        <v>2774</v>
      </c>
      <c r="L14" s="36">
        <f ca="1"/>
        <v>3</v>
      </c>
    </row>
    <row r="15" spans="2:17" ht="16.5" x14ac:dyDescent="0.45">
      <c r="B15" s="36" t="str">
        <f ca="1"/>
        <v>Leilah Yesinin</v>
      </c>
      <c r="C15" s="36" t="str">
        <f ca="1"/>
        <v>Female</v>
      </c>
      <c r="D15" s="36">
        <f ca="1"/>
        <v>34</v>
      </c>
      <c r="E15" s="36" t="str">
        <f ca="1"/>
        <v>Average</v>
      </c>
      <c r="F15" s="36">
        <f ca="1"/>
        <v>44445</v>
      </c>
      <c r="G15" s="36" t="str">
        <f ca="1"/>
        <v>Finance</v>
      </c>
      <c r="H15" s="36">
        <f ca="1"/>
        <v>92450</v>
      </c>
      <c r="I15" s="36" t="str">
        <f ca="1"/>
        <v>NZ</v>
      </c>
      <c r="J15" s="36">
        <f ca="1"/>
        <v>2.7589041095890412</v>
      </c>
      <c r="K15" s="36">
        <f ca="1"/>
        <v>2774</v>
      </c>
      <c r="L15" s="36">
        <f ca="1"/>
        <v>3</v>
      </c>
    </row>
    <row r="16" spans="2:17" ht="16.5" x14ac:dyDescent="0.45">
      <c r="B16" s="36" t="str">
        <f ca="1"/>
        <v>Kamalakshi Mukundan</v>
      </c>
      <c r="C16" s="36" t="str">
        <f ca="1"/>
        <v>Male</v>
      </c>
      <c r="D16" s="36">
        <f ca="1"/>
        <v>27</v>
      </c>
      <c r="E16" s="36" t="str">
        <f ca="1"/>
        <v>Above average</v>
      </c>
      <c r="F16" s="36">
        <f ca="1"/>
        <v>44174</v>
      </c>
      <c r="G16" s="36" t="str">
        <f ca="1"/>
        <v>Finance</v>
      </c>
      <c r="H16" s="36">
        <f ca="1"/>
        <v>91650</v>
      </c>
      <c r="I16" s="36" t="str">
        <f ca="1"/>
        <v>IND</v>
      </c>
      <c r="J16" s="36">
        <f ca="1"/>
        <v>3.5013698630136987</v>
      </c>
      <c r="K16" s="36">
        <f ca="1"/>
        <v>2750</v>
      </c>
      <c r="L16" s="36">
        <f ca="1"/>
        <v>4</v>
      </c>
    </row>
    <row r="17" spans="2:12" ht="16.5" x14ac:dyDescent="0.45">
      <c r="B17" s="36" t="str">
        <f ca="1"/>
        <v>Enoch Dowrey</v>
      </c>
      <c r="C17" s="36" t="str">
        <f ca="1"/>
        <v>Male</v>
      </c>
      <c r="D17" s="36">
        <f ca="1"/>
        <v>27</v>
      </c>
      <c r="E17" s="36" t="str">
        <f ca="1"/>
        <v>Above average</v>
      </c>
      <c r="F17" s="36">
        <f ca="1"/>
        <v>44236</v>
      </c>
      <c r="G17" s="36" t="str">
        <f ca="1"/>
        <v>Finance</v>
      </c>
      <c r="H17" s="36">
        <f ca="1"/>
        <v>91650</v>
      </c>
      <c r="I17" s="36" t="str">
        <f ca="1"/>
        <v>NZ</v>
      </c>
      <c r="J17" s="36">
        <f ca="1"/>
        <v>3.3315068493150686</v>
      </c>
      <c r="K17" s="36">
        <f ca="1"/>
        <v>2750</v>
      </c>
      <c r="L17" s="36">
        <f ca="1"/>
        <v>4</v>
      </c>
    </row>
    <row r="18" spans="2:12" ht="16.5" x14ac:dyDescent="0.45">
      <c r="B18" s="36" t="str">
        <f ca="1"/>
        <v>Madhumati Gazala Soumitra</v>
      </c>
      <c r="C18" s="36" t="str">
        <f ca="1"/>
        <v>Female</v>
      </c>
      <c r="D18" s="36">
        <f ca="1"/>
        <v>33</v>
      </c>
      <c r="E18" s="36" t="str">
        <f ca="1"/>
        <v>Average</v>
      </c>
      <c r="F18" s="36">
        <f ca="1"/>
        <v>44747</v>
      </c>
      <c r="G18" s="36" t="str">
        <f ca="1"/>
        <v>Finance</v>
      </c>
      <c r="H18" s="36">
        <f ca="1"/>
        <v>86570</v>
      </c>
      <c r="I18" s="36" t="str">
        <f ca="1"/>
        <v>IND</v>
      </c>
      <c r="J18" s="36">
        <f ca="1"/>
        <v>1.9315068493150684</v>
      </c>
      <c r="K18" s="36">
        <f ca="1"/>
        <v>1732</v>
      </c>
      <c r="L18" s="36">
        <f ca="1"/>
        <v>3</v>
      </c>
    </row>
    <row r="19" spans="2:12" ht="16.5" x14ac:dyDescent="0.45">
      <c r="B19" s="36" t="str">
        <f ca="1"/>
        <v>Sibyl Dunkirk</v>
      </c>
      <c r="C19" s="36" t="str">
        <f ca="1"/>
        <v>Female</v>
      </c>
      <c r="D19" s="36">
        <f ca="1"/>
        <v>33</v>
      </c>
      <c r="E19" s="36" t="str">
        <f ca="1"/>
        <v>Average</v>
      </c>
      <c r="F19" s="36">
        <f ca="1"/>
        <v>44809</v>
      </c>
      <c r="G19" s="36" t="str">
        <f ca="1"/>
        <v>Finance</v>
      </c>
      <c r="H19" s="36">
        <f ca="1"/>
        <v>86570</v>
      </c>
      <c r="I19" s="36" t="str">
        <f ca="1"/>
        <v>NZ</v>
      </c>
      <c r="J19" s="36">
        <f ca="1"/>
        <v>1.7616438356164383</v>
      </c>
      <c r="K19" s="36">
        <f ca="1"/>
        <v>1732</v>
      </c>
      <c r="L19" s="36">
        <f ca="1"/>
        <v>3</v>
      </c>
    </row>
    <row r="20" spans="2:12" ht="16.5" x14ac:dyDescent="0.45">
      <c r="B20" s="36" t="str">
        <f ca="1"/>
        <v>Tarala Vishaal</v>
      </c>
      <c r="C20" s="36" t="str">
        <f ca="1"/>
        <v>Female</v>
      </c>
      <c r="D20" s="36">
        <f ca="1"/>
        <v>34</v>
      </c>
      <c r="E20" s="36" t="str">
        <f ca="1"/>
        <v>Average</v>
      </c>
      <c r="F20" s="36">
        <f ca="1"/>
        <v>44397</v>
      </c>
      <c r="G20" s="36" t="str">
        <f ca="1"/>
        <v>Finance</v>
      </c>
      <c r="H20" s="36">
        <f ca="1"/>
        <v>85000</v>
      </c>
      <c r="I20" s="36" t="str">
        <f ca="1"/>
        <v>IND</v>
      </c>
      <c r="J20" s="36">
        <f ca="1"/>
        <v>2.8904109589041096</v>
      </c>
      <c r="K20" s="36">
        <f ca="1"/>
        <v>2550</v>
      </c>
      <c r="L20" s="36">
        <f ca="1"/>
        <v>3</v>
      </c>
    </row>
    <row r="21" spans="2:12" ht="16.5" x14ac:dyDescent="0.45">
      <c r="B21" s="36" t="str">
        <f ca="1"/>
        <v>Karlen McCaffrey</v>
      </c>
      <c r="C21" s="36" t="str">
        <f ca="1"/>
        <v>Female</v>
      </c>
      <c r="D21" s="36">
        <f ca="1"/>
        <v>34</v>
      </c>
      <c r="E21" s="36" t="str">
        <f ca="1"/>
        <v>Average</v>
      </c>
      <c r="F21" s="36">
        <f ca="1"/>
        <v>44459</v>
      </c>
      <c r="G21" s="36" t="str">
        <f ca="1"/>
        <v>Finance</v>
      </c>
      <c r="H21" s="36">
        <f ca="1"/>
        <v>85000</v>
      </c>
      <c r="I21" s="36" t="str">
        <f ca="1"/>
        <v>NZ</v>
      </c>
      <c r="J21" s="36">
        <f ca="1"/>
        <v>2.7205479452054795</v>
      </c>
      <c r="K21" s="36">
        <f ca="1"/>
        <v>2550</v>
      </c>
      <c r="L21" s="36">
        <f ca="1"/>
        <v>3</v>
      </c>
    </row>
    <row r="22" spans="2:12" ht="16.5" x14ac:dyDescent="0.45">
      <c r="B22" s="36" t="str">
        <f ca="1"/>
        <v>Indu Varada Sumedh</v>
      </c>
      <c r="C22" s="36" t="str">
        <f ca="1"/>
        <v>Female</v>
      </c>
      <c r="D22" s="36">
        <f ca="1"/>
        <v>28</v>
      </c>
      <c r="E22" s="36" t="str">
        <f ca="1"/>
        <v>Average</v>
      </c>
      <c r="F22" s="36">
        <f ca="1"/>
        <v>44124</v>
      </c>
      <c r="G22" s="36" t="str">
        <f ca="1"/>
        <v>Finance</v>
      </c>
      <c r="H22" s="36">
        <f ca="1"/>
        <v>75970</v>
      </c>
      <c r="I22" s="36" t="str">
        <f ca="1"/>
        <v>IND</v>
      </c>
      <c r="J22" s="36">
        <f ca="1"/>
        <v>3.6383561643835618</v>
      </c>
      <c r="K22" s="36">
        <f ca="1"/>
        <v>2280</v>
      </c>
      <c r="L22" s="36">
        <f ca="1"/>
        <v>3</v>
      </c>
    </row>
    <row r="23" spans="2:12" ht="16.5" x14ac:dyDescent="0.45">
      <c r="B23" s="36" t="str">
        <f ca="1"/>
        <v>Beverie Moffet</v>
      </c>
      <c r="C23" s="36" t="str">
        <f ca="1"/>
        <v>Female</v>
      </c>
      <c r="D23" s="36">
        <f ca="1"/>
        <v>28</v>
      </c>
      <c r="E23" s="36" t="str">
        <f ca="1"/>
        <v>Average</v>
      </c>
      <c r="F23" s="36">
        <f ca="1"/>
        <v>44185</v>
      </c>
      <c r="G23" s="36" t="str">
        <f ca="1"/>
        <v>Finance</v>
      </c>
      <c r="H23" s="36">
        <f ca="1"/>
        <v>75970</v>
      </c>
      <c r="I23" s="36" t="str">
        <f ca="1"/>
        <v>NZ</v>
      </c>
      <c r="J23" s="36">
        <f ca="1"/>
        <v>3.4712328767123286</v>
      </c>
      <c r="K23" s="36">
        <f ca="1"/>
        <v>2280</v>
      </c>
      <c r="L23" s="36">
        <f ca="1"/>
        <v>3</v>
      </c>
    </row>
    <row r="24" spans="2:12" ht="16.5" x14ac:dyDescent="0.45">
      <c r="B24" s="36" t="str">
        <f ca="1"/>
        <v>Kulbhushan Moorthy</v>
      </c>
      <c r="C24" s="36" t="str">
        <f ca="1"/>
        <v>Male</v>
      </c>
      <c r="D24" s="36">
        <f ca="1"/>
        <v>36</v>
      </c>
      <c r="E24" s="36" t="str">
        <f ca="1"/>
        <v>Average</v>
      </c>
      <c r="F24" s="36">
        <f ca="1"/>
        <v>44272</v>
      </c>
      <c r="G24" s="36" t="str">
        <f ca="1"/>
        <v>Finance</v>
      </c>
      <c r="H24" s="36">
        <f ca="1"/>
        <v>71380</v>
      </c>
      <c r="I24" s="36" t="str">
        <f ca="1"/>
        <v>IND</v>
      </c>
      <c r="J24" s="36">
        <f ca="1"/>
        <v>3.2328767123287672</v>
      </c>
      <c r="K24" s="36">
        <f ca="1"/>
        <v>2142</v>
      </c>
      <c r="L24" s="36">
        <f ca="1"/>
        <v>3</v>
      </c>
    </row>
    <row r="25" spans="2:12" ht="16.5" x14ac:dyDescent="0.45">
      <c r="B25" s="36" t="str">
        <f ca="1"/>
        <v>Bennie Pepis</v>
      </c>
      <c r="C25" s="36" t="str">
        <f ca="1"/>
        <v>Male</v>
      </c>
      <c r="D25" s="36">
        <f ca="1"/>
        <v>36</v>
      </c>
      <c r="E25" s="36" t="str">
        <f ca="1"/>
        <v>Average</v>
      </c>
      <c r="F25" s="36">
        <f ca="1"/>
        <v>44333</v>
      </c>
      <c r="G25" s="36" t="str">
        <f ca="1"/>
        <v>Finance</v>
      </c>
      <c r="H25" s="36">
        <f ca="1"/>
        <v>71380</v>
      </c>
      <c r="I25" s="36" t="str">
        <f ca="1"/>
        <v>NZ</v>
      </c>
      <c r="J25" s="36">
        <f ca="1"/>
        <v>3.0657534246575344</v>
      </c>
      <c r="K25" s="36">
        <f ca="1"/>
        <v>2142</v>
      </c>
      <c r="L25" s="36">
        <f ca="1"/>
        <v>3</v>
      </c>
    </row>
    <row r="26" spans="2:12" ht="16.5" x14ac:dyDescent="0.45">
      <c r="B26" s="36" t="str">
        <f ca="1"/>
        <v>Chandana Sannidhi Surnilla</v>
      </c>
      <c r="C26" s="36" t="str">
        <f ca="1"/>
        <v>Male</v>
      </c>
      <c r="D26" s="36">
        <f ca="1"/>
        <v>42</v>
      </c>
      <c r="E26" s="36" t="str">
        <f ca="1"/>
        <v>Poor</v>
      </c>
      <c r="F26" s="36">
        <f ca="1"/>
        <v>44670</v>
      </c>
      <c r="G26" s="36" t="str">
        <f ca="1"/>
        <v>Finance</v>
      </c>
      <c r="H26" s="36">
        <f ca="1"/>
        <v>70270</v>
      </c>
      <c r="I26" s="36" t="str">
        <f ca="1"/>
        <v>IND</v>
      </c>
      <c r="J26" s="36">
        <f ca="1"/>
        <v>2.1424657534246574</v>
      </c>
      <c r="K26" s="36">
        <f ca="1"/>
        <v>2109</v>
      </c>
      <c r="L26" s="36">
        <f ca="1"/>
        <v>2</v>
      </c>
    </row>
    <row r="27" spans="2:12" ht="16.5" x14ac:dyDescent="0.45">
      <c r="B27" s="36" t="str">
        <f ca="1"/>
        <v>Shayne Stegel</v>
      </c>
      <c r="C27" s="36" t="str">
        <f ca="1"/>
        <v>Male</v>
      </c>
      <c r="D27" s="36">
        <f ca="1"/>
        <v>42</v>
      </c>
      <c r="E27" s="36" t="str">
        <f ca="1"/>
        <v>Poor</v>
      </c>
      <c r="F27" s="36">
        <f ca="1"/>
        <v>44731</v>
      </c>
      <c r="G27" s="36" t="str">
        <f ca="1"/>
        <v>Finance</v>
      </c>
      <c r="H27" s="36">
        <f ca="1"/>
        <v>70270</v>
      </c>
      <c r="I27" s="36" t="str">
        <f ca="1"/>
        <v>NZ</v>
      </c>
      <c r="J27" s="36">
        <f ca="1"/>
        <v>1.9753424657534246</v>
      </c>
      <c r="K27" s="36">
        <f ca="1"/>
        <v>1406</v>
      </c>
      <c r="L27" s="36">
        <f ca="1"/>
        <v>2</v>
      </c>
    </row>
    <row r="28" spans="2:12" ht="16.5" x14ac:dyDescent="0.45">
      <c r="B28" s="36" t="str">
        <f ca="1"/>
        <v>Kantimoy Pritish</v>
      </c>
      <c r="C28" s="36" t="str">
        <f ca="1"/>
        <v>Female</v>
      </c>
      <c r="D28" s="36">
        <f ca="1"/>
        <v>30</v>
      </c>
      <c r="E28" s="36" t="str">
        <f ca="1"/>
        <v>Poor</v>
      </c>
      <c r="F28" s="36">
        <f ca="1"/>
        <v>44328</v>
      </c>
      <c r="G28" s="36" t="str">
        <f ca="1"/>
        <v>Finance</v>
      </c>
      <c r="H28" s="36">
        <f ca="1"/>
        <v>67910</v>
      </c>
      <c r="I28" s="36" t="str">
        <f ca="1"/>
        <v>IND</v>
      </c>
      <c r="J28" s="36">
        <f ca="1"/>
        <v>3.0794520547945203</v>
      </c>
      <c r="K28" s="36">
        <f ca="1"/>
        <v>2038</v>
      </c>
      <c r="L28" s="36">
        <f ca="1"/>
        <v>2</v>
      </c>
    </row>
    <row r="29" spans="2:12" ht="16.5" x14ac:dyDescent="0.45">
      <c r="B29" s="36" t="str">
        <f ca="1"/>
        <v>Husein Augar</v>
      </c>
      <c r="C29" s="36" t="str">
        <f ca="1"/>
        <v>Female</v>
      </c>
      <c r="D29" s="36">
        <f ca="1"/>
        <v>30</v>
      </c>
      <c r="E29" s="36" t="str">
        <f ca="1"/>
        <v>Poor</v>
      </c>
      <c r="F29" s="36">
        <f ca="1"/>
        <v>44389</v>
      </c>
      <c r="G29" s="36" t="str">
        <f ca="1"/>
        <v>Finance</v>
      </c>
      <c r="H29" s="36">
        <f ca="1"/>
        <v>67910</v>
      </c>
      <c r="I29" s="36" t="str">
        <f ca="1"/>
        <v>NZ</v>
      </c>
      <c r="J29" s="36">
        <f ca="1"/>
        <v>2.9123287671232876</v>
      </c>
      <c r="K29" s="36">
        <f ca="1"/>
        <v>2038</v>
      </c>
      <c r="L29" s="36">
        <f ca="1"/>
        <v>2</v>
      </c>
    </row>
    <row r="30" spans="2:12" ht="16.5" x14ac:dyDescent="0.45">
      <c r="B30" s="36" t="str">
        <f ca="1"/>
        <v>Agrata Rajarama</v>
      </c>
      <c r="C30" s="36" t="str">
        <f ca="1"/>
        <v>Female</v>
      </c>
      <c r="D30" s="36">
        <f ca="1"/>
        <v>21</v>
      </c>
      <c r="E30" s="36" t="str">
        <f ca="1"/>
        <v>Average</v>
      </c>
      <c r="F30" s="36">
        <f ca="1"/>
        <v>44256</v>
      </c>
      <c r="G30" s="36" t="str">
        <f ca="1"/>
        <v>Finance</v>
      </c>
      <c r="H30" s="36">
        <f ca="1"/>
        <v>65920</v>
      </c>
      <c r="I30" s="36" t="str">
        <f ca="1"/>
        <v>IND</v>
      </c>
      <c r="J30" s="36">
        <f ca="1"/>
        <v>3.2767123287671232</v>
      </c>
      <c r="K30" s="36">
        <f ca="1"/>
        <v>1978</v>
      </c>
      <c r="L30" s="36">
        <f ca="1"/>
        <v>3</v>
      </c>
    </row>
    <row r="31" spans="2:12" ht="16.5" x14ac:dyDescent="0.45">
      <c r="B31" s="36" t="str">
        <f ca="1"/>
        <v>Marney O'Breen</v>
      </c>
      <c r="C31" s="36" t="str">
        <f ca="1"/>
        <v>Female</v>
      </c>
      <c r="D31" s="36">
        <f ca="1"/>
        <v>21</v>
      </c>
      <c r="E31" s="36" t="str">
        <f ca="1"/>
        <v>Average</v>
      </c>
      <c r="F31" s="36">
        <f ca="1"/>
        <v>44317</v>
      </c>
      <c r="G31" s="36" t="str">
        <f ca="1"/>
        <v>Finance</v>
      </c>
      <c r="H31" s="36">
        <f ca="1"/>
        <v>65920</v>
      </c>
      <c r="I31" s="36" t="str">
        <f ca="1"/>
        <v>NZ</v>
      </c>
      <c r="J31" s="36">
        <f ca="1"/>
        <v>3.1095890410958904</v>
      </c>
      <c r="K31" s="36">
        <f ca="1"/>
        <v>1978</v>
      </c>
      <c r="L31" s="36">
        <f ca="1"/>
        <v>3</v>
      </c>
    </row>
    <row r="32" spans="2:12" ht="16.5" x14ac:dyDescent="0.45">
      <c r="B32" s="36" t="str">
        <f ca="1"/>
        <v>Kevalkumar Solanki</v>
      </c>
      <c r="C32" s="36" t="str">
        <f ca="1"/>
        <v>Female</v>
      </c>
      <c r="D32" s="36">
        <f ca="1"/>
        <v>33</v>
      </c>
      <c r="E32" s="36" t="str">
        <f ca="1"/>
        <v>Average</v>
      </c>
      <c r="F32" s="36">
        <f ca="1"/>
        <v>44006</v>
      </c>
      <c r="G32" s="36" t="str">
        <f ca="1"/>
        <v>Finance</v>
      </c>
      <c r="H32" s="36">
        <f ca="1"/>
        <v>65360</v>
      </c>
      <c r="I32" s="36" t="str">
        <f ca="1"/>
        <v>IND</v>
      </c>
      <c r="J32" s="36">
        <f ca="1"/>
        <v>3.9616438356164383</v>
      </c>
      <c r="K32" s="36">
        <f ca="1"/>
        <v>1961</v>
      </c>
      <c r="L32" s="36">
        <f ca="1"/>
        <v>3</v>
      </c>
    </row>
    <row r="33" spans="2:12" ht="16.5" x14ac:dyDescent="0.45">
      <c r="B33" s="36" t="str">
        <f ca="1"/>
        <v>Teressa Udden</v>
      </c>
      <c r="C33" s="36" t="str">
        <f ca="1"/>
        <v>Female</v>
      </c>
      <c r="D33" s="36">
        <f ca="1"/>
        <v>33</v>
      </c>
      <c r="E33" s="36" t="str">
        <f ca="1"/>
        <v>Average</v>
      </c>
      <c r="F33" s="36">
        <f ca="1"/>
        <v>44067</v>
      </c>
      <c r="G33" s="36" t="str">
        <f ca="1"/>
        <v>Finance</v>
      </c>
      <c r="H33" s="36">
        <f ca="1"/>
        <v>65360</v>
      </c>
      <c r="I33" s="36" t="str">
        <f ca="1"/>
        <v>NZ</v>
      </c>
      <c r="J33" s="36">
        <f ca="1"/>
        <v>3.7945205479452055</v>
      </c>
      <c r="K33" s="36">
        <f ca="1"/>
        <v>1961</v>
      </c>
      <c r="L33" s="36">
        <f ca="1"/>
        <v>3</v>
      </c>
    </row>
    <row r="34" spans="2:12" ht="16.5" x14ac:dyDescent="0.45">
      <c r="B34" s="36" t="str">
        <f ca="1"/>
        <v>Upendra Swati</v>
      </c>
      <c r="C34" s="36" t="str">
        <f ca="1"/>
        <v>Other</v>
      </c>
      <c r="D34" s="36">
        <f ca="1"/>
        <v>30</v>
      </c>
      <c r="E34" s="36" t="str">
        <f ca="1"/>
        <v>Average</v>
      </c>
      <c r="F34" s="36">
        <f ca="1"/>
        <v>44535</v>
      </c>
      <c r="G34" s="36" t="str">
        <f ca="1"/>
        <v>Finance</v>
      </c>
      <c r="H34" s="36">
        <f ca="1"/>
        <v>64000</v>
      </c>
      <c r="I34" s="36" t="str">
        <f ca="1"/>
        <v>IND</v>
      </c>
      <c r="J34" s="36">
        <f ca="1"/>
        <v>2.5123287671232877</v>
      </c>
      <c r="K34" s="36">
        <f ca="1"/>
        <v>1920</v>
      </c>
      <c r="L34" s="36">
        <f ca="1"/>
        <v>3</v>
      </c>
    </row>
    <row r="35" spans="2:12" ht="16.5" x14ac:dyDescent="0.45">
      <c r="B35" s="36" t="str">
        <f ca="1"/>
        <v>Curtice Advani</v>
      </c>
      <c r="C35" s="36" t="str">
        <f ca="1"/>
        <v>Other</v>
      </c>
      <c r="D35" s="36">
        <f ca="1"/>
        <v>30</v>
      </c>
      <c r="E35" s="36" t="str">
        <f ca="1"/>
        <v>Average</v>
      </c>
      <c r="F35" s="36">
        <f ca="1"/>
        <v>44597</v>
      </c>
      <c r="G35" s="36" t="str">
        <f ca="1"/>
        <v>Finance</v>
      </c>
      <c r="H35" s="36">
        <f ca="1"/>
        <v>64000</v>
      </c>
      <c r="I35" s="36" t="str">
        <f ca="1"/>
        <v>NZ</v>
      </c>
      <c r="J35" s="36">
        <f ca="1"/>
        <v>2.3424657534246576</v>
      </c>
      <c r="K35" s="36">
        <f ca="1"/>
        <v>1920</v>
      </c>
      <c r="L35" s="36">
        <f ca="1"/>
        <v>3</v>
      </c>
    </row>
    <row r="36" spans="2:12" ht="16.5" x14ac:dyDescent="0.45">
      <c r="B36" s="36" t="str">
        <f ca="1"/>
        <v>Lalit Kothari</v>
      </c>
      <c r="C36" s="36" t="str">
        <f ca="1"/>
        <v>Female</v>
      </c>
      <c r="D36" s="36">
        <f ca="1"/>
        <v>34</v>
      </c>
      <c r="E36" s="36" t="str">
        <f ca="1"/>
        <v>Average</v>
      </c>
      <c r="F36" s="36">
        <f ca="1"/>
        <v>44550</v>
      </c>
      <c r="G36" s="36" t="str">
        <f ca="1"/>
        <v>Finance</v>
      </c>
      <c r="H36" s="36">
        <f ca="1"/>
        <v>60130</v>
      </c>
      <c r="I36" s="36" t="str">
        <f ca="1"/>
        <v>IND</v>
      </c>
      <c r="J36" s="36">
        <f ca="1"/>
        <v>2.4712328767123286</v>
      </c>
      <c r="K36" s="36">
        <f ca="1"/>
        <v>1804</v>
      </c>
      <c r="L36" s="36">
        <f ca="1"/>
        <v>3</v>
      </c>
    </row>
    <row r="37" spans="2:12" ht="16.5" x14ac:dyDescent="0.45">
      <c r="B37" s="36" t="str">
        <f ca="1"/>
        <v>Jehu Rudeforth</v>
      </c>
      <c r="C37" s="36" t="str">
        <f ca="1"/>
        <v>Female</v>
      </c>
      <c r="D37" s="36">
        <f ca="1"/>
        <v>34</v>
      </c>
      <c r="E37" s="36" t="str">
        <f ca="1"/>
        <v>Average</v>
      </c>
      <c r="F37" s="36">
        <f ca="1"/>
        <v>44612</v>
      </c>
      <c r="G37" s="36" t="str">
        <f ca="1"/>
        <v>Finance</v>
      </c>
      <c r="H37" s="36">
        <f ca="1"/>
        <v>60130</v>
      </c>
      <c r="I37" s="36" t="str">
        <f ca="1"/>
        <v>NZ</v>
      </c>
      <c r="J37" s="36">
        <f ca="1"/>
        <v>2.3013698630136985</v>
      </c>
      <c r="K37" s="36">
        <f ca="1"/>
        <v>1804</v>
      </c>
      <c r="L37" s="36">
        <f ca="1"/>
        <v>3</v>
      </c>
    </row>
    <row r="38" spans="2:12" ht="16.5" x14ac:dyDescent="0.45">
      <c r="B38" s="36" t="str">
        <f ca="1"/>
        <v>Asija Pothireddy</v>
      </c>
      <c r="C38" s="36" t="str">
        <f ca="1"/>
        <v>Male</v>
      </c>
      <c r="D38" s="36">
        <f ca="1"/>
        <v>33</v>
      </c>
      <c r="E38" s="36" t="str">
        <f ca="1"/>
        <v>Average</v>
      </c>
      <c r="F38" s="36">
        <f ca="1"/>
        <v>44181</v>
      </c>
      <c r="G38" s="36" t="str">
        <f ca="1"/>
        <v>Finance</v>
      </c>
      <c r="H38" s="36">
        <f ca="1"/>
        <v>59430</v>
      </c>
      <c r="I38" s="36" t="str">
        <f ca="1"/>
        <v>IND</v>
      </c>
      <c r="J38" s="36">
        <f ca="1"/>
        <v>3.4821917808219176</v>
      </c>
      <c r="K38" s="36">
        <f ca="1"/>
        <v>1783</v>
      </c>
      <c r="L38" s="36">
        <f ca="1"/>
        <v>3</v>
      </c>
    </row>
    <row r="39" spans="2:12" ht="16.5" x14ac:dyDescent="0.45">
      <c r="B39" s="36" t="str">
        <f ca="1"/>
        <v>My Hanscome</v>
      </c>
      <c r="C39" s="36" t="str">
        <f ca="1"/>
        <v>Male</v>
      </c>
      <c r="D39" s="36">
        <f ca="1"/>
        <v>33</v>
      </c>
      <c r="E39" s="36" t="str">
        <f ca="1"/>
        <v>Average</v>
      </c>
      <c r="F39" s="36">
        <f ca="1"/>
        <v>44243</v>
      </c>
      <c r="G39" s="36" t="str">
        <f ca="1"/>
        <v>Finance</v>
      </c>
      <c r="H39" s="36">
        <f ca="1"/>
        <v>59430</v>
      </c>
      <c r="I39" s="36" t="str">
        <f ca="1"/>
        <v>NZ</v>
      </c>
      <c r="J39" s="36">
        <f ca="1"/>
        <v>3.3123287671232875</v>
      </c>
      <c r="K39" s="36">
        <f ca="1"/>
        <v>1783</v>
      </c>
      <c r="L39" s="36">
        <f ca="1"/>
        <v>3</v>
      </c>
    </row>
    <row r="40" spans="2:12" ht="16.5" x14ac:dyDescent="0.45">
      <c r="B40" s="36" t="str">
        <f ca="1"/>
        <v>Krittika Gaekwad</v>
      </c>
      <c r="C40" s="36" t="str">
        <f ca="1"/>
        <v>Female</v>
      </c>
      <c r="D40" s="36">
        <f ca="1"/>
        <v>34</v>
      </c>
      <c r="E40" s="36" t="str">
        <f ca="1"/>
        <v>Average</v>
      </c>
      <c r="F40" s="36">
        <f ca="1"/>
        <v>44594</v>
      </c>
      <c r="G40" s="36" t="str">
        <f ca="1"/>
        <v>Finance</v>
      </c>
      <c r="H40" s="36">
        <f ca="1"/>
        <v>58940</v>
      </c>
      <c r="I40" s="36" t="str">
        <f ca="1"/>
        <v>IND</v>
      </c>
      <c r="J40" s="36">
        <f ca="1"/>
        <v>2.3506849315068492</v>
      </c>
      <c r="K40" s="36">
        <f ca="1"/>
        <v>1769</v>
      </c>
      <c r="L40" s="36">
        <f ca="1"/>
        <v>3</v>
      </c>
    </row>
    <row r="41" spans="2:12" ht="16.5" x14ac:dyDescent="0.45">
      <c r="B41" s="36" t="str">
        <f ca="1"/>
        <v>Oby Sorrel</v>
      </c>
      <c r="C41" s="36" t="str">
        <f ca="1"/>
        <v>Female</v>
      </c>
      <c r="D41" s="36">
        <f ca="1"/>
        <v>34</v>
      </c>
      <c r="E41" s="36" t="str">
        <f ca="1"/>
        <v>Average</v>
      </c>
      <c r="F41" s="36">
        <f ca="1"/>
        <v>44653</v>
      </c>
      <c r="G41" s="36" t="str">
        <f ca="1"/>
        <v>Finance</v>
      </c>
      <c r="H41" s="36">
        <f ca="1"/>
        <v>58940</v>
      </c>
      <c r="I41" s="36" t="str">
        <f ca="1"/>
        <v>NZ</v>
      </c>
      <c r="J41" s="36">
        <f ca="1"/>
        <v>2.1890410958904107</v>
      </c>
      <c r="K41" s="36">
        <f ca="1"/>
        <v>1769</v>
      </c>
      <c r="L41" s="36">
        <f ca="1"/>
        <v>3</v>
      </c>
    </row>
    <row r="42" spans="2:12" ht="16.5" x14ac:dyDescent="0.45">
      <c r="B42" s="36" t="str">
        <f ca="1"/>
        <v>Gumwant Veera</v>
      </c>
      <c r="C42" s="36" t="str">
        <f ca="1"/>
        <v>Male</v>
      </c>
      <c r="D42" s="36">
        <f ca="1"/>
        <v>24</v>
      </c>
      <c r="E42" s="36" t="str">
        <f ca="1"/>
        <v>Poor</v>
      </c>
      <c r="F42" s="36">
        <f ca="1"/>
        <v>44375</v>
      </c>
      <c r="G42" s="36" t="str">
        <f ca="1"/>
        <v>Finance</v>
      </c>
      <c r="H42" s="36">
        <f ca="1"/>
        <v>52610</v>
      </c>
      <c r="I42" s="36" t="str">
        <f ca="1"/>
        <v>IND</v>
      </c>
      <c r="J42" s="36">
        <f ca="1"/>
        <v>2.9506849315068493</v>
      </c>
      <c r="K42" s="36">
        <f ca="1"/>
        <v>1579</v>
      </c>
      <c r="L42" s="36">
        <f ca="1"/>
        <v>2</v>
      </c>
    </row>
    <row r="43" spans="2:12" ht="16.5" x14ac:dyDescent="0.45">
      <c r="B43" s="36" t="str">
        <f ca="1"/>
        <v>Kaye Crocroft</v>
      </c>
      <c r="C43" s="36" t="str">
        <f ca="1"/>
        <v>Male</v>
      </c>
      <c r="D43" s="36">
        <f ca="1"/>
        <v>24</v>
      </c>
      <c r="E43" s="36" t="str">
        <f ca="1"/>
        <v>Poor</v>
      </c>
      <c r="F43" s="36">
        <f ca="1"/>
        <v>44436</v>
      </c>
      <c r="G43" s="36" t="str">
        <f ca="1"/>
        <v>Finance</v>
      </c>
      <c r="H43" s="36">
        <f ca="1"/>
        <v>52610</v>
      </c>
      <c r="I43" s="36" t="str">
        <f ca="1"/>
        <v>NZ</v>
      </c>
      <c r="J43" s="36">
        <f ca="1"/>
        <v>2.7835616438356166</v>
      </c>
      <c r="K43" s="36">
        <f ca="1"/>
        <v>1579</v>
      </c>
      <c r="L43" s="36">
        <f ca="1"/>
        <v>2</v>
      </c>
    </row>
    <row r="44" spans="2:12" ht="16.5" x14ac:dyDescent="0.45">
      <c r="B44" s="36" t="str">
        <f ca="1"/>
        <v>Vanmala Shriharsha</v>
      </c>
      <c r="C44" s="36" t="str">
        <f ca="1"/>
        <v>Male</v>
      </c>
      <c r="D44" s="36">
        <f ca="1"/>
        <v>27</v>
      </c>
      <c r="E44" s="36" t="str">
        <f ca="1"/>
        <v>Average</v>
      </c>
      <c r="F44" s="36">
        <f ca="1"/>
        <v>44506</v>
      </c>
      <c r="G44" s="36" t="str">
        <f ca="1"/>
        <v>Finance</v>
      </c>
      <c r="H44" s="36">
        <f ca="1"/>
        <v>48980</v>
      </c>
      <c r="I44" s="36" t="str">
        <f ca="1"/>
        <v>IND</v>
      </c>
      <c r="J44" s="36">
        <f ca="1"/>
        <v>2.591780821917808</v>
      </c>
      <c r="K44" s="36">
        <f ca="1"/>
        <v>1470</v>
      </c>
      <c r="L44" s="36">
        <f ca="1"/>
        <v>3</v>
      </c>
    </row>
    <row r="45" spans="2:12" ht="16.5" x14ac:dyDescent="0.45">
      <c r="B45" s="36" t="str">
        <f ca="1"/>
        <v>Esmaria Denecamp</v>
      </c>
      <c r="C45" s="36" t="str">
        <f ca="1"/>
        <v>Male</v>
      </c>
      <c r="D45" s="36">
        <f ca="1"/>
        <v>27</v>
      </c>
      <c r="E45" s="36" t="str">
        <f ca="1"/>
        <v>Average</v>
      </c>
      <c r="F45" s="36">
        <f ca="1"/>
        <v>44567</v>
      </c>
      <c r="G45" s="36" t="str">
        <f ca="1"/>
        <v>Finance</v>
      </c>
      <c r="H45" s="36">
        <f ca="1"/>
        <v>48980</v>
      </c>
      <c r="I45" s="36" t="str">
        <f ca="1"/>
        <v>NZ</v>
      </c>
      <c r="J45" s="36">
        <f ca="1"/>
        <v>2.4246575342465753</v>
      </c>
      <c r="K45" s="36">
        <f ca="1"/>
        <v>1470</v>
      </c>
      <c r="L45" s="36">
        <f ca="1"/>
        <v>3</v>
      </c>
    </row>
    <row r="46" spans="2:12" ht="16.5" x14ac:dyDescent="0.45">
      <c r="B46" s="36" t="str">
        <f ca="1"/>
        <v>Ardhendu Abhichandra Jayakar</v>
      </c>
      <c r="C46" s="36" t="str">
        <f ca="1"/>
        <v>Male</v>
      </c>
      <c r="D46" s="36">
        <f ca="1"/>
        <v>28</v>
      </c>
      <c r="E46" s="36" t="str">
        <f ca="1"/>
        <v>Above average</v>
      </c>
      <c r="F46" s="36">
        <f ca="1"/>
        <v>43980</v>
      </c>
      <c r="G46" s="36" t="str">
        <f ca="1"/>
        <v>Finance</v>
      </c>
      <c r="H46" s="36">
        <f ca="1"/>
        <v>48170</v>
      </c>
      <c r="I46" s="36" t="str">
        <f ca="1"/>
        <v>IND</v>
      </c>
      <c r="J46" s="36">
        <f ca="1"/>
        <v>4.0328767123287674</v>
      </c>
      <c r="K46" s="36">
        <f ca="1"/>
        <v>1446</v>
      </c>
      <c r="L46" s="36">
        <f ca="1"/>
        <v>4</v>
      </c>
    </row>
    <row r="47" spans="2:12" ht="16.5" x14ac:dyDescent="0.45">
      <c r="B47" s="36" t="str">
        <f ca="1"/>
        <v>Jan Morforth</v>
      </c>
      <c r="C47" s="36" t="str">
        <f ca="1"/>
        <v>Male</v>
      </c>
      <c r="D47" s="36">
        <f ca="1"/>
        <v>28</v>
      </c>
      <c r="E47" s="36" t="str">
        <f ca="1"/>
        <v>Above average</v>
      </c>
      <c r="F47" s="36">
        <f ca="1"/>
        <v>44041</v>
      </c>
      <c r="G47" s="36" t="str">
        <f ca="1"/>
        <v>Finance</v>
      </c>
      <c r="H47" s="36">
        <f ca="1"/>
        <v>48170</v>
      </c>
      <c r="I47" s="36" t="str">
        <f ca="1"/>
        <v>NZ</v>
      </c>
      <c r="J47" s="36">
        <f ca="1"/>
        <v>3.8657534246575342</v>
      </c>
      <c r="K47" s="36">
        <f ca="1"/>
        <v>1446</v>
      </c>
      <c r="L47" s="36">
        <f ca="1"/>
        <v>4</v>
      </c>
    </row>
    <row r="48" spans="2:12" ht="16.5" x14ac:dyDescent="0.45">
      <c r="B48" s="36"/>
      <c r="C48" s="36"/>
      <c r="D48" s="36"/>
      <c r="E48" s="36"/>
      <c r="F48" s="36"/>
      <c r="G48" s="36"/>
      <c r="H48" s="36"/>
      <c r="I48" s="36"/>
      <c r="J48" s="36"/>
      <c r="K48" s="36"/>
      <c r="L48" s="36"/>
    </row>
    <row r="49" spans="2:12" ht="16.5" x14ac:dyDescent="0.45">
      <c r="B49" s="36"/>
      <c r="C49" s="36"/>
      <c r="D49" s="36"/>
      <c r="E49" s="36"/>
      <c r="F49" s="36"/>
      <c r="G49" s="36"/>
      <c r="H49" s="36"/>
      <c r="I49" s="36"/>
      <c r="J49" s="36"/>
      <c r="K49" s="36"/>
      <c r="L49" s="36"/>
    </row>
    <row r="50" spans="2:12" ht="16.5" x14ac:dyDescent="0.45">
      <c r="B50" s="36"/>
      <c r="C50" s="36"/>
      <c r="D50" s="36"/>
      <c r="E50" s="36"/>
      <c r="F50" s="36"/>
      <c r="G50" s="36"/>
      <c r="H50" s="36"/>
      <c r="I50" s="36"/>
      <c r="J50" s="36"/>
      <c r="K50" s="36"/>
      <c r="L50" s="36"/>
    </row>
    <row r="51" spans="2:12" ht="16.5" x14ac:dyDescent="0.45">
      <c r="B51" s="36"/>
      <c r="C51" s="36"/>
      <c r="D51" s="36"/>
      <c r="E51" s="36"/>
      <c r="F51" s="36"/>
      <c r="G51" s="36"/>
      <c r="H51" s="36"/>
      <c r="I51" s="36"/>
      <c r="J51" s="36"/>
      <c r="K51" s="36"/>
      <c r="L51" s="36"/>
    </row>
    <row r="52" spans="2:12" ht="16.5" x14ac:dyDescent="0.45">
      <c r="B52" s="36"/>
      <c r="C52" s="36"/>
      <c r="D52" s="36"/>
      <c r="E52" s="36"/>
      <c r="F52" s="36"/>
      <c r="G52" s="36"/>
      <c r="H52" s="36"/>
      <c r="I52" s="36"/>
      <c r="J52" s="36"/>
      <c r="K52" s="36"/>
      <c r="L52" s="36"/>
    </row>
    <row r="53" spans="2:12" ht="16.5" x14ac:dyDescent="0.45">
      <c r="B53" s="36"/>
      <c r="C53" s="36"/>
      <c r="D53" s="36"/>
      <c r="E53" s="36"/>
      <c r="F53" s="36"/>
      <c r="G53" s="36"/>
      <c r="H53" s="36"/>
      <c r="I53" s="36"/>
      <c r="J53" s="36"/>
      <c r="K53" s="36"/>
      <c r="L53" s="36"/>
    </row>
    <row r="54" spans="2:12" ht="16.5" x14ac:dyDescent="0.45">
      <c r="B54" s="36"/>
      <c r="C54" s="36"/>
      <c r="D54" s="36"/>
      <c r="E54" s="36"/>
      <c r="F54" s="36"/>
      <c r="G54" s="36"/>
      <c r="H54" s="36"/>
      <c r="I54" s="36"/>
      <c r="J54" s="36"/>
      <c r="K54" s="36"/>
      <c r="L54" s="36"/>
    </row>
    <row r="55" spans="2:12" ht="16.5" x14ac:dyDescent="0.45">
      <c r="B55" s="36"/>
      <c r="C55" s="36"/>
      <c r="D55" s="36"/>
      <c r="E55" s="36"/>
      <c r="F55" s="36"/>
      <c r="G55" s="36"/>
      <c r="H55" s="36"/>
      <c r="I55" s="36"/>
      <c r="J55" s="36"/>
      <c r="K55" s="36"/>
      <c r="L55" s="36"/>
    </row>
    <row r="56" spans="2:12" ht="16.5" x14ac:dyDescent="0.45">
      <c r="B56" s="36"/>
      <c r="C56" s="36"/>
      <c r="D56" s="36"/>
      <c r="E56" s="36"/>
      <c r="F56" s="36"/>
      <c r="G56" s="36"/>
      <c r="H56" s="36"/>
      <c r="I56" s="36"/>
      <c r="J56" s="36"/>
      <c r="K56" s="36"/>
      <c r="L56" s="36"/>
    </row>
    <row r="57" spans="2:12" ht="16.5" x14ac:dyDescent="0.45">
      <c r="B57" s="36"/>
      <c r="C57" s="36"/>
      <c r="D57" s="36"/>
      <c r="E57" s="36"/>
      <c r="F57" s="36"/>
      <c r="G57" s="36"/>
      <c r="H57" s="36"/>
      <c r="I57" s="36"/>
      <c r="J57" s="36"/>
      <c r="K57" s="36"/>
      <c r="L57" s="36"/>
    </row>
    <row r="58" spans="2:12" ht="16.5" x14ac:dyDescent="0.45">
      <c r="B58" s="36"/>
      <c r="C58" s="36"/>
      <c r="D58" s="36"/>
      <c r="E58" s="36"/>
      <c r="F58" s="36"/>
      <c r="G58" s="36"/>
      <c r="H58" s="36"/>
      <c r="I58" s="36"/>
      <c r="J58" s="36"/>
      <c r="K58" s="36"/>
      <c r="L58" s="36"/>
    </row>
    <row r="59" spans="2:12" ht="16.5" x14ac:dyDescent="0.45">
      <c r="B59" s="36"/>
      <c r="C59" s="36"/>
      <c r="D59" s="36"/>
      <c r="E59" s="36"/>
      <c r="F59" s="36"/>
      <c r="G59" s="36"/>
      <c r="H59" s="36"/>
      <c r="I59" s="36"/>
      <c r="J59" s="36"/>
      <c r="K59" s="36"/>
      <c r="L59" s="36"/>
    </row>
    <row r="60" spans="2:12" ht="16.5" x14ac:dyDescent="0.45">
      <c r="B60" s="36"/>
      <c r="C60" s="36"/>
      <c r="D60" s="36"/>
      <c r="E60" s="36"/>
      <c r="F60" s="36"/>
      <c r="G60" s="36"/>
      <c r="H60" s="36"/>
      <c r="I60" s="36"/>
      <c r="J60" s="36"/>
      <c r="K60" s="36"/>
      <c r="L60" s="36"/>
    </row>
    <row r="61" spans="2:12" ht="16.5" x14ac:dyDescent="0.45">
      <c r="B61" s="36"/>
      <c r="C61" s="36"/>
      <c r="D61" s="36"/>
      <c r="E61" s="36"/>
      <c r="F61" s="36"/>
      <c r="G61" s="36"/>
      <c r="H61" s="36"/>
      <c r="I61" s="36"/>
      <c r="J61" s="36"/>
      <c r="K61" s="36"/>
      <c r="L61" s="36"/>
    </row>
    <row r="62" spans="2:12" ht="16.5" x14ac:dyDescent="0.45">
      <c r="B62" s="36"/>
      <c r="C62" s="36"/>
      <c r="D62" s="36"/>
      <c r="E62" s="36"/>
      <c r="F62" s="36"/>
      <c r="G62" s="36"/>
      <c r="H62" s="36"/>
      <c r="I62" s="36"/>
      <c r="J62" s="36"/>
      <c r="K62" s="36"/>
      <c r="L62" s="36"/>
    </row>
    <row r="63" spans="2:12" ht="16.5" x14ac:dyDescent="0.45">
      <c r="B63" s="37"/>
      <c r="C63" s="37"/>
      <c r="D63" s="37"/>
      <c r="E63" s="37"/>
      <c r="F63" s="37"/>
      <c r="G63" s="37"/>
      <c r="H63" s="37"/>
      <c r="I63" s="37"/>
      <c r="J63" s="37"/>
      <c r="K63" s="37"/>
      <c r="L63" s="37"/>
    </row>
  </sheetData>
  <mergeCells count="3">
    <mergeCell ref="C4:L4"/>
    <mergeCell ref="E6:F6"/>
    <mergeCell ref="K6:L6"/>
  </mergeCells>
  <dataValidations count="1">
    <dataValidation type="list" allowBlank="1" showInputMessage="1" showErrorMessage="1" sqref="E6" xr:uid="{37B14F88-4B8A-4B24-A255-260CD4F0B6DB}">
      <formula1>$Q$4:$Q$9</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6E475-3AB8-41E9-8F12-9E2A98D2B942}">
  <sheetPr>
    <tabColor theme="4" tint="-0.249977111117893"/>
  </sheetPr>
  <dimension ref="C5:E14"/>
  <sheetViews>
    <sheetView showGridLines="0" workbookViewId="0">
      <selection activeCell="I9" sqref="I9"/>
    </sheetView>
  </sheetViews>
  <sheetFormatPr defaultRowHeight="14.5" x14ac:dyDescent="0.35"/>
  <cols>
    <col min="3" max="3" width="16.1796875" bestFit="1" customWidth="1"/>
    <col min="4" max="4" width="15.26953125" bestFit="1" customWidth="1"/>
    <col min="5" max="5" width="9.81640625" bestFit="1" customWidth="1"/>
    <col min="6" max="6" width="10.7265625" bestFit="1" customWidth="1"/>
    <col min="7" max="7" width="13.453125" bestFit="1" customWidth="1"/>
    <col min="8" max="8" width="15.26953125" bestFit="1" customWidth="1"/>
    <col min="9" max="9" width="18.36328125" bestFit="1" customWidth="1"/>
    <col min="10" max="10" width="18.1796875" bestFit="1" customWidth="1"/>
  </cols>
  <sheetData>
    <row r="5" spans="3:5" ht="15" thickBot="1" x14ac:dyDescent="0.4"/>
    <row r="6" spans="3:5" ht="25.5" thickBot="1" x14ac:dyDescent="0.75">
      <c r="C6" s="6">
        <v>4</v>
      </c>
      <c r="D6" s="39" t="s">
        <v>218</v>
      </c>
      <c r="E6" s="40"/>
    </row>
    <row r="9" spans="3:5" x14ac:dyDescent="0.35">
      <c r="D9" s="7" t="s">
        <v>219</v>
      </c>
    </row>
    <row r="10" spans="3:5" x14ac:dyDescent="0.35">
      <c r="C10" s="7" t="s">
        <v>223</v>
      </c>
      <c r="D10" t="s">
        <v>8</v>
      </c>
      <c r="E10" t="s">
        <v>15</v>
      </c>
    </row>
    <row r="11" spans="3:5" x14ac:dyDescent="0.35">
      <c r="C11" s="5" t="s">
        <v>245</v>
      </c>
      <c r="D11" s="47">
        <v>86</v>
      </c>
      <c r="E11" s="47">
        <v>89</v>
      </c>
    </row>
    <row r="12" spans="3:5" x14ac:dyDescent="0.35">
      <c r="C12" s="5" t="s">
        <v>222</v>
      </c>
      <c r="D12" s="4">
        <v>31.406976744186046</v>
      </c>
      <c r="E12" s="4">
        <v>29.393258426966291</v>
      </c>
    </row>
    <row r="13" spans="3:5" x14ac:dyDescent="0.35">
      <c r="C13" s="5" t="s">
        <v>224</v>
      </c>
      <c r="D13" s="8">
        <v>78284.186046511633</v>
      </c>
      <c r="E13" s="8">
        <v>74915.168539325838</v>
      </c>
    </row>
    <row r="14" spans="3:5" x14ac:dyDescent="0.35">
      <c r="C14" s="5" t="s">
        <v>225</v>
      </c>
      <c r="D14" s="4">
        <v>2.7860465116279074</v>
      </c>
      <c r="E14" s="4">
        <v>2.7769432045559492</v>
      </c>
    </row>
  </sheetData>
  <mergeCells count="1">
    <mergeCell ref="D6:E6"/>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9CA21-4FD2-42CA-95FE-0FEE131A2846}">
  <sheetPr>
    <tabColor theme="4" tint="-0.249977111117893"/>
  </sheetPr>
  <dimension ref="B5:P7"/>
  <sheetViews>
    <sheetView showGridLines="0" workbookViewId="0">
      <selection activeCell="S25" sqref="S25"/>
    </sheetView>
  </sheetViews>
  <sheetFormatPr defaultRowHeight="14.5" x14ac:dyDescent="0.35"/>
  <sheetData>
    <row r="5" spans="2:16" ht="15" thickBot="1" x14ac:dyDescent="0.4"/>
    <row r="6" spans="2:16" ht="25.5" thickBot="1" x14ac:dyDescent="0.75">
      <c r="B6" s="38">
        <v>5</v>
      </c>
      <c r="C6" s="42" t="s">
        <v>227</v>
      </c>
      <c r="D6" s="43"/>
      <c r="E6" s="43"/>
      <c r="F6" s="43"/>
      <c r="G6" s="43"/>
      <c r="H6" s="43"/>
      <c r="I6" s="43"/>
      <c r="J6" s="43"/>
      <c r="K6" s="43"/>
      <c r="L6" s="43"/>
      <c r="M6" s="43"/>
      <c r="N6" s="43"/>
      <c r="O6" s="43"/>
      <c r="P6" s="44"/>
    </row>
    <row r="7" spans="2:16" ht="25" x14ac:dyDescent="0.7">
      <c r="B7" s="32"/>
      <c r="C7" s="32"/>
      <c r="D7" s="32"/>
      <c r="E7" s="32"/>
      <c r="F7" s="32"/>
      <c r="G7" s="32"/>
      <c r="H7" s="32"/>
      <c r="I7" s="32"/>
      <c r="J7" s="32"/>
      <c r="K7" s="32"/>
      <c r="L7" s="32"/>
      <c r="M7" s="32"/>
      <c r="N7" s="32"/>
      <c r="O7" s="32"/>
      <c r="P7" s="32"/>
    </row>
  </sheetData>
  <mergeCells count="1">
    <mergeCell ref="C6:P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5EB65-DDF3-476D-9A63-7C2D1F8D822D}">
  <sheetPr>
    <tabColor theme="4" tint="-0.249977111117893"/>
  </sheetPr>
  <dimension ref="B3:L38"/>
  <sheetViews>
    <sheetView showGridLines="0" workbookViewId="0">
      <selection activeCell="O13" sqref="O13"/>
    </sheetView>
  </sheetViews>
  <sheetFormatPr defaultRowHeight="14.5" x14ac:dyDescent="0.35"/>
  <cols>
    <col min="2" max="2" width="13.1796875" bestFit="1" customWidth="1"/>
    <col min="3" max="3" width="13.54296875" bestFit="1" customWidth="1"/>
    <col min="4" max="4" width="15.26953125" bestFit="1" customWidth="1"/>
    <col min="12" max="12" width="13.36328125" customWidth="1"/>
  </cols>
  <sheetData>
    <row r="3" spans="2:12" ht="15" thickBot="1" x14ac:dyDescent="0.4"/>
    <row r="4" spans="2:12" ht="25.5" thickBot="1" x14ac:dyDescent="0.75">
      <c r="B4" s="38">
        <v>6</v>
      </c>
      <c r="C4" s="42" t="s">
        <v>246</v>
      </c>
      <c r="D4" s="43"/>
      <c r="E4" s="43"/>
      <c r="F4" s="43"/>
      <c r="G4" s="43"/>
      <c r="H4" s="43"/>
      <c r="I4" s="43"/>
      <c r="J4" s="43"/>
      <c r="K4" s="43"/>
      <c r="L4" s="44"/>
    </row>
    <row r="6" spans="2:12" x14ac:dyDescent="0.35">
      <c r="B6" s="7" t="s">
        <v>231</v>
      </c>
      <c r="C6" t="s">
        <v>221</v>
      </c>
      <c r="D6" t="s">
        <v>224</v>
      </c>
    </row>
    <row r="7" spans="2:12" x14ac:dyDescent="0.35">
      <c r="B7" s="5" t="s">
        <v>10</v>
      </c>
      <c r="C7">
        <v>4</v>
      </c>
      <c r="D7" s="9">
        <v>92080</v>
      </c>
    </row>
    <row r="8" spans="2:12" x14ac:dyDescent="0.35">
      <c r="B8" s="5" t="s">
        <v>13</v>
      </c>
      <c r="C8">
        <v>20</v>
      </c>
      <c r="D8" s="9">
        <v>75933</v>
      </c>
    </row>
    <row r="9" spans="2:12" x14ac:dyDescent="0.35">
      <c r="B9" s="5" t="s">
        <v>16</v>
      </c>
      <c r="C9">
        <v>137</v>
      </c>
      <c r="D9" s="9">
        <v>76798.759124087592</v>
      </c>
    </row>
    <row r="10" spans="2:12" x14ac:dyDescent="0.35">
      <c r="B10" s="5" t="s">
        <v>24</v>
      </c>
      <c r="C10">
        <v>16</v>
      </c>
      <c r="D10" s="9">
        <v>78115</v>
      </c>
    </row>
    <row r="11" spans="2:12" x14ac:dyDescent="0.35">
      <c r="B11" s="5" t="s">
        <v>42</v>
      </c>
      <c r="C11">
        <v>6</v>
      </c>
      <c r="D11" s="9">
        <v>77423.333333333328</v>
      </c>
    </row>
    <row r="12" spans="2:12" x14ac:dyDescent="0.35">
      <c r="B12" s="5" t="s">
        <v>220</v>
      </c>
      <c r="C12">
        <v>183</v>
      </c>
      <c r="D12" s="9">
        <v>77173.715846994543</v>
      </c>
    </row>
    <row r="34" spans="2:3" x14ac:dyDescent="0.35">
      <c r="B34" s="5" t="s">
        <v>10</v>
      </c>
      <c r="C34">
        <v>5</v>
      </c>
    </row>
    <row r="35" spans="2:3" x14ac:dyDescent="0.35">
      <c r="B35" s="5" t="s">
        <v>13</v>
      </c>
      <c r="C35">
        <v>4</v>
      </c>
    </row>
    <row r="36" spans="2:3" x14ac:dyDescent="0.35">
      <c r="B36" s="5" t="s">
        <v>16</v>
      </c>
      <c r="C36">
        <v>3</v>
      </c>
    </row>
    <row r="37" spans="2:3" x14ac:dyDescent="0.35">
      <c r="B37" s="5" t="s">
        <v>24</v>
      </c>
      <c r="C37">
        <v>2</v>
      </c>
    </row>
    <row r="38" spans="2:3" x14ac:dyDescent="0.35">
      <c r="B38" s="5" t="s">
        <v>42</v>
      </c>
      <c r="C38">
        <v>1</v>
      </c>
    </row>
  </sheetData>
  <mergeCells count="1">
    <mergeCell ref="C4:L4"/>
  </mergeCells>
  <conditionalFormatting pivot="1" sqref="D7:D11">
    <cfRule type="dataBar" priority="1">
      <dataBar>
        <cfvo type="min"/>
        <cfvo type="max"/>
        <color rgb="FF638EC6"/>
      </dataBar>
      <extLst>
        <ext xmlns:x14="http://schemas.microsoft.com/office/spreadsheetml/2009/9/main" uri="{B025F937-C7B1-47D3-B67F-A62EFF666E3E}">
          <x14:id>{2FE58363-1361-435D-8635-3D243808F00A}</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2FE58363-1361-435D-8635-3D243808F00A}">
            <x14:dataBar minLength="0" maxLength="100" border="1" negativeBarBorderColorSameAsPositive="0">
              <x14:cfvo type="autoMin"/>
              <x14:cfvo type="autoMax"/>
              <x14:borderColor rgb="FF638EC6"/>
              <x14:negativeFillColor rgb="FFFF0000"/>
              <x14:negativeBorderColor rgb="FFFF0000"/>
              <x14:axisColor rgb="FF000000"/>
            </x14:dataBar>
          </x14:cfRule>
          <xm:sqref>D7:D11</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9EBB5-0893-4742-B6C8-5F811CEFDC27}">
  <sheetPr>
    <tabColor theme="4" tint="-0.249977111117893"/>
  </sheetPr>
  <dimension ref="B2:L42"/>
  <sheetViews>
    <sheetView showGridLines="0" zoomScale="99" zoomScaleNormal="99" workbookViewId="0">
      <selection activeCell="N11" sqref="N11"/>
    </sheetView>
  </sheetViews>
  <sheetFormatPr defaultRowHeight="14.5" x14ac:dyDescent="0.35"/>
  <cols>
    <col min="2" max="2" width="12.453125" bestFit="1" customWidth="1"/>
    <col min="3" max="3" width="13.6328125" bestFit="1" customWidth="1"/>
    <col min="12" max="12" width="12.90625" customWidth="1"/>
    <col min="16" max="16" width="9.54296875" customWidth="1"/>
    <col min="17" max="17" width="12.54296875" customWidth="1"/>
    <col min="18" max="18" width="14.1796875" customWidth="1"/>
  </cols>
  <sheetData>
    <row r="2" spans="2:12" ht="15" thickBot="1" x14ac:dyDescent="0.4"/>
    <row r="3" spans="2:12" ht="25.5" thickBot="1" x14ac:dyDescent="0.75">
      <c r="B3" s="38">
        <v>7</v>
      </c>
      <c r="C3" s="42" t="s">
        <v>247</v>
      </c>
      <c r="D3" s="43"/>
      <c r="E3" s="43"/>
      <c r="F3" s="43"/>
      <c r="G3" s="43"/>
      <c r="H3" s="43"/>
      <c r="I3" s="43"/>
      <c r="J3" s="44"/>
    </row>
    <row r="4" spans="2:12" ht="25" x14ac:dyDescent="0.7">
      <c r="B4" s="55"/>
      <c r="C4" s="54"/>
      <c r="D4" s="54"/>
      <c r="E4" s="54"/>
      <c r="F4" s="54"/>
      <c r="G4" s="54"/>
      <c r="H4" s="54"/>
      <c r="I4" s="54"/>
    </row>
    <row r="6" spans="2:12" x14ac:dyDescent="0.35">
      <c r="I6" s="56"/>
      <c r="J6" s="56" t="s">
        <v>236</v>
      </c>
      <c r="K6" s="56" t="s">
        <v>237</v>
      </c>
      <c r="L6" s="56" t="s">
        <v>238</v>
      </c>
    </row>
    <row r="7" spans="2:12" x14ac:dyDescent="0.35">
      <c r="I7" s="56" cm="1">
        <f t="array" ref="I7:I42">_xlfn.SEQUENCE(36)</f>
        <v>1</v>
      </c>
      <c r="J7" s="57" cm="1">
        <f t="array" ref="J7:J42">EDATE(DATE(2020,4,1),_xlfn.ANCHORARRAY(I7)+0)</f>
        <v>43952</v>
      </c>
      <c r="K7" s="56">
        <f>COUNTIFS(Staff[Date Joined],"&gt;="&amp;J7,Staff[Date Joined],"&lt;="&amp;EOMONTH(J7,0))</f>
        <v>3</v>
      </c>
      <c r="L7" s="58">
        <f>SUM($K$7:K7)</f>
        <v>3</v>
      </c>
    </row>
    <row r="8" spans="2:12" x14ac:dyDescent="0.35">
      <c r="I8" s="56">
        <v>2</v>
      </c>
      <c r="J8" s="57">
        <v>43983</v>
      </c>
      <c r="K8" s="56">
        <f>COUNTIFS(Staff[Date Joined],"&gt;="&amp;J8,Staff[Date Joined],"&lt;="&amp;EOMONTH(J8,0))</f>
        <v>1</v>
      </c>
      <c r="L8" s="58">
        <f>SUM($K$7:K8)</f>
        <v>4</v>
      </c>
    </row>
    <row r="9" spans="2:12" x14ac:dyDescent="0.35">
      <c r="I9" s="56">
        <v>3</v>
      </c>
      <c r="J9" s="57">
        <v>44013</v>
      </c>
      <c r="K9" s="56">
        <f>COUNTIFS(Staff[Date Joined],"&gt;="&amp;J9,Staff[Date Joined],"&lt;="&amp;EOMONTH(J9,0))</f>
        <v>5</v>
      </c>
      <c r="L9" s="58">
        <f>SUM($K$7:K9)</f>
        <v>9</v>
      </c>
    </row>
    <row r="10" spans="2:12" x14ac:dyDescent="0.35">
      <c r="I10" s="56">
        <v>4</v>
      </c>
      <c r="J10" s="57">
        <v>44044</v>
      </c>
      <c r="K10" s="56">
        <f>COUNTIFS(Staff[Date Joined],"&gt;="&amp;J10,Staff[Date Joined],"&lt;="&amp;EOMONTH(J10,0))</f>
        <v>3</v>
      </c>
      <c r="L10" s="58">
        <f>SUM($K$7:K10)</f>
        <v>12</v>
      </c>
    </row>
    <row r="11" spans="2:12" x14ac:dyDescent="0.35">
      <c r="I11" s="56">
        <v>5</v>
      </c>
      <c r="J11" s="57">
        <v>44075</v>
      </c>
      <c r="K11" s="56">
        <f>COUNTIFS(Staff[Date Joined],"&gt;="&amp;J11,Staff[Date Joined],"&lt;="&amp;EOMONTH(J11,0))</f>
        <v>6</v>
      </c>
      <c r="L11" s="58">
        <f>SUM($K$7:K11)</f>
        <v>18</v>
      </c>
    </row>
    <row r="12" spans="2:12" x14ac:dyDescent="0.35">
      <c r="I12" s="56">
        <v>6</v>
      </c>
      <c r="J12" s="57">
        <v>44105</v>
      </c>
      <c r="K12" s="56">
        <f>COUNTIFS(Staff[Date Joined],"&gt;="&amp;J12,Staff[Date Joined],"&lt;="&amp;EOMONTH(J12,0))</f>
        <v>6</v>
      </c>
      <c r="L12" s="58">
        <f>SUM($K$7:K12)</f>
        <v>24</v>
      </c>
    </row>
    <row r="13" spans="2:12" x14ac:dyDescent="0.35">
      <c r="I13" s="56">
        <v>7</v>
      </c>
      <c r="J13" s="57">
        <v>44136</v>
      </c>
      <c r="K13" s="56">
        <f>COUNTIFS(Staff[Date Joined],"&gt;="&amp;J13,Staff[Date Joined],"&lt;="&amp;EOMONTH(J13,0))</f>
        <v>6</v>
      </c>
      <c r="L13" s="58">
        <f>SUM($K$7:K13)</f>
        <v>30</v>
      </c>
    </row>
    <row r="14" spans="2:12" x14ac:dyDescent="0.35">
      <c r="I14" s="56">
        <v>8</v>
      </c>
      <c r="J14" s="57">
        <v>44166</v>
      </c>
      <c r="K14" s="56">
        <f>COUNTIFS(Staff[Date Joined],"&gt;="&amp;J14,Staff[Date Joined],"&lt;="&amp;EOMONTH(J14,0))</f>
        <v>7</v>
      </c>
      <c r="L14" s="58">
        <f>SUM($K$7:K14)</f>
        <v>37</v>
      </c>
    </row>
    <row r="15" spans="2:12" x14ac:dyDescent="0.35">
      <c r="I15" s="56">
        <v>9</v>
      </c>
      <c r="J15" s="57">
        <v>44197</v>
      </c>
      <c r="K15" s="56">
        <f>COUNTIFS(Staff[Date Joined],"&gt;="&amp;J15,Staff[Date Joined],"&lt;="&amp;EOMONTH(J15,0))</f>
        <v>6</v>
      </c>
      <c r="L15" s="58">
        <f>SUM($K$7:K15)</f>
        <v>43</v>
      </c>
    </row>
    <row r="16" spans="2:12" x14ac:dyDescent="0.35">
      <c r="I16" s="56">
        <v>10</v>
      </c>
      <c r="J16" s="57">
        <v>44228</v>
      </c>
      <c r="K16" s="56">
        <f>COUNTIFS(Staff[Date Joined],"&gt;="&amp;J16,Staff[Date Joined],"&lt;="&amp;EOMONTH(J16,0))</f>
        <v>4</v>
      </c>
      <c r="L16" s="58">
        <f>SUM($K$7:K16)</f>
        <v>47</v>
      </c>
    </row>
    <row r="17" spans="9:12" x14ac:dyDescent="0.35">
      <c r="I17" s="56">
        <v>11</v>
      </c>
      <c r="J17" s="57">
        <v>44256</v>
      </c>
      <c r="K17" s="56">
        <f>COUNTIFS(Staff[Date Joined],"&gt;="&amp;J17,Staff[Date Joined],"&lt;="&amp;EOMONTH(J17,0))</f>
        <v>9</v>
      </c>
      <c r="L17" s="58">
        <f>SUM($K$7:K17)</f>
        <v>56</v>
      </c>
    </row>
    <row r="18" spans="9:12" x14ac:dyDescent="0.35">
      <c r="I18" s="56">
        <v>12</v>
      </c>
      <c r="J18" s="57">
        <v>44287</v>
      </c>
      <c r="K18" s="56">
        <f>COUNTIFS(Staff[Date Joined],"&gt;="&amp;J18,Staff[Date Joined],"&lt;="&amp;EOMONTH(J18,0))</f>
        <v>5</v>
      </c>
      <c r="L18" s="58">
        <f>SUM($K$7:K18)</f>
        <v>61</v>
      </c>
    </row>
    <row r="19" spans="9:12" x14ac:dyDescent="0.35">
      <c r="I19" s="56">
        <v>13</v>
      </c>
      <c r="J19" s="57">
        <v>44317</v>
      </c>
      <c r="K19" s="56">
        <f>COUNTIFS(Staff[Date Joined],"&gt;="&amp;J19,Staff[Date Joined],"&lt;="&amp;EOMONTH(J19,0))</f>
        <v>10</v>
      </c>
      <c r="L19" s="58">
        <f>SUM($K$7:K19)</f>
        <v>71</v>
      </c>
    </row>
    <row r="20" spans="9:12" x14ac:dyDescent="0.35">
      <c r="I20" s="56">
        <v>14</v>
      </c>
      <c r="J20" s="57">
        <v>44348</v>
      </c>
      <c r="K20" s="56">
        <f>COUNTIFS(Staff[Date Joined],"&gt;="&amp;J20,Staff[Date Joined],"&lt;="&amp;EOMONTH(J20,0))</f>
        <v>6</v>
      </c>
      <c r="L20" s="58">
        <f>SUM($K$7:K20)</f>
        <v>77</v>
      </c>
    </row>
    <row r="21" spans="9:12" x14ac:dyDescent="0.35">
      <c r="I21" s="56">
        <v>15</v>
      </c>
      <c r="J21" s="57">
        <v>44378</v>
      </c>
      <c r="K21" s="56">
        <f>COUNTIFS(Staff[Date Joined],"&gt;="&amp;J21,Staff[Date Joined],"&lt;="&amp;EOMONTH(J21,0))</f>
        <v>13</v>
      </c>
      <c r="L21" s="58">
        <f>SUM($K$7:K21)</f>
        <v>90</v>
      </c>
    </row>
    <row r="22" spans="9:12" x14ac:dyDescent="0.35">
      <c r="I22" s="56">
        <v>16</v>
      </c>
      <c r="J22" s="57">
        <v>44409</v>
      </c>
      <c r="K22" s="56">
        <f>COUNTIFS(Staff[Date Joined],"&gt;="&amp;J22,Staff[Date Joined],"&lt;="&amp;EOMONTH(J22,0))</f>
        <v>4</v>
      </c>
      <c r="L22" s="58">
        <f>SUM($K$7:K22)</f>
        <v>94</v>
      </c>
    </row>
    <row r="23" spans="9:12" x14ac:dyDescent="0.35">
      <c r="I23" s="56">
        <v>17</v>
      </c>
      <c r="J23" s="57">
        <v>44440</v>
      </c>
      <c r="K23" s="56">
        <f>COUNTIFS(Staff[Date Joined],"&gt;="&amp;J23,Staff[Date Joined],"&lt;="&amp;EOMONTH(J23,0))</f>
        <v>11</v>
      </c>
      <c r="L23" s="58">
        <f>SUM($K$7:K23)</f>
        <v>105</v>
      </c>
    </row>
    <row r="24" spans="9:12" x14ac:dyDescent="0.35">
      <c r="I24" s="56">
        <v>18</v>
      </c>
      <c r="J24" s="57">
        <v>44470</v>
      </c>
      <c r="K24" s="56">
        <f>COUNTIFS(Staff[Date Joined],"&gt;="&amp;J24,Staff[Date Joined],"&lt;="&amp;EOMONTH(J24,0))</f>
        <v>3</v>
      </c>
      <c r="L24" s="58">
        <f>SUM($K$7:K24)</f>
        <v>108</v>
      </c>
    </row>
    <row r="25" spans="9:12" x14ac:dyDescent="0.35">
      <c r="I25" s="56">
        <v>19</v>
      </c>
      <c r="J25" s="57">
        <v>44501</v>
      </c>
      <c r="K25" s="56">
        <f>COUNTIFS(Staff[Date Joined],"&gt;="&amp;J25,Staff[Date Joined],"&lt;="&amp;EOMONTH(J25,0))</f>
        <v>4</v>
      </c>
      <c r="L25" s="58">
        <f>SUM($K$7:K25)</f>
        <v>112</v>
      </c>
    </row>
    <row r="26" spans="9:12" x14ac:dyDescent="0.35">
      <c r="I26" s="56">
        <v>20</v>
      </c>
      <c r="J26" s="57">
        <v>44531</v>
      </c>
      <c r="K26" s="56">
        <f>COUNTIFS(Staff[Date Joined],"&gt;="&amp;J26,Staff[Date Joined],"&lt;="&amp;EOMONTH(J26,0))</f>
        <v>7</v>
      </c>
      <c r="L26" s="58">
        <f>SUM($K$7:K26)</f>
        <v>119</v>
      </c>
    </row>
    <row r="27" spans="9:12" x14ac:dyDescent="0.35">
      <c r="I27" s="56">
        <v>21</v>
      </c>
      <c r="J27" s="57">
        <v>44562</v>
      </c>
      <c r="K27" s="56">
        <f>COUNTIFS(Staff[Date Joined],"&gt;="&amp;J27,Staff[Date Joined],"&lt;="&amp;EOMONTH(J27,0))</f>
        <v>3</v>
      </c>
      <c r="L27" s="58">
        <f>SUM($K$7:K27)</f>
        <v>122</v>
      </c>
    </row>
    <row r="28" spans="9:12" x14ac:dyDescent="0.35">
      <c r="I28" s="56">
        <v>22</v>
      </c>
      <c r="J28" s="57">
        <v>44593</v>
      </c>
      <c r="K28" s="56">
        <f>COUNTIFS(Staff[Date Joined],"&gt;="&amp;J28,Staff[Date Joined],"&lt;="&amp;EOMONTH(J28,0))</f>
        <v>10</v>
      </c>
      <c r="L28" s="58">
        <f>SUM($K$7:K28)</f>
        <v>132</v>
      </c>
    </row>
    <row r="29" spans="9:12" x14ac:dyDescent="0.35">
      <c r="I29" s="56">
        <v>23</v>
      </c>
      <c r="J29" s="57">
        <v>44621</v>
      </c>
      <c r="K29" s="56">
        <f>COUNTIFS(Staff[Date Joined],"&gt;="&amp;J29,Staff[Date Joined],"&lt;="&amp;EOMONTH(J29,0))</f>
        <v>9</v>
      </c>
      <c r="L29" s="58">
        <f>SUM($K$7:K29)</f>
        <v>141</v>
      </c>
    </row>
    <row r="30" spans="9:12" x14ac:dyDescent="0.35">
      <c r="I30" s="56">
        <v>24</v>
      </c>
      <c r="J30" s="57">
        <v>44652</v>
      </c>
      <c r="K30" s="56">
        <f>COUNTIFS(Staff[Date Joined],"&gt;="&amp;J30,Staff[Date Joined],"&lt;="&amp;EOMONTH(J30,0))</f>
        <v>9</v>
      </c>
      <c r="L30" s="58">
        <f>SUM($K$7:K30)</f>
        <v>150</v>
      </c>
    </row>
    <row r="31" spans="9:12" x14ac:dyDescent="0.35">
      <c r="I31" s="56">
        <v>25</v>
      </c>
      <c r="J31" s="57">
        <v>44682</v>
      </c>
      <c r="K31" s="56">
        <f>COUNTIFS(Staff[Date Joined],"&gt;="&amp;J31,Staff[Date Joined],"&lt;="&amp;EOMONTH(J31,0))</f>
        <v>9</v>
      </c>
      <c r="L31" s="58">
        <f>SUM($K$7:K31)</f>
        <v>159</v>
      </c>
    </row>
    <row r="32" spans="9:12" x14ac:dyDescent="0.35">
      <c r="I32" s="56">
        <v>26</v>
      </c>
      <c r="J32" s="57">
        <v>44713</v>
      </c>
      <c r="K32" s="56">
        <f>COUNTIFS(Staff[Date Joined],"&gt;="&amp;J32,Staff[Date Joined],"&lt;="&amp;EOMONTH(J32,0))</f>
        <v>7</v>
      </c>
      <c r="L32" s="58">
        <f>SUM($K$7:K32)</f>
        <v>166</v>
      </c>
    </row>
    <row r="33" spans="9:12" x14ac:dyDescent="0.35">
      <c r="I33" s="56">
        <v>27</v>
      </c>
      <c r="J33" s="57">
        <v>44743</v>
      </c>
      <c r="K33" s="56">
        <f>COUNTIFS(Staff[Date Joined],"&gt;="&amp;J33,Staff[Date Joined],"&lt;="&amp;EOMONTH(J33,0))</f>
        <v>5</v>
      </c>
      <c r="L33" s="58">
        <f>SUM($K$7:K33)</f>
        <v>171</v>
      </c>
    </row>
    <row r="34" spans="9:12" x14ac:dyDescent="0.35">
      <c r="I34" s="56">
        <v>28</v>
      </c>
      <c r="J34" s="57">
        <v>44774</v>
      </c>
      <c r="K34" s="56">
        <f>COUNTIFS(Staff[Date Joined],"&gt;="&amp;J34,Staff[Date Joined],"&lt;="&amp;EOMONTH(J34,0))</f>
        <v>5</v>
      </c>
      <c r="L34" s="58">
        <f>SUM($K$7:K34)</f>
        <v>176</v>
      </c>
    </row>
    <row r="35" spans="9:12" x14ac:dyDescent="0.35">
      <c r="I35" s="56">
        <v>29</v>
      </c>
      <c r="J35" s="57">
        <v>44805</v>
      </c>
      <c r="K35" s="56">
        <f>COUNTIFS(Staff[Date Joined],"&gt;="&amp;J35,Staff[Date Joined],"&lt;="&amp;EOMONTH(J35,0))</f>
        <v>2</v>
      </c>
      <c r="L35" s="58">
        <f>SUM($K$7:K35)</f>
        <v>178</v>
      </c>
    </row>
    <row r="36" spans="9:12" x14ac:dyDescent="0.35">
      <c r="I36" s="56">
        <v>30</v>
      </c>
      <c r="J36" s="57">
        <v>44835</v>
      </c>
      <c r="K36" s="56">
        <f>COUNTIFS(Staff[Date Joined],"&gt;="&amp;J36,Staff[Date Joined],"&lt;="&amp;EOMONTH(J36,0))</f>
        <v>3</v>
      </c>
      <c r="L36" s="58">
        <f>SUM($K$7:K36)</f>
        <v>181</v>
      </c>
    </row>
    <row r="37" spans="9:12" x14ac:dyDescent="0.35">
      <c r="I37" s="56">
        <v>31</v>
      </c>
      <c r="J37" s="57">
        <v>44866</v>
      </c>
      <c r="K37" s="56">
        <f>COUNTIFS(Staff[Date Joined],"&gt;="&amp;J37,Staff[Date Joined],"&lt;="&amp;EOMONTH(J37,0))</f>
        <v>0</v>
      </c>
      <c r="L37" s="58">
        <f>SUM($K$7:K37)</f>
        <v>181</v>
      </c>
    </row>
    <row r="38" spans="9:12" x14ac:dyDescent="0.35">
      <c r="I38" s="56">
        <v>32</v>
      </c>
      <c r="J38" s="57">
        <v>44896</v>
      </c>
      <c r="K38" s="56">
        <f>COUNTIFS(Staff[Date Joined],"&gt;="&amp;J38,Staff[Date Joined],"&lt;="&amp;EOMONTH(J38,0))</f>
        <v>0</v>
      </c>
      <c r="L38" s="58">
        <f>SUM($K$7:K38)</f>
        <v>181</v>
      </c>
    </row>
    <row r="39" spans="9:12" x14ac:dyDescent="0.35">
      <c r="I39" s="56">
        <v>33</v>
      </c>
      <c r="J39" s="57">
        <v>44927</v>
      </c>
      <c r="K39" s="56">
        <f>COUNTIFS(Staff[Date Joined],"&gt;="&amp;J39,Staff[Date Joined],"&lt;="&amp;EOMONTH(J39,0))</f>
        <v>0</v>
      </c>
      <c r="L39" s="58">
        <f>SUM($K$7:K39)</f>
        <v>181</v>
      </c>
    </row>
    <row r="40" spans="9:12" x14ac:dyDescent="0.35">
      <c r="I40" s="56">
        <v>34</v>
      </c>
      <c r="J40" s="57">
        <v>44958</v>
      </c>
      <c r="K40" s="56">
        <f>COUNTIFS(Staff[Date Joined],"&gt;="&amp;J40,Staff[Date Joined],"&lt;="&amp;EOMONTH(J40,0))</f>
        <v>1</v>
      </c>
      <c r="L40" s="58">
        <f>SUM($K$7:K40)</f>
        <v>182</v>
      </c>
    </row>
    <row r="41" spans="9:12" x14ac:dyDescent="0.35">
      <c r="I41" s="56">
        <v>35</v>
      </c>
      <c r="J41" s="57">
        <v>44986</v>
      </c>
      <c r="K41" s="56">
        <f>COUNTIFS(Staff[Date Joined],"&gt;="&amp;J41,Staff[Date Joined],"&lt;="&amp;EOMONTH(J41,0))</f>
        <v>0</v>
      </c>
      <c r="L41" s="58">
        <f>SUM($K$7:K41)</f>
        <v>182</v>
      </c>
    </row>
    <row r="42" spans="9:12" x14ac:dyDescent="0.35">
      <c r="I42" s="56">
        <v>36</v>
      </c>
      <c r="J42" s="57">
        <v>45017</v>
      </c>
      <c r="K42" s="56">
        <f>COUNTIFS(Staff[Date Joined],"&gt;="&amp;J42,Staff[Date Joined],"&lt;="&amp;EOMONTH(J42,0))</f>
        <v>1</v>
      </c>
      <c r="L42" s="58">
        <f>SUM($K$7:K42)</f>
        <v>183</v>
      </c>
    </row>
  </sheetData>
  <mergeCells count="1">
    <mergeCell ref="C3:J3"/>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11574-1F0B-40F8-8A33-0E6C2D02F210}">
  <sheetPr>
    <tabColor theme="4" tint="-0.249977111117893"/>
  </sheetPr>
  <dimension ref="C3:N25"/>
  <sheetViews>
    <sheetView showGridLines="0" tabSelected="1" zoomScale="85" zoomScaleNormal="85" workbookViewId="0">
      <selection activeCell="R13" sqref="R13"/>
    </sheetView>
  </sheetViews>
  <sheetFormatPr defaultRowHeight="14.5" x14ac:dyDescent="0.35"/>
  <cols>
    <col min="3" max="3" width="17.90625" customWidth="1"/>
    <col min="4" max="4" width="2" customWidth="1"/>
    <col min="5" max="5" width="17.54296875" customWidth="1"/>
    <col min="6" max="6" width="1.81640625" customWidth="1"/>
    <col min="7" max="7" width="24.90625" customWidth="1"/>
    <col min="10" max="10" width="17.90625" customWidth="1"/>
    <col min="11" max="11" width="2" customWidth="1"/>
    <col min="12" max="12" width="17.54296875" customWidth="1"/>
    <col min="13" max="13" width="1.81640625" customWidth="1"/>
    <col min="14" max="14" width="17.7265625" customWidth="1"/>
  </cols>
  <sheetData>
    <row r="3" spans="3:14" ht="15" thickBot="1" x14ac:dyDescent="0.4"/>
    <row r="4" spans="3:14" ht="25.5" thickBot="1" x14ac:dyDescent="0.75">
      <c r="C4" s="38">
        <v>8</v>
      </c>
      <c r="D4" s="42" t="s">
        <v>230</v>
      </c>
      <c r="E4" s="43"/>
      <c r="F4" s="43"/>
      <c r="G4" s="43"/>
      <c r="H4" s="43"/>
      <c r="I4" s="43"/>
      <c r="J4" s="43"/>
      <c r="K4" s="43"/>
      <c r="L4" s="43"/>
      <c r="M4" s="43"/>
      <c r="N4" s="44"/>
    </row>
    <row r="6" spans="3:14" ht="29.5" x14ac:dyDescent="0.55000000000000004">
      <c r="C6" s="45" t="s">
        <v>233</v>
      </c>
      <c r="D6" s="45"/>
      <c r="E6" s="45"/>
      <c r="F6" s="45"/>
      <c r="G6" s="45"/>
      <c r="J6" s="45" t="s">
        <v>234</v>
      </c>
      <c r="K6" s="45"/>
      <c r="L6" s="45"/>
      <c r="M6" s="45"/>
      <c r="N6" s="45"/>
    </row>
    <row r="8" spans="3:14" ht="77.5" customHeight="1" x14ac:dyDescent="0.35">
      <c r="C8" s="21">
        <f>COUNTIFS(Staff[Country],"NZ")</f>
        <v>91</v>
      </c>
      <c r="E8" s="23">
        <f>COUNTIFS(Staff[Country],"NZ",Staff[Gender],"Female")/C8</f>
        <v>0.47252747252747251</v>
      </c>
      <c r="G8" s="22">
        <f>AVERAGEIFS(Staff[Salary],Staff[Country],"NZ")</f>
        <v>77209.780219780223</v>
      </c>
      <c r="J8" s="18">
        <f>COUNTIFS(Staff[Country],"IND")</f>
        <v>92</v>
      </c>
      <c r="L8" s="19">
        <f>COUNTIFS(Staff[Country],"IND",Staff[Gender],"Female")/J8</f>
        <v>0.46739130434782611</v>
      </c>
      <c r="N8" s="20">
        <f>AVERAGEIFS(Staff[Salary],Staff[Country],"IND")</f>
        <v>77481.304347826081</v>
      </c>
    </row>
    <row r="10" spans="3:14" ht="26" customHeight="1" x14ac:dyDescent="0.35">
      <c r="C10" s="46" t="s">
        <v>235</v>
      </c>
      <c r="D10" s="46"/>
      <c r="E10" s="46"/>
      <c r="F10" s="46"/>
      <c r="G10" s="46"/>
      <c r="H10" s="46"/>
      <c r="I10" s="46"/>
      <c r="J10" s="46"/>
      <c r="K10" s="46"/>
      <c r="L10" s="46"/>
      <c r="M10" s="46"/>
      <c r="N10" s="46"/>
    </row>
    <row r="12" spans="3:14" x14ac:dyDescent="0.35">
      <c r="C12" s="10"/>
      <c r="D12" s="11"/>
      <c r="E12" s="11"/>
      <c r="F12" s="11"/>
      <c r="G12" s="12"/>
      <c r="J12" s="10"/>
      <c r="K12" s="11"/>
      <c r="L12" s="11"/>
      <c r="M12" s="11"/>
      <c r="N12" s="12"/>
    </row>
    <row r="13" spans="3:14" x14ac:dyDescent="0.35">
      <c r="C13" s="13"/>
      <c r="G13" s="14"/>
      <c r="J13" s="13"/>
      <c r="N13" s="14"/>
    </row>
    <row r="14" spans="3:14" x14ac:dyDescent="0.35">
      <c r="C14" s="13"/>
      <c r="G14" s="14"/>
      <c r="J14" s="13"/>
      <c r="N14" s="14"/>
    </row>
    <row r="15" spans="3:14" x14ac:dyDescent="0.35">
      <c r="C15" s="13"/>
      <c r="G15" s="14"/>
      <c r="J15" s="13"/>
      <c r="N15" s="14"/>
    </row>
    <row r="16" spans="3:14" x14ac:dyDescent="0.35">
      <c r="C16" s="13"/>
      <c r="G16" s="14"/>
      <c r="J16" s="13"/>
      <c r="N16" s="14"/>
    </row>
    <row r="17" spans="3:14" x14ac:dyDescent="0.35">
      <c r="C17" s="13"/>
      <c r="G17" s="14"/>
      <c r="J17" s="13"/>
      <c r="N17" s="14"/>
    </row>
    <row r="18" spans="3:14" x14ac:dyDescent="0.35">
      <c r="C18" s="13"/>
      <c r="G18" s="14"/>
      <c r="J18" s="13"/>
      <c r="N18" s="14"/>
    </row>
    <row r="19" spans="3:14" x14ac:dyDescent="0.35">
      <c r="C19" s="13"/>
      <c r="G19" s="14"/>
      <c r="J19" s="13"/>
      <c r="N19" s="14"/>
    </row>
    <row r="20" spans="3:14" x14ac:dyDescent="0.35">
      <c r="C20" s="13"/>
      <c r="G20" s="14"/>
      <c r="J20" s="13"/>
      <c r="N20" s="14"/>
    </row>
    <row r="21" spans="3:14" x14ac:dyDescent="0.35">
      <c r="C21" s="13"/>
      <c r="G21" s="14"/>
      <c r="J21" s="13"/>
      <c r="N21" s="14"/>
    </row>
    <row r="22" spans="3:14" x14ac:dyDescent="0.35">
      <c r="C22" s="13"/>
      <c r="G22" s="14"/>
      <c r="J22" s="13"/>
      <c r="N22" s="14"/>
    </row>
    <row r="23" spans="3:14" x14ac:dyDescent="0.35">
      <c r="C23" s="13"/>
      <c r="G23" s="14"/>
      <c r="J23" s="13"/>
      <c r="N23" s="14"/>
    </row>
    <row r="24" spans="3:14" x14ac:dyDescent="0.35">
      <c r="C24" s="13"/>
      <c r="G24" s="14"/>
      <c r="J24" s="13"/>
      <c r="N24" s="14"/>
    </row>
    <row r="25" spans="3:14" x14ac:dyDescent="0.35">
      <c r="C25" s="15"/>
      <c r="D25" s="16"/>
      <c r="E25" s="16"/>
      <c r="F25" s="16"/>
      <c r="G25" s="17"/>
      <c r="J25" s="15"/>
      <c r="K25" s="16"/>
      <c r="L25" s="16"/>
      <c r="M25" s="16"/>
      <c r="N25" s="17"/>
    </row>
  </sheetData>
  <mergeCells count="4">
    <mergeCell ref="C6:G6"/>
    <mergeCell ref="J6:N6"/>
    <mergeCell ref="C10:N10"/>
    <mergeCell ref="D4:N4"/>
  </mergeCells>
  <pageMargins left="0.7" right="0.7" top="0.75" bottom="0.75" header="0.3" footer="0.3"/>
  <pageSetup paperSize="9"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67CFE-B041-494F-BB89-5009BCB0FB39}">
  <sheetPr>
    <tabColor theme="4" tint="-0.249977111117893"/>
  </sheetPr>
  <dimension ref="C2:G10"/>
  <sheetViews>
    <sheetView workbookViewId="0">
      <selection activeCell="G6" sqref="G6"/>
    </sheetView>
  </sheetViews>
  <sheetFormatPr defaultRowHeight="14.5" x14ac:dyDescent="0.35"/>
  <cols>
    <col min="3" max="3" width="12.36328125" bestFit="1" customWidth="1"/>
    <col min="4" max="4" width="13.54296875" bestFit="1" customWidth="1"/>
    <col min="6" max="6" width="12.36328125" bestFit="1" customWidth="1"/>
    <col min="7" max="7" width="13.54296875" bestFit="1" customWidth="1"/>
  </cols>
  <sheetData>
    <row r="2" spans="3:7" x14ac:dyDescent="0.35">
      <c r="C2" s="7" t="s">
        <v>205</v>
      </c>
      <c r="D2" t="s" vm="1">
        <v>206</v>
      </c>
      <c r="F2" s="7" t="s">
        <v>205</v>
      </c>
      <c r="G2" t="s" vm="2">
        <v>208</v>
      </c>
    </row>
    <row r="4" spans="3:7" x14ac:dyDescent="0.35">
      <c r="C4" s="7" t="s">
        <v>231</v>
      </c>
      <c r="D4" t="s">
        <v>221</v>
      </c>
      <c r="F4" s="7" t="s">
        <v>231</v>
      </c>
      <c r="G4" t="s">
        <v>221</v>
      </c>
    </row>
    <row r="5" spans="3:7" x14ac:dyDescent="0.35">
      <c r="C5" s="5" t="s">
        <v>9</v>
      </c>
      <c r="D5">
        <v>28</v>
      </c>
      <c r="F5" s="5" t="s">
        <v>12</v>
      </c>
      <c r="G5">
        <v>27</v>
      </c>
    </row>
    <row r="6" spans="3:7" x14ac:dyDescent="0.35">
      <c r="C6" s="5" t="s">
        <v>12</v>
      </c>
      <c r="D6">
        <v>27</v>
      </c>
      <c r="F6" s="5" t="s">
        <v>9</v>
      </c>
      <c r="G6">
        <v>27</v>
      </c>
    </row>
    <row r="7" spans="3:7" x14ac:dyDescent="0.35">
      <c r="C7" s="5" t="s">
        <v>21</v>
      </c>
      <c r="D7">
        <v>19</v>
      </c>
      <c r="F7" s="5" t="s">
        <v>21</v>
      </c>
      <c r="G7">
        <v>19</v>
      </c>
    </row>
    <row r="8" spans="3:7" x14ac:dyDescent="0.35">
      <c r="C8" s="5" t="s">
        <v>19</v>
      </c>
      <c r="D8">
        <v>14</v>
      </c>
      <c r="F8" s="5" t="s">
        <v>19</v>
      </c>
      <c r="G8">
        <v>14</v>
      </c>
    </row>
    <row r="9" spans="3:7" x14ac:dyDescent="0.35">
      <c r="C9" s="5" t="s">
        <v>56</v>
      </c>
      <c r="D9">
        <v>4</v>
      </c>
      <c r="F9" s="5" t="s">
        <v>56</v>
      </c>
      <c r="G9">
        <v>4</v>
      </c>
    </row>
    <row r="10" spans="3:7" x14ac:dyDescent="0.35">
      <c r="C10" s="5" t="s">
        <v>220</v>
      </c>
      <c r="D10">
        <v>92</v>
      </c>
      <c r="F10" s="5" t="s">
        <v>220</v>
      </c>
      <c r="G10">
        <v>91</v>
      </c>
    </row>
  </sheetData>
  <pageMargins left="0.7" right="0.7" top="0.75" bottom="0.75" header="0.3" footer="0.3"/>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8C2DBC5-699B-466E-B0A2-123D2D3AAF6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Req</vt:lpstr>
      <vt:lpstr>Data</vt:lpstr>
      <vt:lpstr>India Staff</vt:lpstr>
      <vt:lpstr>All_Staff</vt:lpstr>
      <vt:lpstr>Info_finder</vt:lpstr>
      <vt:lpstr>Male Vs Female</vt:lpstr>
      <vt:lpstr>Salary Spread</vt:lpstr>
      <vt:lpstr>Salary Vs Rating</vt:lpstr>
      <vt:lpstr>Company Growth</vt:lpstr>
      <vt:lpstr>Regional ScoreCard</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Rohini Awakirkar</cp:lastModifiedBy>
  <cp:lastPrinted>2024-06-06T17:50:58Z</cp:lastPrinted>
  <dcterms:created xsi:type="dcterms:W3CDTF">2021-03-14T20:21:32Z</dcterms:created>
  <dcterms:modified xsi:type="dcterms:W3CDTF">2024-06-09T14:16:17Z</dcterms:modified>
</cp:coreProperties>
</file>