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sh\OneDrive\Desktop\CASES\"/>
    </mc:Choice>
  </mc:AlternateContent>
  <xr:revisionPtr revIDLastSave="0" documentId="13_ncr:1_{AA08A918-F4F0-4AD8-811F-BD2A212307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BO Transaction Inputs" sheetId="3" r:id="rId1"/>
    <sheet name="LBO" sheetId="2" r:id="rId2"/>
  </sheets>
  <definedNames>
    <definedName name="buyer_name">#REF!</definedName>
    <definedName name="buyer_share_price">#REF!</definedName>
    <definedName name="CIQWBGuid" hidden="1">"5de6fd65-e973-46bd-9d87-977a6642ddc0"</definedName>
    <definedName name="Company_Name">#REF!</definedName>
    <definedName name="Days_in_Year">#REF!</definedName>
    <definedName name="DCF_DCF">#REF!</definedName>
    <definedName name="DCF_EMM">#REF!</definedName>
    <definedName name="debt_amount">#REF!</definedName>
    <definedName name="debt_issue_date">#REF!</definedName>
    <definedName name="enterprise_value">#REF!</definedName>
    <definedName name="equity_value">#REF!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41884.5668865741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Last_Hist_Year">#REF!</definedName>
    <definedName name="offer_premium">'LBO Transaction Inputs'!$E$8</definedName>
    <definedName name="offer_price">'LBO Transaction Inputs'!$E$9</definedName>
    <definedName name="share_price">#REF!</definedName>
    <definedName name="tax_rate">#REF!</definedName>
    <definedName name="units">#REF!</definedName>
    <definedName name="valuation_dat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3" l="1"/>
  <c r="E51" i="3"/>
  <c r="F100" i="3"/>
  <c r="M80" i="2"/>
  <c r="N80" i="2"/>
  <c r="O80" i="2"/>
  <c r="P80" i="2"/>
  <c r="L80" i="2"/>
  <c r="H176" i="3"/>
  <c r="I176" i="3"/>
  <c r="J176" i="3"/>
  <c r="K176" i="3"/>
  <c r="G176" i="3"/>
  <c r="H172" i="3"/>
  <c r="I172" i="3"/>
  <c r="J172" i="3"/>
  <c r="K172" i="3"/>
  <c r="H173" i="3"/>
  <c r="I173" i="3"/>
  <c r="J173" i="3"/>
  <c r="K173" i="3"/>
  <c r="H167" i="3"/>
  <c r="I167" i="3"/>
  <c r="J167" i="3"/>
  <c r="K167" i="3"/>
  <c r="G167" i="3"/>
  <c r="G173" i="3"/>
  <c r="G172" i="3"/>
  <c r="K165" i="3"/>
  <c r="J165" i="3"/>
  <c r="I165" i="3"/>
  <c r="H165" i="3"/>
  <c r="G165" i="3"/>
  <c r="M140" i="2"/>
  <c r="N140" i="2"/>
  <c r="O140" i="2" s="1"/>
  <c r="P140" i="2" s="1"/>
  <c r="L140" i="2"/>
  <c r="M180" i="2"/>
  <c r="N180" i="2"/>
  <c r="O180" i="2"/>
  <c r="P180" i="2"/>
  <c r="L180" i="2"/>
  <c r="M176" i="2"/>
  <c r="N176" i="2"/>
  <c r="O176" i="2"/>
  <c r="P176" i="2"/>
  <c r="L176" i="2"/>
  <c r="M174" i="2"/>
  <c r="N174" i="2"/>
  <c r="O174" i="2"/>
  <c r="P174" i="2"/>
  <c r="L174" i="2"/>
  <c r="M173" i="2"/>
  <c r="N173" i="2"/>
  <c r="O173" i="2"/>
  <c r="P173" i="2"/>
  <c r="L173" i="2"/>
  <c r="M172" i="2"/>
  <c r="N172" i="2"/>
  <c r="O172" i="2"/>
  <c r="P172" i="2"/>
  <c r="L172" i="2"/>
  <c r="M164" i="2"/>
  <c r="N164" i="2"/>
  <c r="O164" i="2"/>
  <c r="P164" i="2"/>
  <c r="M165" i="2"/>
  <c r="N165" i="2"/>
  <c r="O165" i="2"/>
  <c r="P165" i="2"/>
  <c r="N166" i="2"/>
  <c r="O166" i="2"/>
  <c r="P166" i="2"/>
  <c r="L165" i="2"/>
  <c r="L164" i="2"/>
  <c r="M159" i="2"/>
  <c r="N159" i="2"/>
  <c r="O159" i="2"/>
  <c r="P159" i="2"/>
  <c r="L159" i="2"/>
  <c r="M136" i="2"/>
  <c r="N136" i="2"/>
  <c r="O136" i="2"/>
  <c r="P136" i="2"/>
  <c r="L136" i="2"/>
  <c r="M134" i="2"/>
  <c r="N134" i="2"/>
  <c r="O134" i="2"/>
  <c r="P134" i="2"/>
  <c r="L134" i="2"/>
  <c r="M166" i="2" s="1"/>
  <c r="M131" i="2"/>
  <c r="N131" i="2"/>
  <c r="O131" i="2"/>
  <c r="P131" i="2"/>
  <c r="M132" i="2"/>
  <c r="N132" i="2"/>
  <c r="O132" i="2"/>
  <c r="P132" i="2"/>
  <c r="L132" i="2"/>
  <c r="L131" i="2"/>
  <c r="M125" i="2"/>
  <c r="N125" i="2"/>
  <c r="O125" i="2"/>
  <c r="P125" i="2"/>
  <c r="L125" i="2"/>
  <c r="M120" i="2"/>
  <c r="N120" i="2"/>
  <c r="O120" i="2"/>
  <c r="P120" i="2"/>
  <c r="L120" i="2"/>
  <c r="M119" i="2"/>
  <c r="N119" i="2"/>
  <c r="O119" i="2"/>
  <c r="P119" i="2"/>
  <c r="L119" i="2"/>
  <c r="M114" i="2"/>
  <c r="N114" i="2"/>
  <c r="O114" i="2"/>
  <c r="P114" i="2"/>
  <c r="L114" i="2"/>
  <c r="M110" i="2"/>
  <c r="N110" i="2"/>
  <c r="O110" i="2"/>
  <c r="P110" i="2"/>
  <c r="L110" i="2"/>
  <c r="M100" i="2"/>
  <c r="N100" i="2"/>
  <c r="O100" i="2"/>
  <c r="P100" i="2"/>
  <c r="M101" i="2"/>
  <c r="N101" i="2"/>
  <c r="O101" i="2"/>
  <c r="P101" i="2"/>
  <c r="M102" i="2"/>
  <c r="N102" i="2"/>
  <c r="O102" i="2"/>
  <c r="P102" i="2"/>
  <c r="M103" i="2"/>
  <c r="N103" i="2"/>
  <c r="O103" i="2"/>
  <c r="P103" i="2"/>
  <c r="L103" i="2"/>
  <c r="L102" i="2"/>
  <c r="L101" i="2"/>
  <c r="L100" i="2"/>
  <c r="M99" i="2"/>
  <c r="N99" i="2"/>
  <c r="O99" i="2"/>
  <c r="P99" i="2"/>
  <c r="L99" i="2"/>
  <c r="J98" i="2"/>
  <c r="K98" i="2" s="1"/>
  <c r="L98" i="2" s="1"/>
  <c r="E50" i="3"/>
  <c r="M86" i="2"/>
  <c r="N86" i="2"/>
  <c r="O86" i="2"/>
  <c r="P86" i="2"/>
  <c r="L86" i="2"/>
  <c r="M77" i="2"/>
  <c r="N77" i="2"/>
  <c r="O77" i="2"/>
  <c r="P77" i="2"/>
  <c r="M78" i="2"/>
  <c r="N78" i="2"/>
  <c r="O78" i="2"/>
  <c r="P78" i="2"/>
  <c r="M81" i="2"/>
  <c r="N81" i="2"/>
  <c r="O81" i="2"/>
  <c r="P81" i="2"/>
  <c r="L81" i="2"/>
  <c r="L78" i="2"/>
  <c r="L77" i="2"/>
  <c r="F107" i="3"/>
  <c r="F102" i="3"/>
  <c r="F105" i="3" s="1"/>
  <c r="G147" i="3"/>
  <c r="H147" i="3"/>
  <c r="I147" i="3"/>
  <c r="J147" i="3"/>
  <c r="G150" i="3"/>
  <c r="H150" i="3"/>
  <c r="I150" i="3"/>
  <c r="J150" i="3"/>
  <c r="F150" i="3"/>
  <c r="F147" i="3"/>
  <c r="G142" i="3"/>
  <c r="H142" i="3"/>
  <c r="I142" i="3"/>
  <c r="J142" i="3"/>
  <c r="F142" i="3"/>
  <c r="F146" i="3"/>
  <c r="F138" i="3"/>
  <c r="F140" i="3" s="1"/>
  <c r="G138" i="3" s="1"/>
  <c r="G140" i="3" s="1"/>
  <c r="H138" i="3" s="1"/>
  <c r="G134" i="3"/>
  <c r="H134" i="3"/>
  <c r="I134" i="3"/>
  <c r="J134" i="3"/>
  <c r="F134" i="3"/>
  <c r="F130" i="3"/>
  <c r="F132" i="3" s="1"/>
  <c r="G130" i="3" s="1"/>
  <c r="F111" i="3"/>
  <c r="G121" i="3"/>
  <c r="H121" i="3"/>
  <c r="I121" i="3"/>
  <c r="J121" i="3"/>
  <c r="F121" i="3"/>
  <c r="G125" i="3"/>
  <c r="H125" i="3"/>
  <c r="I125" i="3"/>
  <c r="J125" i="3"/>
  <c r="F125" i="3"/>
  <c r="F120" i="3"/>
  <c r="F123" i="3" s="1"/>
  <c r="J115" i="3"/>
  <c r="I115" i="3"/>
  <c r="H115" i="3"/>
  <c r="G115" i="3"/>
  <c r="F115" i="3"/>
  <c r="G111" i="3"/>
  <c r="H111" i="3"/>
  <c r="I111" i="3"/>
  <c r="J111" i="3"/>
  <c r="F110" i="3"/>
  <c r="G106" i="3"/>
  <c r="H106" i="3"/>
  <c r="I106" i="3"/>
  <c r="J106" i="3"/>
  <c r="F106" i="3"/>
  <c r="J101" i="3"/>
  <c r="M66" i="2"/>
  <c r="N66" i="2"/>
  <c r="O66" i="2"/>
  <c r="P66" i="2"/>
  <c r="L66" i="2"/>
  <c r="M71" i="2"/>
  <c r="N71" i="2"/>
  <c r="O71" i="2"/>
  <c r="P71" i="2"/>
  <c r="L71" i="2"/>
  <c r="M70" i="2"/>
  <c r="N70" i="2"/>
  <c r="O70" i="2"/>
  <c r="P70" i="2"/>
  <c r="L70" i="2"/>
  <c r="M63" i="2"/>
  <c r="N63" i="2"/>
  <c r="N64" i="2" s="1"/>
  <c r="O63" i="2"/>
  <c r="P63" i="2"/>
  <c r="L63" i="2"/>
  <c r="M59" i="2"/>
  <c r="N59" i="2"/>
  <c r="O59" i="2"/>
  <c r="P59" i="2"/>
  <c r="L59" i="2"/>
  <c r="M64" i="2"/>
  <c r="L64" i="2"/>
  <c r="L60" i="2"/>
  <c r="M60" i="2"/>
  <c r="N58" i="2"/>
  <c r="O58" i="2"/>
  <c r="P58" i="2"/>
  <c r="M58" i="2"/>
  <c r="L58" i="2"/>
  <c r="I144" i="2"/>
  <c r="K144" i="2" s="1"/>
  <c r="L144" i="2" s="1"/>
  <c r="M144" i="2" s="1"/>
  <c r="N144" i="2" s="1"/>
  <c r="O144" i="2" s="1"/>
  <c r="P144" i="2" s="1"/>
  <c r="K142" i="2"/>
  <c r="I145" i="2"/>
  <c r="I142" i="2"/>
  <c r="K140" i="2"/>
  <c r="K141" i="2"/>
  <c r="K145" i="2"/>
  <c r="K146" i="2"/>
  <c r="K139" i="2"/>
  <c r="J146" i="2"/>
  <c r="J141" i="2"/>
  <c r="J140" i="2"/>
  <c r="J139" i="2"/>
  <c r="K136" i="2"/>
  <c r="J135" i="2"/>
  <c r="K134" i="2"/>
  <c r="K129" i="2"/>
  <c r="J129" i="2"/>
  <c r="I133" i="2"/>
  <c r="K133" i="2" s="1"/>
  <c r="I132" i="2"/>
  <c r="K132" i="2" s="1"/>
  <c r="I131" i="2"/>
  <c r="K131" i="2" s="1"/>
  <c r="I130" i="2"/>
  <c r="K130" i="2" s="1"/>
  <c r="K126" i="2"/>
  <c r="K125" i="2"/>
  <c r="K124" i="2"/>
  <c r="J122" i="2"/>
  <c r="J121" i="2"/>
  <c r="K120" i="2"/>
  <c r="K119" i="2"/>
  <c r="E72" i="3"/>
  <c r="K114" i="2"/>
  <c r="K110" i="2"/>
  <c r="K108" i="2"/>
  <c r="K100" i="2"/>
  <c r="K101" i="2"/>
  <c r="K102" i="2"/>
  <c r="K103" i="2"/>
  <c r="K99" i="2"/>
  <c r="E66" i="3"/>
  <c r="J52" i="3"/>
  <c r="E67" i="3"/>
  <c r="J111" i="2" s="1"/>
  <c r="J66" i="3"/>
  <c r="M67" i="2" s="1"/>
  <c r="J55" i="3"/>
  <c r="J54" i="3"/>
  <c r="O69" i="2" s="1"/>
  <c r="O162" i="2" s="1"/>
  <c r="J53" i="3"/>
  <c r="L123" i="2" l="1"/>
  <c r="G170" i="3"/>
  <c r="L104" i="2"/>
  <c r="M98" i="2"/>
  <c r="M160" i="2"/>
  <c r="L166" i="2"/>
  <c r="E57" i="3"/>
  <c r="G100" i="3"/>
  <c r="L75" i="2"/>
  <c r="N69" i="2"/>
  <c r="N162" i="2" s="1"/>
  <c r="G143" i="3"/>
  <c r="F126" i="3"/>
  <c r="G120" i="3"/>
  <c r="G123" i="3" s="1"/>
  <c r="H120" i="3" s="1"/>
  <c r="G132" i="3"/>
  <c r="H130" i="3" s="1"/>
  <c r="G135" i="3"/>
  <c r="F135" i="3"/>
  <c r="E70" i="3"/>
  <c r="L67" i="2"/>
  <c r="P67" i="2"/>
  <c r="O67" i="2"/>
  <c r="L69" i="2"/>
  <c r="L162" i="2" s="1"/>
  <c r="M69" i="2"/>
  <c r="M162" i="2" s="1"/>
  <c r="I107" i="2"/>
  <c r="K107" i="2" s="1"/>
  <c r="I113" i="2"/>
  <c r="K113" i="2" s="1"/>
  <c r="L113" i="2" s="1"/>
  <c r="M113" i="2" s="1"/>
  <c r="N113" i="2" s="1"/>
  <c r="O113" i="2" s="1"/>
  <c r="P113" i="2" s="1"/>
  <c r="N67" i="2"/>
  <c r="P69" i="2"/>
  <c r="P162" i="2" s="1"/>
  <c r="H132" i="3"/>
  <c r="I130" i="3" s="1"/>
  <c r="F143" i="3"/>
  <c r="H140" i="3"/>
  <c r="I138" i="3" s="1"/>
  <c r="K104" i="2"/>
  <c r="O60" i="2"/>
  <c r="P60" i="2"/>
  <c r="N60" i="2"/>
  <c r="J17" i="3"/>
  <c r="J22" i="3" s="1"/>
  <c r="J25" i="3" s="1"/>
  <c r="H64" i="2"/>
  <c r="G64" i="2"/>
  <c r="F64" i="2"/>
  <c r="H60" i="2"/>
  <c r="G60" i="2"/>
  <c r="F60" i="2"/>
  <c r="K109" i="2" l="1"/>
  <c r="L107" i="2"/>
  <c r="N98" i="2"/>
  <c r="M104" i="2"/>
  <c r="L160" i="2"/>
  <c r="L108" i="2"/>
  <c r="M108" i="2" s="1"/>
  <c r="N108" i="2" s="1"/>
  <c r="O108" i="2" s="1"/>
  <c r="P108" i="2" s="1"/>
  <c r="O160" i="2"/>
  <c r="N160" i="2"/>
  <c r="P160" i="2"/>
  <c r="I140" i="3"/>
  <c r="J138" i="3" s="1"/>
  <c r="H143" i="3"/>
  <c r="I132" i="3"/>
  <c r="J130" i="3" s="1"/>
  <c r="I135" i="3"/>
  <c r="H135" i="3"/>
  <c r="H123" i="3"/>
  <c r="I120" i="3" s="1"/>
  <c r="G126" i="3"/>
  <c r="P64" i="2"/>
  <c r="O64" i="2"/>
  <c r="F73" i="2"/>
  <c r="F86" i="2" s="1"/>
  <c r="G73" i="2"/>
  <c r="G86" i="2" s="1"/>
  <c r="H73" i="2"/>
  <c r="H83" i="2" s="1"/>
  <c r="H85" i="2" s="1"/>
  <c r="N104" i="2" l="1"/>
  <c r="O98" i="2"/>
  <c r="L109" i="2"/>
  <c r="M107" i="2"/>
  <c r="L178" i="2"/>
  <c r="J140" i="3"/>
  <c r="J143" i="3" s="1"/>
  <c r="I143" i="3"/>
  <c r="H126" i="3"/>
  <c r="J132" i="3"/>
  <c r="J135" i="3"/>
  <c r="I123" i="3"/>
  <c r="J120" i="3" s="1"/>
  <c r="H86" i="2"/>
  <c r="F83" i="2"/>
  <c r="F85" i="2" s="1"/>
  <c r="G83" i="2"/>
  <c r="G85" i="2" s="1"/>
  <c r="P98" i="2" l="1"/>
  <c r="P104" i="2" s="1"/>
  <c r="O104" i="2"/>
  <c r="M109" i="2"/>
  <c r="N107" i="2"/>
  <c r="M178" i="2"/>
  <c r="I126" i="3"/>
  <c r="J123" i="3"/>
  <c r="J126" i="3" s="1"/>
  <c r="F147" i="2"/>
  <c r="G126" i="2"/>
  <c r="P156" i="2"/>
  <c r="O156" i="2"/>
  <c r="N156" i="2"/>
  <c r="M156" i="2"/>
  <c r="L156" i="2"/>
  <c r="G156" i="2"/>
  <c r="F156" i="2"/>
  <c r="H10" i="2"/>
  <c r="M10" i="2" s="1"/>
  <c r="E9" i="3"/>
  <c r="N178" i="2" l="1"/>
  <c r="O107" i="2"/>
  <c r="N109" i="2"/>
  <c r="E16" i="3"/>
  <c r="E18" i="3"/>
  <c r="J159" i="3"/>
  <c r="J183" i="3" s="1"/>
  <c r="I159" i="3"/>
  <c r="I183" i="3" s="1"/>
  <c r="G159" i="3"/>
  <c r="G183" i="3" s="1"/>
  <c r="K159" i="3"/>
  <c r="K183" i="3" s="1"/>
  <c r="G109" i="2"/>
  <c r="H159" i="3"/>
  <c r="H183" i="3" s="1"/>
  <c r="H156" i="2"/>
  <c r="H109" i="2"/>
  <c r="F177" i="2"/>
  <c r="G147" i="2"/>
  <c r="G177" i="2"/>
  <c r="F104" i="2"/>
  <c r="F109" i="2"/>
  <c r="G104" i="2"/>
  <c r="F126" i="2"/>
  <c r="F137" i="2" s="1"/>
  <c r="F149" i="2" s="1"/>
  <c r="G10" i="2"/>
  <c r="N10" i="2"/>
  <c r="L56" i="2"/>
  <c r="P56" i="2"/>
  <c r="F94" i="2"/>
  <c r="M94" i="2"/>
  <c r="O10" i="2"/>
  <c r="F56" i="2"/>
  <c r="M56" i="2"/>
  <c r="G94" i="2"/>
  <c r="N94" i="2"/>
  <c r="L10" i="2"/>
  <c r="P10" i="2"/>
  <c r="G56" i="2"/>
  <c r="N56" i="2"/>
  <c r="H94" i="2"/>
  <c r="O94" i="2"/>
  <c r="F10" i="2"/>
  <c r="H56" i="2"/>
  <c r="F159" i="3" s="1"/>
  <c r="F183" i="3" s="1"/>
  <c r="O56" i="2"/>
  <c r="L94" i="2"/>
  <c r="P94" i="2"/>
  <c r="G137" i="2"/>
  <c r="G149" i="2" s="1"/>
  <c r="H126" i="2"/>
  <c r="H137" i="2" s="1"/>
  <c r="O178" i="2" l="1"/>
  <c r="P107" i="2"/>
  <c r="O109" i="2"/>
  <c r="F115" i="2"/>
  <c r="G115" i="2"/>
  <c r="G151" i="2" s="1"/>
  <c r="E25" i="3"/>
  <c r="J50" i="3" s="1"/>
  <c r="E23" i="3"/>
  <c r="E28" i="3" s="1"/>
  <c r="F151" i="2"/>
  <c r="P178" i="2" l="1"/>
  <c r="P109" i="2"/>
  <c r="J59" i="3"/>
  <c r="E59" i="3" s="1"/>
  <c r="E58" i="3" s="1"/>
  <c r="E65" i="3"/>
  <c r="E68" i="3" s="1"/>
  <c r="H177" i="2"/>
  <c r="E162" i="3" l="1"/>
  <c r="H185" i="3"/>
  <c r="G185" i="3"/>
  <c r="I185" i="3"/>
  <c r="F185" i="3"/>
  <c r="J185" i="3"/>
  <c r="K185" i="3"/>
  <c r="I143" i="2"/>
  <c r="K143" i="2" s="1"/>
  <c r="J70" i="3"/>
  <c r="J72" i="3" s="1"/>
  <c r="H147" i="2"/>
  <c r="K147" i="2" l="1"/>
  <c r="L143" i="2"/>
  <c r="M143" i="2" s="1"/>
  <c r="N143" i="2" s="1"/>
  <c r="O143" i="2" s="1"/>
  <c r="P143" i="2" s="1"/>
  <c r="M68" i="2"/>
  <c r="L68" i="2"/>
  <c r="E71" i="3"/>
  <c r="N68" i="2"/>
  <c r="O68" i="2"/>
  <c r="J76" i="3"/>
  <c r="P68" i="2"/>
  <c r="I112" i="2"/>
  <c r="K112" i="2" s="1"/>
  <c r="H149" i="2"/>
  <c r="H104" i="2"/>
  <c r="H115" i="2" s="1"/>
  <c r="H151" i="2" s="1"/>
  <c r="L112" i="2" l="1"/>
  <c r="M112" i="2" s="1"/>
  <c r="N112" i="2" s="1"/>
  <c r="O112" i="2" s="1"/>
  <c r="P112" i="2" s="1"/>
  <c r="L161" i="2"/>
  <c r="L73" i="2"/>
  <c r="O161" i="2"/>
  <c r="O73" i="2"/>
  <c r="M161" i="2"/>
  <c r="M73" i="2"/>
  <c r="N161" i="2"/>
  <c r="N73" i="2"/>
  <c r="P161" i="2"/>
  <c r="P73" i="2"/>
  <c r="I135" i="2"/>
  <c r="K135" i="2" s="1"/>
  <c r="E73" i="3"/>
  <c r="E74" i="3" s="1"/>
  <c r="I111" i="2" s="1"/>
  <c r="K111" i="2" s="1"/>
  <c r="L196" i="2"/>
  <c r="M196" i="2" s="1"/>
  <c r="N196" i="2" s="1"/>
  <c r="O196" i="2" s="1"/>
  <c r="P196" i="2" s="1"/>
  <c r="K115" i="2" l="1"/>
  <c r="L111" i="2"/>
  <c r="K137" i="2"/>
  <c r="K149" i="2" s="1"/>
  <c r="L135" i="2"/>
  <c r="M135" i="2" s="1"/>
  <c r="N135" i="2" s="1"/>
  <c r="O135" i="2" s="1"/>
  <c r="P135" i="2" s="1"/>
  <c r="K151" i="2" l="1"/>
  <c r="M111" i="2"/>
  <c r="L115" i="2"/>
  <c r="L192" i="2"/>
  <c r="N111" i="2" l="1"/>
  <c r="M115" i="2"/>
  <c r="M192" i="2"/>
  <c r="O111" i="2" l="1"/>
  <c r="N115" i="2"/>
  <c r="N192" i="2"/>
  <c r="P111" i="2" l="1"/>
  <c r="P115" i="2" s="1"/>
  <c r="O115" i="2"/>
  <c r="O192" i="2"/>
  <c r="P192" i="2" l="1"/>
  <c r="F113" i="3" l="1"/>
  <c r="L130" i="2" s="1"/>
  <c r="F116" i="3"/>
  <c r="L76" i="2" s="1"/>
  <c r="G171" i="3"/>
  <c r="G110" i="3" l="1"/>
  <c r="G116" i="3" l="1"/>
  <c r="M76" i="2" s="1"/>
  <c r="G113" i="3"/>
  <c r="H110" i="3" l="1"/>
  <c r="H171" i="3"/>
  <c r="M130" i="2"/>
  <c r="H113" i="3" l="1"/>
  <c r="H116" i="3"/>
  <c r="N76" i="2" s="1"/>
  <c r="I110" i="3" l="1"/>
  <c r="I171" i="3"/>
  <c r="N130" i="2"/>
  <c r="I191" i="3" l="1"/>
  <c r="I188" i="3"/>
  <c r="I178" i="3"/>
  <c r="I177" i="3"/>
  <c r="I175" i="3"/>
  <c r="I170" i="3"/>
  <c r="O175" i="2"/>
  <c r="O124" i="2"/>
  <c r="L147" i="2"/>
  <c r="P175" i="2"/>
  <c r="P124" i="2"/>
  <c r="N175" i="2"/>
  <c r="N124" i="2"/>
  <c r="L175" i="2"/>
  <c r="O197" i="2"/>
  <c r="O194" i="2"/>
  <c r="K171" i="3"/>
  <c r="J113" i="3"/>
  <c r="P130" i="2"/>
  <c r="O181" i="2"/>
  <c r="O147" i="2"/>
  <c r="O123" i="2"/>
  <c r="O126" i="2"/>
  <c r="O137" i="2"/>
  <c r="O149" i="2"/>
  <c r="O151" i="2"/>
  <c r="J112" i="3"/>
  <c r="J97" i="3"/>
  <c r="M197" i="2"/>
  <c r="M194" i="2"/>
  <c r="O76" i="2"/>
  <c r="I116" i="3"/>
  <c r="H191" i="3"/>
  <c r="H170" i="3"/>
  <c r="H175" i="3"/>
  <c r="H177" i="3"/>
  <c r="H178" i="3"/>
  <c r="H187" i="3"/>
  <c r="G105" i="3"/>
  <c r="N133" i="2"/>
  <c r="I174" i="3"/>
  <c r="H101" i="3"/>
  <c r="H97" i="3"/>
  <c r="N123" i="2"/>
  <c r="N126" i="2"/>
  <c r="N137" i="2"/>
  <c r="N149" i="2"/>
  <c r="N151" i="2"/>
  <c r="M123" i="2"/>
  <c r="M126" i="2"/>
  <c r="M137" i="2"/>
  <c r="M149" i="2"/>
  <c r="M151" i="2"/>
  <c r="I101" i="3"/>
  <c r="L124" i="2"/>
  <c r="L126" i="2"/>
  <c r="L137" i="2"/>
  <c r="L149" i="2"/>
  <c r="L151" i="2"/>
  <c r="S152" i="2"/>
  <c r="J174" i="3"/>
  <c r="O133" i="2"/>
  <c r="M175" i="2"/>
  <c r="M124" i="2"/>
  <c r="N84" i="2"/>
  <c r="L84" i="2"/>
  <c r="N181" i="2"/>
  <c r="P182" i="2"/>
  <c r="M182" i="2"/>
  <c r="N182" i="2"/>
  <c r="O182" i="2"/>
  <c r="P181" i="2"/>
  <c r="N197" i="2"/>
  <c r="H107" i="3"/>
  <c r="N75" i="2"/>
  <c r="N83" i="2"/>
  <c r="N85" i="2"/>
  <c r="N158" i="2"/>
  <c r="N177" i="2"/>
  <c r="N179" i="2"/>
  <c r="N184" i="2"/>
  <c r="N194" i="2"/>
  <c r="N147" i="2"/>
  <c r="M79" i="2"/>
  <c r="G151" i="3"/>
  <c r="M163" i="2"/>
  <c r="I105" i="3"/>
  <c r="F97" i="3"/>
  <c r="L184" i="2"/>
  <c r="L194" i="2"/>
  <c r="L197" i="2"/>
  <c r="M133" i="2"/>
  <c r="H174" i="3"/>
  <c r="N141" i="2"/>
  <c r="O141" i="2"/>
  <c r="P141" i="2"/>
  <c r="P147" i="2"/>
  <c r="N79" i="2"/>
  <c r="H151" i="3"/>
  <c r="N163" i="2"/>
  <c r="P197" i="2"/>
  <c r="P85" i="2"/>
  <c r="P158" i="2"/>
  <c r="P177" i="2"/>
  <c r="P179" i="2"/>
  <c r="P184" i="2"/>
  <c r="P194" i="2"/>
  <c r="P123" i="2"/>
  <c r="P126" i="2"/>
  <c r="P137" i="2"/>
  <c r="P149" i="2"/>
  <c r="P151" i="2"/>
  <c r="J170" i="3"/>
  <c r="J175" i="3"/>
  <c r="J177" i="3"/>
  <c r="J178" i="3"/>
  <c r="J189" i="3"/>
  <c r="J191" i="3"/>
  <c r="O84" i="2"/>
  <c r="O79" i="2"/>
  <c r="I151" i="3"/>
  <c r="O163" i="2"/>
  <c r="K174" i="3"/>
  <c r="J148" i="3"/>
  <c r="P133" i="2"/>
  <c r="M84" i="2"/>
  <c r="J110" i="3"/>
  <c r="J116" i="3"/>
  <c r="P76" i="2"/>
  <c r="J107" i="3"/>
  <c r="P75" i="2"/>
  <c r="P83" i="2"/>
  <c r="P84" i="2"/>
  <c r="K170" i="3"/>
  <c r="K175" i="3"/>
  <c r="K177" i="3"/>
  <c r="K178" i="3"/>
  <c r="K190" i="3"/>
  <c r="K191" i="3"/>
  <c r="D212" i="3"/>
  <c r="L141" i="2"/>
  <c r="M141" i="2"/>
  <c r="M147" i="2"/>
  <c r="G174" i="3"/>
  <c r="G175" i="3"/>
  <c r="G177" i="3"/>
  <c r="G178" i="3"/>
  <c r="G186" i="3"/>
  <c r="G191" i="3"/>
  <c r="H105" i="3"/>
  <c r="L79" i="2"/>
  <c r="L83" i="2"/>
  <c r="L85" i="2"/>
  <c r="L158" i="2"/>
  <c r="L177" i="2"/>
  <c r="L179" i="2"/>
  <c r="L181" i="2"/>
  <c r="L182" i="2"/>
  <c r="M181" i="2"/>
  <c r="L133" i="2"/>
  <c r="L163" i="2"/>
  <c r="J100" i="3"/>
  <c r="J102" i="3"/>
  <c r="J105" i="3"/>
  <c r="J171" i="3"/>
  <c r="G107" i="3"/>
  <c r="M75" i="2"/>
  <c r="M83" i="2"/>
  <c r="M85" i="2"/>
  <c r="M158" i="2"/>
  <c r="M177" i="2"/>
  <c r="M179" i="2"/>
  <c r="M184" i="2"/>
  <c r="G97" i="3"/>
  <c r="G101" i="3"/>
  <c r="G102" i="3"/>
  <c r="H100" i="3"/>
  <c r="H102" i="3"/>
  <c r="I100" i="3"/>
  <c r="I102" i="3"/>
  <c r="I107" i="3"/>
  <c r="O75" i="2"/>
  <c r="O83" i="2"/>
  <c r="O85" i="2"/>
  <c r="O158" i="2"/>
  <c r="O177" i="2"/>
  <c r="O179" i="2"/>
  <c r="O184" i="2"/>
  <c r="I97" i="3"/>
  <c r="I112" i="3"/>
  <c r="I113" i="3"/>
  <c r="O130" i="2"/>
  <c r="P79" i="2"/>
  <c r="F151" i="3"/>
  <c r="F148" i="3"/>
  <c r="G146" i="3"/>
  <c r="G148" i="3"/>
  <c r="H146" i="3"/>
  <c r="H148" i="3"/>
  <c r="I146" i="3"/>
  <c r="I148" i="3"/>
  <c r="J146" i="3"/>
  <c r="J151" i="3"/>
  <c r="P163" i="2"/>
</calcChain>
</file>

<file path=xl/sharedStrings.xml><?xml version="1.0" encoding="utf-8"?>
<sst xmlns="http://schemas.openxmlformats.org/spreadsheetml/2006/main" count="436" uniqueCount="303">
  <si>
    <t>($ in Millions, Except Per Share Amounts in Dollars and Share Counts in Thousands)</t>
  </si>
  <si>
    <t>Historical</t>
  </si>
  <si>
    <t>Projections</t>
  </si>
  <si>
    <t>Revenue Growth %:</t>
  </si>
  <si>
    <t>COGS % Revenue:</t>
  </si>
  <si>
    <t>R&amp;D % Revenue:</t>
  </si>
  <si>
    <t>SG&amp;A % Revenue:</t>
  </si>
  <si>
    <t>Stock-Based Compensation % Revenue:</t>
  </si>
  <si>
    <t>Depreciation &amp; Amortization % Revenue:</t>
  </si>
  <si>
    <t>Effective Cash Interest Rate:</t>
  </si>
  <si>
    <t>Effective Tax Rate:</t>
  </si>
  <si>
    <t>Accounts Receivable Days:</t>
  </si>
  <si>
    <t>Amortization of Intangibles:</t>
  </si>
  <si>
    <t>Accrued Expenses % Operating Expenses:</t>
  </si>
  <si>
    <t>Accounts Payable Days:</t>
  </si>
  <si>
    <t>Accounts Payable % COGS:</t>
  </si>
  <si>
    <t>Income Statement</t>
  </si>
  <si>
    <t>Revenue:</t>
  </si>
  <si>
    <t>Cost of Goods Sold:</t>
  </si>
  <si>
    <t xml:space="preserve">  Gross Profit:</t>
  </si>
  <si>
    <t>Operating Expenses:</t>
  </si>
  <si>
    <t xml:space="preserve">  Research &amp; Development</t>
  </si>
  <si>
    <t xml:space="preserve">  Selling, General &amp; Administrative:</t>
  </si>
  <si>
    <t>Total Operating Expenses:</t>
  </si>
  <si>
    <t xml:space="preserve">  Depreciation &amp; Amortization of PP&amp;E:</t>
  </si>
  <si>
    <t xml:space="preserve">  Amortization of Intangibles:</t>
  </si>
  <si>
    <t xml:space="preserve">  Stock-Based Compensation:</t>
  </si>
  <si>
    <t>Operating Income:</t>
  </si>
  <si>
    <t xml:space="preserve">  Interest Income:</t>
  </si>
  <si>
    <t xml:space="preserve">  Interest Expense:</t>
  </si>
  <si>
    <t xml:space="preserve">  Other Income &amp; Expense:</t>
  </si>
  <si>
    <t>Pre-Tax Income:</t>
  </si>
  <si>
    <t xml:space="preserve">  Income Tax Provision</t>
  </si>
  <si>
    <t>Net Income:</t>
  </si>
  <si>
    <t>Balance Sheet</t>
  </si>
  <si>
    <t xml:space="preserve">  Short-Term Securities:</t>
  </si>
  <si>
    <t xml:space="preserve">  Cash &amp; Cash Equivalents:</t>
  </si>
  <si>
    <t xml:space="preserve">  Inventory:</t>
  </si>
  <si>
    <t xml:space="preserve">  Other Current Assets:</t>
  </si>
  <si>
    <t xml:space="preserve">  Accounts &amp; Other Receivables:</t>
  </si>
  <si>
    <t xml:space="preserve">  Prepaid Expenses:</t>
  </si>
  <si>
    <t>Long-Term Assets:</t>
  </si>
  <si>
    <t xml:space="preserve">  Net PP&amp;E:</t>
  </si>
  <si>
    <t xml:space="preserve">  Accumulated Depreciation:</t>
  </si>
  <si>
    <t xml:space="preserve">  Gross PP&amp;E:</t>
  </si>
  <si>
    <t>Total Current Assets:</t>
  </si>
  <si>
    <t>Current Assets:</t>
  </si>
  <si>
    <t>Assets:</t>
  </si>
  <si>
    <t xml:space="preserve">  Long-Term Investments:</t>
  </si>
  <si>
    <t xml:space="preserve">  Goodwill:</t>
  </si>
  <si>
    <t xml:space="preserve">  Other Intangibles:</t>
  </si>
  <si>
    <t xml:space="preserve">  Other Long-Term Assets:</t>
  </si>
  <si>
    <t>Total Assets:</t>
  </si>
  <si>
    <t>Liabilities &amp; Shareholders Equity:</t>
  </si>
  <si>
    <t>Current Liabilities:</t>
  </si>
  <si>
    <t xml:space="preserve">  Accounts Payable:</t>
  </si>
  <si>
    <t xml:space="preserve">  Accrued Expenses:</t>
  </si>
  <si>
    <t xml:space="preserve">  Short-Term Borrowings:</t>
  </si>
  <si>
    <t xml:space="preserve">  Current Portion of LT Debt:</t>
  </si>
  <si>
    <t xml:space="preserve">  Current Income Taxes Payable:</t>
  </si>
  <si>
    <t xml:space="preserve">  Other Current Liabilities:</t>
  </si>
  <si>
    <t>Total Current Liabilities:</t>
  </si>
  <si>
    <t>Long-Term Liabilities:</t>
  </si>
  <si>
    <t xml:space="preserve">  Long-Term Debt:</t>
  </si>
  <si>
    <t xml:space="preserve">  Pension &amp; Other Benefits:</t>
  </si>
  <si>
    <t xml:space="preserve">  Other Non-Current Liabilities:</t>
  </si>
  <si>
    <t xml:space="preserve">  Deferred Tax Liability, Non-Current:</t>
  </si>
  <si>
    <t>Total Liabilities:</t>
  </si>
  <si>
    <t xml:space="preserve">  Additional Paid-In Capital:</t>
  </si>
  <si>
    <t xml:space="preserve">  Common Stock:</t>
  </si>
  <si>
    <t xml:space="preserve">  Retained Earnings:</t>
  </si>
  <si>
    <t xml:space="preserve">  Treasury Stock:</t>
  </si>
  <si>
    <t xml:space="preserve">  Comprehensive Inc. &amp; Other:</t>
  </si>
  <si>
    <t xml:space="preserve">  Minority Interest:</t>
  </si>
  <si>
    <t>Total Shareholders' Equity:</t>
  </si>
  <si>
    <t>Total Liabilities &amp; SE:</t>
  </si>
  <si>
    <t>Cash Flow Statement</t>
  </si>
  <si>
    <t>Operating Activities:</t>
  </si>
  <si>
    <t xml:space="preserve">  Net Cash From Discontinued Operations:</t>
  </si>
  <si>
    <t xml:space="preserve">  Asset Writedown &amp; Restructuring Costs:</t>
  </si>
  <si>
    <t xml:space="preserve">  (Gain) Loss From Sale of Assets:</t>
  </si>
  <si>
    <t xml:space="preserve">  Amortization of Goodwill &amp; Intangibles:</t>
  </si>
  <si>
    <t xml:space="preserve">  Depreciation &amp; Amortization:</t>
  </si>
  <si>
    <t xml:space="preserve">  Net Income:</t>
  </si>
  <si>
    <t>Cash Flow From Operations:</t>
  </si>
  <si>
    <t>Changes in Operating Assets &amp; Liabilities:</t>
  </si>
  <si>
    <t xml:space="preserve">   Accounts Receivable:</t>
  </si>
  <si>
    <t xml:space="preserve">   Inventories:</t>
  </si>
  <si>
    <t xml:space="preserve">   Accounts Payable:</t>
  </si>
  <si>
    <t xml:space="preserve">   Income Taxes:</t>
  </si>
  <si>
    <t xml:space="preserve">   Other Net Operating Assets:</t>
  </si>
  <si>
    <t xml:space="preserve">  Other Operating Activities:</t>
  </si>
  <si>
    <t xml:space="preserve">  Minority Interest</t>
  </si>
  <si>
    <t>Basic Shares Outstanding:</t>
  </si>
  <si>
    <t>Basic Equity Value:</t>
  </si>
  <si>
    <t>Diluted Shares Outstanding:</t>
  </si>
  <si>
    <t>Diltued Equity Value:</t>
  </si>
  <si>
    <t xml:space="preserve">  Plus: Preferred Stock:</t>
  </si>
  <si>
    <t>Enterprise Value:</t>
  </si>
  <si>
    <t>Balance Check</t>
  </si>
  <si>
    <t>Other Income &amp; Expense % Revenue:</t>
  </si>
  <si>
    <t>x</t>
  </si>
  <si>
    <t xml:space="preserve">  Stock-Based Compensation</t>
  </si>
  <si>
    <t>Pension &amp; Other Benefits % Revenue:</t>
  </si>
  <si>
    <t>Income Tax Payable % Pre-Tax Income:</t>
  </si>
  <si>
    <t>Other Current Liabilities % Revenue:</t>
  </si>
  <si>
    <t>Other Current Assets % Revenue:</t>
  </si>
  <si>
    <t>Prepaid Expenses % Revenue:</t>
  </si>
  <si>
    <t>Inventory % COGS:</t>
  </si>
  <si>
    <t>Accounts Receivable % Revenue:</t>
  </si>
  <si>
    <t>CapEx % Revenue:</t>
  </si>
  <si>
    <t xml:space="preserve">  Pension &amp; Other Benefits</t>
  </si>
  <si>
    <t>Balance Sheet Items:</t>
  </si>
  <si>
    <t>Cash Flow Statement Items:</t>
  </si>
  <si>
    <t xml:space="preserve"> </t>
  </si>
  <si>
    <t>Transaction Adjustment</t>
  </si>
  <si>
    <t>2013 Adj.</t>
  </si>
  <si>
    <t>Short-Term Debt Interest Rate:</t>
  </si>
  <si>
    <t>Long-Term Debt Interest Rate:</t>
  </si>
  <si>
    <t xml:space="preserve">  Revolving Credit Facility</t>
  </si>
  <si>
    <t xml:space="preserve">  Term Loan B1</t>
  </si>
  <si>
    <t xml:space="preserve">  Term Loan B2</t>
  </si>
  <si>
    <t xml:space="preserve">  Second Senior Secured</t>
  </si>
  <si>
    <t xml:space="preserve">  Interest Expense (Revolver):</t>
  </si>
  <si>
    <t xml:space="preserve">  Interest Expense (2nd Senior):</t>
  </si>
  <si>
    <t xml:space="preserve">  Interest Expense (TLB2):</t>
  </si>
  <si>
    <t xml:space="preserve">  Interest Expense (TLB1):</t>
  </si>
  <si>
    <t xml:space="preserve">  </t>
  </si>
  <si>
    <t>Revolving Credit Facility Interest Rate:</t>
  </si>
  <si>
    <t>Term Loan B1 Interest Rate:</t>
  </si>
  <si>
    <t>Term Loan B2 Interest Rate:</t>
  </si>
  <si>
    <t>Second Senior Secured Interest Rate:</t>
  </si>
  <si>
    <t>Transaction Assumptions</t>
  </si>
  <si>
    <t>Current Share Price:</t>
  </si>
  <si>
    <t>Offer Premium:</t>
  </si>
  <si>
    <t>Offer Price Per Share:</t>
  </si>
  <si>
    <t>EBITDA</t>
  </si>
  <si>
    <t>Interest</t>
  </si>
  <si>
    <t xml:space="preserve">  Plus: Minority Interest:</t>
  </si>
  <si>
    <t xml:space="preserve">  Plus: Debt:</t>
  </si>
  <si>
    <t xml:space="preserve">  Less: Cash &amp; Equivalents:</t>
  </si>
  <si>
    <t>Equity Purchase Price:</t>
  </si>
  <si>
    <t>($ in Millions)</t>
  </si>
  <si>
    <t>Sources of Funds</t>
  </si>
  <si>
    <t>Uses of Funds</t>
  </si>
  <si>
    <t>Senior Subordinated Notes:</t>
  </si>
  <si>
    <t>Preferred Equity:</t>
  </si>
  <si>
    <t>Equity Contribution:</t>
  </si>
  <si>
    <t>Total Sources:</t>
  </si>
  <si>
    <t>Term Loan B2:</t>
  </si>
  <si>
    <t>Term Loan B1:</t>
  </si>
  <si>
    <t>Revolving Credit Facility:</t>
  </si>
  <si>
    <t>Repay Existing Debt:</t>
  </si>
  <si>
    <t>Total Uses:</t>
  </si>
  <si>
    <t>Souces w/o Equity Contribution:</t>
  </si>
  <si>
    <t>Entry EBITDA Multiple</t>
  </si>
  <si>
    <t>Equity Purchase Price Calculation #1</t>
  </si>
  <si>
    <t xml:space="preserve">Equity Purchase Price </t>
  </si>
  <si>
    <t>Equity Purchase Price Calculation #2</t>
  </si>
  <si>
    <t>LTM 2013 EBITDA</t>
  </si>
  <si>
    <t>Less Debt:</t>
  </si>
  <si>
    <t>Less Preferred Stock:</t>
  </si>
  <si>
    <t>Less Minority Interest:</t>
  </si>
  <si>
    <t>Plus: Cash &amp; Equivalents:</t>
  </si>
  <si>
    <t>Equity Value:</t>
  </si>
  <si>
    <t>Implied Entry EBITDA Multiple</t>
  </si>
  <si>
    <t>Revolver Capacity</t>
  </si>
  <si>
    <t>Revolver Initial Amount</t>
  </si>
  <si>
    <t>LIBOR Rate</t>
  </si>
  <si>
    <t>Spread Above LIBOR</t>
  </si>
  <si>
    <t>Interest Rate</t>
  </si>
  <si>
    <t>Commiment Fee</t>
  </si>
  <si>
    <t>Term in Years</t>
  </si>
  <si>
    <t>Amount</t>
  </si>
  <si>
    <t>Repayment Schedule</t>
  </si>
  <si>
    <t>LIBOR Rate Floor:</t>
  </si>
  <si>
    <t>Revlover Commitment Fee:</t>
  </si>
  <si>
    <t>Add Depreciation &amp; Amortization:</t>
  </si>
  <si>
    <t>Add Stock-Based Compensation:</t>
  </si>
  <si>
    <t>Less Changes in NWC:</t>
  </si>
  <si>
    <t>Less CAPEX:</t>
  </si>
  <si>
    <t>Cash Available for Debt Repayment:</t>
  </si>
  <si>
    <t>Total Mandatory Repayments:</t>
  </si>
  <si>
    <t>Revolving Credit Facility</t>
  </si>
  <si>
    <t>Beginning Balance</t>
  </si>
  <si>
    <t>Drawdown/(Repayment)</t>
  </si>
  <si>
    <t>Ending Balance</t>
  </si>
  <si>
    <t>Commitment Fee</t>
  </si>
  <si>
    <t>Interest Expense</t>
  </si>
  <si>
    <t>Term Loan B1 Facility</t>
  </si>
  <si>
    <t>Mandatory Repayments</t>
  </si>
  <si>
    <t>Optional Repayments</t>
  </si>
  <si>
    <t>Term Loan B2 Facility</t>
  </si>
  <si>
    <t>Senior Subordinated Notes</t>
  </si>
  <si>
    <t>Repayment</t>
  </si>
  <si>
    <t>+</t>
  </si>
  <si>
    <t>-</t>
  </si>
  <si>
    <t>Goodwill Creation &amp; Balance Sheet Adjustments</t>
  </si>
  <si>
    <t xml:space="preserve">  Equity Purchase Price:</t>
  </si>
  <si>
    <t>Goodwill Calculation:</t>
  </si>
  <si>
    <t xml:space="preserve">  Plus: Write-Off of Existing Goodwill:</t>
  </si>
  <si>
    <t>Total Allocable Purchase Premium:</t>
  </si>
  <si>
    <t xml:space="preserve">  Less: Write-up of PP&amp;E:</t>
  </si>
  <si>
    <t xml:space="preserve">  Less: Write-Up of Intangibles:</t>
  </si>
  <si>
    <t xml:space="preserve">  Less: Write-Down of DTL:</t>
  </si>
  <si>
    <t xml:space="preserve">  Plus: New Deferred Tax Liability:</t>
  </si>
  <si>
    <t>Total Goodwill Created:</t>
  </si>
  <si>
    <t>Financing Fees Amortization Period:</t>
  </si>
  <si>
    <t>Fixed Asset Write-Up:</t>
  </si>
  <si>
    <t xml:space="preserve">  PP&amp;E Write-Up %:</t>
  </si>
  <si>
    <t xml:space="preserve">  PP&amp;E Write-Up Amount:</t>
  </si>
  <si>
    <t xml:space="preserve">  Depreciation Period (Years):</t>
  </si>
  <si>
    <t>Intangilbe Asset Write-Up:</t>
  </si>
  <si>
    <t xml:space="preserve">  Purchase Price to Allocate:</t>
  </si>
  <si>
    <t xml:space="preserve">  % Allocated to Intangibles:</t>
  </si>
  <si>
    <t xml:space="preserve">  Intangibles Write-Up Amount:</t>
  </si>
  <si>
    <t xml:space="preserve">  Amortization Period (Years):</t>
  </si>
  <si>
    <t>New Deferred Tax Liability:</t>
  </si>
  <si>
    <t xml:space="preserve">  Capitalized Financing Fees:</t>
  </si>
  <si>
    <t xml:space="preserve">  New Intangibles Amortization:</t>
  </si>
  <si>
    <t xml:space="preserve">  Amortization of Financing Fees:</t>
  </si>
  <si>
    <t>Financing Fees:</t>
  </si>
  <si>
    <t>Advisory Fees %:</t>
  </si>
  <si>
    <t>Legal &amp; Misc. Fees:</t>
  </si>
  <si>
    <t xml:space="preserve">  Depreciation of PP&amp;E Write-Up:</t>
  </si>
  <si>
    <t xml:space="preserve">  Sponsor Common Equity:</t>
  </si>
  <si>
    <t xml:space="preserve">  Sponsor Preferred Equity:</t>
  </si>
  <si>
    <t>Tender / Call Premium:</t>
  </si>
  <si>
    <t>Excess Cash:</t>
  </si>
  <si>
    <t>Cash Flow Available for Debt Repayment:</t>
  </si>
  <si>
    <t>Cash Available for Optional Debt Repayment:</t>
  </si>
  <si>
    <t>Less: CAPEX:</t>
  </si>
  <si>
    <t>Pension &amp; Other Benefits:</t>
  </si>
  <si>
    <t>Debt Paydown:</t>
  </si>
  <si>
    <t xml:space="preserve">  Revolving Credit Facility:</t>
  </si>
  <si>
    <t xml:space="preserve">  Term Loan B1 Faciltiy:</t>
  </si>
  <si>
    <t xml:space="preserve">  Term Loan B2 Facility:</t>
  </si>
  <si>
    <t xml:space="preserve">  Senior Subordinated Notes:</t>
  </si>
  <si>
    <t>Total Cash Flow Used For Debt Repayment:</t>
  </si>
  <si>
    <t>Net Change in Cash &amp; Equivalents:</t>
  </si>
  <si>
    <t>Beginning Cash Balance:</t>
  </si>
  <si>
    <t>Ending Cash Balance:</t>
  </si>
  <si>
    <t xml:space="preserve">  Less: Seller Book Value:</t>
  </si>
  <si>
    <t xml:space="preserve">  Depreciation of PP&amp;E Write-Up</t>
  </si>
  <si>
    <t xml:space="preserve">  Amorization of Financing Fees:</t>
  </si>
  <si>
    <t>Cash Available for Optional Repayments:</t>
  </si>
  <si>
    <t>Initial Equity Investment</t>
  </si>
  <si>
    <t>Exit EBITDA Multiple</t>
  </si>
  <si>
    <t>Enterprise Value at Exit</t>
  </si>
  <si>
    <t>Less Net Debt:</t>
  </si>
  <si>
    <t xml:space="preserve">  Term Loan B1 Facility:</t>
  </si>
  <si>
    <t xml:space="preserve">  Total Debt:</t>
  </si>
  <si>
    <t xml:space="preserve">  Less: Cash and Equivalents:</t>
  </si>
  <si>
    <t>Net Debt:</t>
  </si>
  <si>
    <t>Equity Value at Exit:</t>
  </si>
  <si>
    <t>Cash Return:</t>
  </si>
  <si>
    <t>Initial Equity Investment:</t>
  </si>
  <si>
    <t>IRR</t>
  </si>
  <si>
    <t>Advisory Fees*:</t>
  </si>
  <si>
    <t>Financing Fees*:</t>
  </si>
  <si>
    <t>Legal &amp; Miscellaneous Fees*:</t>
  </si>
  <si>
    <t xml:space="preserve">  *Note: Deal Fees were quoted as $232.5</t>
  </si>
  <si>
    <t>Debt Instrument</t>
  </si>
  <si>
    <t>Maturity</t>
  </si>
  <si>
    <t>Preferred Equity</t>
  </si>
  <si>
    <t>Rate</t>
  </si>
  <si>
    <t>Preferred Dividend Percentage:</t>
  </si>
  <si>
    <t>Less: Preferred Dividend</t>
  </si>
  <si>
    <t>Less: Preferred Dividend:</t>
  </si>
  <si>
    <t>Preferred Cumulated Perpetual Dividend</t>
  </si>
  <si>
    <t>Preferred Equity Amount:</t>
  </si>
  <si>
    <t>Annual Dividend Amount:</t>
  </si>
  <si>
    <t>Annual Dividend %:</t>
  </si>
  <si>
    <t>Dividend to Carry Forward</t>
  </si>
  <si>
    <t>Depreciation of PP&amp;E Write-Up:</t>
  </si>
  <si>
    <t>New Intangibles Amortization:</t>
  </si>
  <si>
    <t>Amortization of Financing Fees:</t>
  </si>
  <si>
    <t>Accrual of PIK Interest:</t>
  </si>
  <si>
    <t>Mezzanine Note (Cash Pay)</t>
  </si>
  <si>
    <t xml:space="preserve">  Mezzanine Note:</t>
  </si>
  <si>
    <t>Mezzanine Note (PIK)</t>
  </si>
  <si>
    <t>PIK Accrual</t>
  </si>
  <si>
    <t xml:space="preserve">  Accrual of PIK Interest:</t>
  </si>
  <si>
    <t xml:space="preserve">  Interest Expense Mezzanine:</t>
  </si>
  <si>
    <t>Mezzanine Debt:</t>
  </si>
  <si>
    <t>Mezzanine Notes</t>
  </si>
  <si>
    <t xml:space="preserve">  Mezzanine Debt:</t>
  </si>
  <si>
    <t>IRR Base Case Assuming Exit in 2018</t>
  </si>
  <si>
    <t>EBITDA Exit Multiple</t>
  </si>
  <si>
    <t>LTM 2011</t>
  </si>
  <si>
    <t>LTM 2012</t>
  </si>
  <si>
    <t>LTM 2013</t>
  </si>
  <si>
    <t>NTM 2014E</t>
  </si>
  <si>
    <t>NTM 2015E</t>
  </si>
  <si>
    <t>NTM 2016E</t>
  </si>
  <si>
    <t>NTM 2017E</t>
  </si>
  <si>
    <t>NTM 2018E</t>
  </si>
  <si>
    <t>H.J. Heinz LBO Operating Assumptions</t>
  </si>
  <si>
    <t>H.J. Heinz LBO Returns Analysis</t>
  </si>
  <si>
    <t>H.J. Heinz LBO Debt Schedule</t>
  </si>
  <si>
    <t>H.J. Heinz LBO Sources and Uses Statement</t>
  </si>
  <si>
    <t>Offer price</t>
  </si>
  <si>
    <t>Minimum Cash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</si>
</sst>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$&quot;#,##0_);[Red]\(&quot;$&quot;#,##0\)"/>
    <numFmt numFmtId="165" formatCode="&quot;$&quot;#,##0.00_);\(&quot;$&quot;#,##0.00\)"/>
    <numFmt numFmtId="166" formatCode="#,##0.0_);\(#,##0.0\)"/>
    <numFmt numFmtId="167" formatCode="&quot;$&quot;#,##0.0_);\(&quot;$&quot;#,##0.0\)"/>
    <numFmt numFmtId="168" formatCode="#,##0.0%_);\(#,##0.0%\)"/>
    <numFmt numFmtId="169" formatCode="#,##0.0\x"/>
    <numFmt numFmtId="170" formatCode=";;"/>
    <numFmt numFmtId="171" formatCode="0.0%"/>
    <numFmt numFmtId="172" formatCode="0.000%"/>
    <numFmt numFmtId="173" formatCode="&quot;$&quot;#,##0.00"/>
    <numFmt numFmtId="174" formatCode="#,##0.0"/>
    <numFmt numFmtId="175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Helvetica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/>
  </cellStyleXfs>
  <cellXfs count="324">
    <xf numFmtId="0" fontId="0" fillId="0" borderId="0" xfId="0"/>
    <xf numFmtId="0" fontId="1" fillId="3" borderId="6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7" xfId="0" applyFont="1" applyFill="1" applyBorder="1"/>
    <xf numFmtId="0" fontId="2" fillId="2" borderId="0" xfId="0" applyFont="1" applyFill="1"/>
    <xf numFmtId="0" fontId="2" fillId="2" borderId="4" xfId="0" applyFont="1" applyFill="1" applyBorder="1"/>
    <xf numFmtId="0" fontId="2" fillId="0" borderId="4" xfId="0" applyFont="1" applyBorder="1"/>
    <xf numFmtId="0" fontId="5" fillId="0" borderId="0" xfId="0" applyFont="1"/>
    <xf numFmtId="0" fontId="3" fillId="0" borderId="8" xfId="0" applyFont="1" applyBorder="1"/>
    <xf numFmtId="9" fontId="5" fillId="0" borderId="0" xfId="0" applyNumberFormat="1" applyFont="1"/>
    <xf numFmtId="0" fontId="2" fillId="0" borderId="8" xfId="0" applyFont="1" applyBorder="1"/>
    <xf numFmtId="166" fontId="5" fillId="0" borderId="0" xfId="0" applyNumberFormat="1" applyFont="1"/>
    <xf numFmtId="166" fontId="6" fillId="0" borderId="0" xfId="0" applyNumberFormat="1" applyFont="1"/>
    <xf numFmtId="166" fontId="6" fillId="0" borderId="1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/>
    <xf numFmtId="0" fontId="4" fillId="0" borderId="9" xfId="0" applyFont="1" applyBorder="1"/>
    <xf numFmtId="0" fontId="2" fillId="0" borderId="3" xfId="0" applyFont="1" applyBorder="1"/>
    <xf numFmtId="0" fontId="2" fillId="0" borderId="10" xfId="0" applyFont="1" applyBorder="1"/>
    <xf numFmtId="0" fontId="2" fillId="0" borderId="5" xfId="0" applyFont="1" applyBorder="1"/>
    <xf numFmtId="0" fontId="2" fillId="3" borderId="7" xfId="0" applyFont="1" applyFill="1" applyBorder="1"/>
    <xf numFmtId="0" fontId="2" fillId="3" borderId="3" xfId="0" applyFont="1" applyFill="1" applyBorder="1"/>
    <xf numFmtId="0" fontId="3" fillId="2" borderId="8" xfId="0" applyFont="1" applyFill="1" applyBorder="1"/>
    <xf numFmtId="0" fontId="4" fillId="0" borderId="1" xfId="0" applyFont="1" applyBorder="1"/>
    <xf numFmtId="0" fontId="4" fillId="0" borderId="5" xfId="0" applyFont="1" applyBorder="1"/>
    <xf numFmtId="0" fontId="3" fillId="4" borderId="8" xfId="0" applyFont="1" applyFill="1" applyBorder="1"/>
    <xf numFmtId="0" fontId="2" fillId="4" borderId="0" xfId="0" applyFont="1" applyFill="1"/>
    <xf numFmtId="0" fontId="2" fillId="4" borderId="4" xfId="0" applyFont="1" applyFill="1" applyBorder="1"/>
    <xf numFmtId="0" fontId="3" fillId="0" borderId="10" xfId="0" applyFont="1" applyBorder="1"/>
    <xf numFmtId="0" fontId="2" fillId="4" borderId="8" xfId="0" applyFont="1" applyFill="1" applyBorder="1"/>
    <xf numFmtId="167" fontId="6" fillId="0" borderId="0" xfId="0" applyNumberFormat="1" applyFont="1"/>
    <xf numFmtId="166" fontId="5" fillId="0" borderId="4" xfId="0" applyNumberFormat="1" applyFont="1" applyBorder="1"/>
    <xf numFmtId="167" fontId="5" fillId="0" borderId="4" xfId="0" applyNumberFormat="1" applyFont="1" applyBorder="1"/>
    <xf numFmtId="166" fontId="6" fillId="0" borderId="4" xfId="0" applyNumberFormat="1" applyFont="1" applyBorder="1"/>
    <xf numFmtId="166" fontId="6" fillId="0" borderId="5" xfId="0" applyNumberFormat="1" applyFont="1" applyBorder="1"/>
    <xf numFmtId="167" fontId="4" fillId="0" borderId="0" xfId="0" applyNumberFormat="1" applyFont="1"/>
    <xf numFmtId="167" fontId="4" fillId="0" borderId="4" xfId="0" applyNumberFormat="1" applyFont="1" applyBorder="1"/>
    <xf numFmtId="167" fontId="6" fillId="0" borderId="4" xfId="0" applyNumberFormat="1" applyFont="1" applyBorder="1"/>
    <xf numFmtId="167" fontId="4" fillId="0" borderId="1" xfId="0" applyNumberFormat="1" applyFont="1" applyBorder="1"/>
    <xf numFmtId="167" fontId="4" fillId="0" borderId="5" xfId="0" applyNumberFormat="1" applyFont="1" applyBorder="1"/>
    <xf numFmtId="166" fontId="6" fillId="0" borderId="0" xfId="0" applyNumberFormat="1" applyFont="1" applyAlignment="1">
      <alignment horizontal="right" vertical="top" wrapText="1"/>
    </xf>
    <xf numFmtId="167" fontId="7" fillId="0" borderId="1" xfId="0" applyNumberFormat="1" applyFont="1" applyBorder="1" applyAlignment="1">
      <alignment horizontal="right" vertical="top" wrapText="1"/>
    </xf>
    <xf numFmtId="166" fontId="2" fillId="0" borderId="0" xfId="0" applyNumberFormat="1" applyFont="1"/>
    <xf numFmtId="166" fontId="2" fillId="0" borderId="4" xfId="0" applyNumberFormat="1" applyFont="1" applyBorder="1"/>
    <xf numFmtId="167" fontId="0" fillId="0" borderId="0" xfId="0" applyNumberFormat="1"/>
    <xf numFmtId="167" fontId="2" fillId="0" borderId="0" xfId="0" applyNumberFormat="1" applyFont="1"/>
    <xf numFmtId="2" fontId="4" fillId="0" borderId="0" xfId="0" applyNumberFormat="1" applyFont="1"/>
    <xf numFmtId="166" fontId="6" fillId="0" borderId="10" xfId="0" applyNumberFormat="1" applyFont="1" applyBorder="1"/>
    <xf numFmtId="165" fontId="4" fillId="0" borderId="0" xfId="0" applyNumberFormat="1" applyFont="1"/>
    <xf numFmtId="166" fontId="9" fillId="0" borderId="0" xfId="0" applyNumberFormat="1" applyFont="1"/>
    <xf numFmtId="0" fontId="2" fillId="3" borderId="0" xfId="0" applyFont="1" applyFill="1"/>
    <xf numFmtId="0" fontId="3" fillId="2" borderId="0" xfId="0" applyFont="1" applyFill="1"/>
    <xf numFmtId="0" fontId="0" fillId="0" borderId="8" xfId="0" applyBorder="1"/>
    <xf numFmtId="0" fontId="0" fillId="0" borderId="4" xfId="0" applyBorder="1"/>
    <xf numFmtId="167" fontId="9" fillId="0" borderId="0" xfId="0" applyNumberFormat="1" applyFont="1"/>
    <xf numFmtId="0" fontId="0" fillId="0" borderId="1" xfId="0" applyBorder="1"/>
    <xf numFmtId="166" fontId="9" fillId="0" borderId="1" xfId="0" applyNumberFormat="1" applyFont="1" applyBorder="1"/>
    <xf numFmtId="167" fontId="9" fillId="0" borderId="4" xfId="0" applyNumberFormat="1" applyFont="1" applyBorder="1"/>
    <xf numFmtId="166" fontId="9" fillId="0" borderId="4" xfId="0" applyNumberFormat="1" applyFont="1" applyBorder="1"/>
    <xf numFmtId="166" fontId="9" fillId="0" borderId="5" xfId="0" applyNumberFormat="1" applyFont="1" applyBorder="1"/>
    <xf numFmtId="167" fontId="10" fillId="0" borderId="0" xfId="0" applyNumberFormat="1" applyFont="1"/>
    <xf numFmtId="0" fontId="0" fillId="0" borderId="3" xfId="0" applyBorder="1"/>
    <xf numFmtId="167" fontId="10" fillId="0" borderId="4" xfId="0" applyNumberFormat="1" applyFont="1" applyBorder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168" fontId="9" fillId="0" borderId="4" xfId="0" applyNumberFormat="1" applyFont="1" applyBorder="1"/>
    <xf numFmtId="0" fontId="9" fillId="0" borderId="4" xfId="0" applyFont="1" applyBorder="1"/>
    <xf numFmtId="0" fontId="0" fillId="0" borderId="6" xfId="0" applyBorder="1"/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0" fillId="0" borderId="0" xfId="0" applyNumberFormat="1"/>
    <xf numFmtId="168" fontId="5" fillId="0" borderId="0" xfId="0" applyNumberFormat="1" applyFont="1"/>
    <xf numFmtId="168" fontId="5" fillId="0" borderId="4" xfId="0" applyNumberFormat="1" applyFont="1" applyBorder="1"/>
    <xf numFmtId="168" fontId="2" fillId="0" borderId="0" xfId="0" applyNumberFormat="1" applyFont="1"/>
    <xf numFmtId="168" fontId="6" fillId="0" borderId="0" xfId="0" applyNumberFormat="1" applyFont="1"/>
    <xf numFmtId="168" fontId="2" fillId="0" borderId="4" xfId="0" applyNumberFormat="1" applyFont="1" applyBorder="1"/>
    <xf numFmtId="10" fontId="5" fillId="0" borderId="0" xfId="0" applyNumberFormat="1" applyFont="1"/>
    <xf numFmtId="168" fontId="6" fillId="0" borderId="4" xfId="0" applyNumberFormat="1" applyFont="1" applyBorder="1"/>
    <xf numFmtId="166" fontId="6" fillId="5" borderId="4" xfId="0" applyNumberFormat="1" applyFont="1" applyFill="1" applyBorder="1"/>
    <xf numFmtId="0" fontId="2" fillId="5" borderId="8" xfId="0" applyFont="1" applyFill="1" applyBorder="1"/>
    <xf numFmtId="0" fontId="0" fillId="5" borderId="0" xfId="0" applyFill="1"/>
    <xf numFmtId="166" fontId="9" fillId="5" borderId="0" xfId="0" applyNumberFormat="1" applyFont="1" applyFill="1"/>
    <xf numFmtId="167" fontId="6" fillId="5" borderId="4" xfId="0" applyNumberFormat="1" applyFont="1" applyFill="1" applyBorder="1"/>
    <xf numFmtId="0" fontId="1" fillId="0" borderId="0" xfId="0" applyFont="1"/>
    <xf numFmtId="167" fontId="3" fillId="0" borderId="0" xfId="0" applyNumberFormat="1" applyFont="1"/>
    <xf numFmtId="167" fontId="3" fillId="0" borderId="4" xfId="0" applyNumberFormat="1" applyFont="1" applyBorder="1"/>
    <xf numFmtId="0" fontId="12" fillId="3" borderId="0" xfId="0" applyFont="1" applyFill="1"/>
    <xf numFmtId="165" fontId="2" fillId="0" borderId="0" xfId="0" applyNumberFormat="1" applyFont="1"/>
    <xf numFmtId="0" fontId="9" fillId="0" borderId="0" xfId="0" applyFont="1"/>
    <xf numFmtId="169" fontId="10" fillId="0" borderId="7" xfId="0" applyNumberFormat="1" applyFont="1" applyBorder="1"/>
    <xf numFmtId="0" fontId="3" fillId="0" borderId="7" xfId="0" applyFont="1" applyBorder="1"/>
    <xf numFmtId="167" fontId="4" fillId="0" borderId="12" xfId="0" applyNumberFormat="1" applyFont="1" applyBorder="1"/>
    <xf numFmtId="0" fontId="12" fillId="3" borderId="7" xfId="0" applyFont="1" applyFill="1" applyBorder="1"/>
    <xf numFmtId="0" fontId="12" fillId="3" borderId="3" xfId="0" applyFont="1" applyFill="1" applyBorder="1"/>
    <xf numFmtId="0" fontId="12" fillId="3" borderId="8" xfId="0" applyFont="1" applyFill="1" applyBorder="1"/>
    <xf numFmtId="0" fontId="12" fillId="3" borderId="4" xfId="0" applyFont="1" applyFill="1" applyBorder="1"/>
    <xf numFmtId="0" fontId="0" fillId="4" borderId="8" xfId="0" applyFill="1" applyBorder="1"/>
    <xf numFmtId="0" fontId="0" fillId="4" borderId="0" xfId="0" applyFill="1"/>
    <xf numFmtId="0" fontId="0" fillId="4" borderId="4" xfId="0" applyFill="1" applyBorder="1"/>
    <xf numFmtId="0" fontId="11" fillId="0" borderId="8" xfId="0" applyFont="1" applyBorder="1"/>
    <xf numFmtId="169" fontId="6" fillId="0" borderId="1" xfId="0" applyNumberFormat="1" applyFont="1" applyBorder="1"/>
    <xf numFmtId="167" fontId="2" fillId="0" borderId="5" xfId="0" applyNumberFormat="1" applyFont="1" applyBorder="1"/>
    <xf numFmtId="0" fontId="2" fillId="3" borderId="4" xfId="0" applyFont="1" applyFill="1" applyBorder="1"/>
    <xf numFmtId="0" fontId="3" fillId="4" borderId="0" xfId="0" applyFont="1" applyFill="1"/>
    <xf numFmtId="0" fontId="3" fillId="4" borderId="4" xfId="0" applyFont="1" applyFill="1" applyBorder="1"/>
    <xf numFmtId="0" fontId="18" fillId="2" borderId="11" xfId="0" applyFont="1" applyFill="1" applyBorder="1"/>
    <xf numFmtId="0" fontId="18" fillId="2" borderId="2" xfId="0" applyFont="1" applyFill="1" applyBorder="1"/>
    <xf numFmtId="0" fontId="19" fillId="0" borderId="0" xfId="0" applyFont="1"/>
    <xf numFmtId="167" fontId="2" fillId="0" borderId="4" xfId="0" applyNumberFormat="1" applyFont="1" applyBorder="1"/>
    <xf numFmtId="167" fontId="2" fillId="0" borderId="1" xfId="0" applyNumberFormat="1" applyFont="1" applyBorder="1"/>
    <xf numFmtId="9" fontId="2" fillId="0" borderId="0" xfId="0" applyNumberFormat="1" applyFont="1"/>
    <xf numFmtId="165" fontId="6" fillId="0" borderId="0" xfId="0" applyNumberFormat="1" applyFont="1"/>
    <xf numFmtId="0" fontId="2" fillId="5" borderId="0" xfId="0" applyFont="1" applyFill="1"/>
    <xf numFmtId="2" fontId="0" fillId="0" borderId="0" xfId="0" applyNumberFormat="1"/>
    <xf numFmtId="0" fontId="1" fillId="3" borderId="7" xfId="0" applyFont="1" applyFill="1" applyBorder="1"/>
    <xf numFmtId="168" fontId="9" fillId="0" borderId="0" xfId="0" applyNumberFormat="1" applyFont="1"/>
    <xf numFmtId="168" fontId="2" fillId="5" borderId="0" xfId="0" applyNumberFormat="1" applyFont="1" applyFill="1"/>
    <xf numFmtId="0" fontId="2" fillId="5" borderId="4" xfId="0" applyFont="1" applyFill="1" applyBorder="1"/>
    <xf numFmtId="168" fontId="9" fillId="0" borderId="1" xfId="0" applyNumberFormat="1" applyFont="1" applyBorder="1"/>
    <xf numFmtId="168" fontId="9" fillId="0" borderId="5" xfId="0" applyNumberFormat="1" applyFont="1" applyBorder="1"/>
    <xf numFmtId="0" fontId="3" fillId="3" borderId="0" xfId="0" applyFont="1" applyFill="1"/>
    <xf numFmtId="0" fontId="3" fillId="3" borderId="8" xfId="0" applyFont="1" applyFill="1" applyBorder="1"/>
    <xf numFmtId="0" fontId="2" fillId="3" borderId="8" xfId="0" applyFont="1" applyFill="1" applyBorder="1"/>
    <xf numFmtId="0" fontId="1" fillId="3" borderId="8" xfId="0" applyFont="1" applyFill="1" applyBorder="1"/>
    <xf numFmtId="0" fontId="2" fillId="0" borderId="7" xfId="0" applyFont="1" applyBorder="1"/>
    <xf numFmtId="10" fontId="2" fillId="0" borderId="0" xfId="0" applyNumberFormat="1" applyFont="1"/>
    <xf numFmtId="9" fontId="6" fillId="0" borderId="4" xfId="0" applyNumberFormat="1" applyFont="1" applyBorder="1"/>
    <xf numFmtId="9" fontId="5" fillId="0" borderId="4" xfId="0" applyNumberFormat="1" applyFont="1" applyBorder="1"/>
    <xf numFmtId="10" fontId="15" fillId="0" borderId="0" xfId="0" applyNumberFormat="1" applyFont="1"/>
    <xf numFmtId="0" fontId="16" fillId="0" borderId="0" xfId="0" applyFont="1"/>
    <xf numFmtId="10" fontId="6" fillId="0" borderId="4" xfId="0" applyNumberFormat="1" applyFont="1" applyBorder="1"/>
    <xf numFmtId="0" fontId="5" fillId="0" borderId="4" xfId="0" applyFont="1" applyBorder="1"/>
    <xf numFmtId="0" fontId="15" fillId="0" borderId="0" xfId="0" applyFont="1"/>
    <xf numFmtId="10" fontId="5" fillId="0" borderId="4" xfId="0" applyNumberFormat="1" applyFont="1" applyBorder="1"/>
    <xf numFmtId="0" fontId="13" fillId="0" borderId="0" xfId="0" applyFont="1"/>
    <xf numFmtId="0" fontId="17" fillId="0" borderId="8" xfId="0" applyFont="1" applyBorder="1"/>
    <xf numFmtId="0" fontId="14" fillId="0" borderId="0" xfId="0" applyFont="1"/>
    <xf numFmtId="0" fontId="2" fillId="2" borderId="10" xfId="0" applyFont="1" applyFill="1" applyBorder="1"/>
    <xf numFmtId="0" fontId="15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9" fillId="0" borderId="8" xfId="0" applyFont="1" applyBorder="1"/>
    <xf numFmtId="164" fontId="20" fillId="0" borderId="0" xfId="0" applyNumberFormat="1" applyFont="1"/>
    <xf numFmtId="167" fontId="18" fillId="0" borderId="0" xfId="0" applyNumberFormat="1" applyFont="1"/>
    <xf numFmtId="0" fontId="20" fillId="0" borderId="8" xfId="0" applyFont="1" applyBorder="1"/>
    <xf numFmtId="166" fontId="21" fillId="0" borderId="0" xfId="0" applyNumberFormat="1" applyFont="1"/>
    <xf numFmtId="166" fontId="21" fillId="0" borderId="4" xfId="0" applyNumberFormat="1" applyFont="1" applyBorder="1"/>
    <xf numFmtId="164" fontId="19" fillId="0" borderId="0" xfId="0" applyNumberFormat="1" applyFont="1"/>
    <xf numFmtId="167" fontId="19" fillId="0" borderId="0" xfId="0" applyNumberFormat="1" applyFont="1"/>
    <xf numFmtId="166" fontId="20" fillId="0" borderId="0" xfId="0" applyNumberFormat="1" applyFont="1"/>
    <xf numFmtId="166" fontId="20" fillId="0" borderId="4" xfId="0" applyNumberFormat="1" applyFont="1" applyBorder="1"/>
    <xf numFmtId="0" fontId="13" fillId="0" borderId="8" xfId="0" applyFont="1" applyBorder="1"/>
    <xf numFmtId="166" fontId="13" fillId="0" borderId="0" xfId="0" applyNumberFormat="1" applyFont="1"/>
    <xf numFmtId="166" fontId="13" fillId="0" borderId="4" xfId="0" applyNumberFormat="1" applyFont="1" applyBorder="1"/>
    <xf numFmtId="168" fontId="20" fillId="0" borderId="0" xfId="0" applyNumberFormat="1" applyFont="1"/>
    <xf numFmtId="168" fontId="20" fillId="0" borderId="4" xfId="0" applyNumberFormat="1" applyFont="1" applyBorder="1"/>
    <xf numFmtId="0" fontId="19" fillId="0" borderId="10" xfId="0" applyFont="1" applyBorder="1"/>
    <xf numFmtId="164" fontId="19" fillId="0" borderId="1" xfId="0" applyNumberFormat="1" applyFont="1" applyBorder="1"/>
    <xf numFmtId="167" fontId="19" fillId="0" borderId="1" xfId="0" applyNumberFormat="1" applyFont="1" applyBorder="1"/>
    <xf numFmtId="0" fontId="2" fillId="4" borderId="2" xfId="0" applyFont="1" applyFill="1" applyBorder="1"/>
    <xf numFmtId="0" fontId="18" fillId="4" borderId="6" xfId="0" applyFont="1" applyFill="1" applyBorder="1"/>
    <xf numFmtId="0" fontId="2" fillId="4" borderId="7" xfId="0" applyFont="1" applyFill="1" applyBorder="1"/>
    <xf numFmtId="167" fontId="24" fillId="0" borderId="0" xfId="0" applyNumberFormat="1" applyFont="1"/>
    <xf numFmtId="167" fontId="24" fillId="0" borderId="4" xfId="0" applyNumberFormat="1" applyFont="1" applyBorder="1"/>
    <xf numFmtId="166" fontId="23" fillId="0" borderId="0" xfId="0" applyNumberFormat="1" applyFont="1"/>
    <xf numFmtId="166" fontId="23" fillId="0" borderId="4" xfId="0" applyNumberFormat="1" applyFont="1" applyBorder="1"/>
    <xf numFmtId="167" fontId="22" fillId="0" borderId="0" xfId="0" applyNumberFormat="1" applyFont="1"/>
    <xf numFmtId="167" fontId="22" fillId="0" borderId="4" xfId="0" applyNumberFormat="1" applyFont="1" applyBorder="1"/>
    <xf numFmtId="164" fontId="20" fillId="0" borderId="4" xfId="0" applyNumberFormat="1" applyFont="1" applyBorder="1"/>
    <xf numFmtId="167" fontId="22" fillId="0" borderId="1" xfId="0" applyNumberFormat="1" applyFont="1" applyBorder="1"/>
    <xf numFmtId="167" fontId="22" fillId="0" borderId="5" xfId="0" applyNumberFormat="1" applyFont="1" applyBorder="1"/>
    <xf numFmtId="168" fontId="21" fillId="0" borderId="0" xfId="0" applyNumberFormat="1" applyFont="1"/>
    <xf numFmtId="168" fontId="21" fillId="0" borderId="4" xfId="0" applyNumberFormat="1" applyFont="1" applyBorder="1"/>
    <xf numFmtId="0" fontId="20" fillId="0" borderId="6" xfId="0" applyFont="1" applyBorder="1"/>
    <xf numFmtId="0" fontId="20" fillId="0" borderId="10" xfId="0" applyFont="1" applyBorder="1"/>
    <xf numFmtId="0" fontId="25" fillId="3" borderId="6" xfId="0" applyFont="1" applyFill="1" applyBorder="1"/>
    <xf numFmtId="0" fontId="18" fillId="0" borderId="8" xfId="0" applyFont="1" applyBorder="1"/>
    <xf numFmtId="0" fontId="20" fillId="3" borderId="7" xfId="0" applyFont="1" applyFill="1" applyBorder="1"/>
    <xf numFmtId="0" fontId="20" fillId="3" borderId="3" xfId="0" applyFont="1" applyFill="1" applyBorder="1"/>
    <xf numFmtId="0" fontId="20" fillId="3" borderId="10" xfId="0" applyFont="1" applyFill="1" applyBorder="1"/>
    <xf numFmtId="0" fontId="20" fillId="3" borderId="1" xfId="0" applyFont="1" applyFill="1" applyBorder="1"/>
    <xf numFmtId="0" fontId="20" fillId="3" borderId="0" xfId="0" applyFont="1" applyFill="1"/>
    <xf numFmtId="0" fontId="20" fillId="3" borderId="4" xfId="0" applyFont="1" applyFill="1" applyBorder="1"/>
    <xf numFmtId="0" fontId="2" fillId="2" borderId="11" xfId="0" applyFont="1" applyFill="1" applyBorder="1"/>
    <xf numFmtId="0" fontId="2" fillId="2" borderId="2" xfId="0" applyFont="1" applyFill="1" applyBorder="1"/>
    <xf numFmtId="169" fontId="9" fillId="4" borderId="5" xfId="0" applyNumberFormat="1" applyFont="1" applyFill="1" applyBorder="1"/>
    <xf numFmtId="167" fontId="10" fillId="0" borderId="1" xfId="0" applyNumberFormat="1" applyFont="1" applyBorder="1"/>
    <xf numFmtId="0" fontId="3" fillId="4" borderId="11" xfId="0" applyFont="1" applyFill="1" applyBorder="1"/>
    <xf numFmtId="0" fontId="2" fillId="0" borderId="11" xfId="0" applyFont="1" applyBorder="1"/>
    <xf numFmtId="0" fontId="2" fillId="0" borderId="2" xfId="0" applyFont="1" applyBorder="1"/>
    <xf numFmtId="0" fontId="3" fillId="2" borderId="11" xfId="0" applyFont="1" applyFill="1" applyBorder="1"/>
    <xf numFmtId="0" fontId="3" fillId="2" borderId="2" xfId="0" applyFont="1" applyFill="1" applyBorder="1"/>
    <xf numFmtId="0" fontId="8" fillId="0" borderId="0" xfId="0" applyFont="1"/>
    <xf numFmtId="165" fontId="8" fillId="0" borderId="0" xfId="0" applyNumberFormat="1" applyFont="1"/>
    <xf numFmtId="167" fontId="3" fillId="0" borderId="1" xfId="0" applyNumberFormat="1" applyFont="1" applyBorder="1"/>
    <xf numFmtId="167" fontId="3" fillId="0" borderId="5" xfId="0" applyNumberFormat="1" applyFont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" fillId="3" borderId="3" xfId="0" applyFont="1" applyFill="1" applyBorder="1"/>
    <xf numFmtId="0" fontId="1" fillId="4" borderId="8" xfId="0" applyFont="1" applyFill="1" applyBorder="1"/>
    <xf numFmtId="0" fontId="1" fillId="4" borderId="0" xfId="0" applyFont="1" applyFill="1"/>
    <xf numFmtId="0" fontId="1" fillId="4" borderId="4" xfId="0" applyFont="1" applyFill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3" fillId="0" borderId="4" xfId="0" applyFont="1" applyBorder="1"/>
    <xf numFmtId="0" fontId="11" fillId="0" borderId="10" xfId="0" applyFont="1" applyBorder="1"/>
    <xf numFmtId="0" fontId="11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8" fontId="2" fillId="0" borderId="8" xfId="0" applyNumberFormat="1" applyFont="1" applyBorder="1"/>
    <xf numFmtId="166" fontId="2" fillId="0" borderId="8" xfId="0" applyNumberFormat="1" applyFont="1" applyBorder="1"/>
    <xf numFmtId="168" fontId="2" fillId="0" borderId="10" xfId="0" applyNumberFormat="1" applyFont="1" applyBorder="1"/>
    <xf numFmtId="168" fontId="2" fillId="0" borderId="1" xfId="0" applyNumberFormat="1" applyFont="1" applyBorder="1"/>
    <xf numFmtId="168" fontId="2" fillId="0" borderId="5" xfId="0" applyNumberFormat="1" applyFont="1" applyBorder="1"/>
    <xf numFmtId="166" fontId="2" fillId="5" borderId="0" xfId="0" applyNumberFormat="1" applyFont="1" applyFill="1"/>
    <xf numFmtId="166" fontId="2" fillId="5" borderId="4" xfId="0" applyNumberFormat="1" applyFont="1" applyFill="1" applyBorder="1"/>
    <xf numFmtId="0" fontId="3" fillId="0" borderId="9" xfId="0" applyFont="1" applyBorder="1" applyAlignment="1">
      <alignment horizontal="center"/>
    </xf>
    <xf numFmtId="166" fontId="2" fillId="0" borderId="1" xfId="0" applyNumberFormat="1" applyFont="1" applyBorder="1"/>
    <xf numFmtId="166" fontId="3" fillId="0" borderId="0" xfId="0" applyNumberFormat="1" applyFont="1"/>
    <xf numFmtId="167" fontId="2" fillId="5" borderId="0" xfId="0" applyNumberFormat="1" applyFont="1" applyFill="1"/>
    <xf numFmtId="167" fontId="2" fillId="5" borderId="4" xfId="0" applyNumberFormat="1" applyFont="1" applyFill="1" applyBorder="1"/>
    <xf numFmtId="2" fontId="3" fillId="0" borderId="0" xfId="0" applyNumberFormat="1" applyFont="1"/>
    <xf numFmtId="166" fontId="5" fillId="0" borderId="0" xfId="0" applyNumberFormat="1" applyFont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0" fontId="1" fillId="3" borderId="0" xfId="0" applyFont="1" applyFill="1"/>
    <xf numFmtId="0" fontId="1" fillId="3" borderId="4" xfId="0" applyFont="1" applyFill="1" applyBorder="1"/>
    <xf numFmtId="9" fontId="2" fillId="0" borderId="4" xfId="0" applyNumberFormat="1" applyFont="1" applyBorder="1"/>
    <xf numFmtId="0" fontId="0" fillId="0" borderId="10" xfId="0" applyBorder="1"/>
    <xf numFmtId="168" fontId="0" fillId="0" borderId="0" xfId="0" applyNumberFormat="1"/>
    <xf numFmtId="0" fontId="2" fillId="0" borderId="6" xfId="0" applyFont="1" applyBorder="1"/>
    <xf numFmtId="2" fontId="6" fillId="0" borderId="0" xfId="0" applyNumberFormat="1" applyFont="1"/>
    <xf numFmtId="0" fontId="0" fillId="0" borderId="5" xfId="0" applyBorder="1"/>
    <xf numFmtId="166" fontId="9" fillId="5" borderId="4" xfId="0" applyNumberFormat="1" applyFont="1" applyFill="1" applyBorder="1"/>
    <xf numFmtId="0" fontId="11" fillId="4" borderId="0" xfId="0" applyFont="1" applyFill="1"/>
    <xf numFmtId="0" fontId="11" fillId="4" borderId="4" xfId="0" applyFont="1" applyFill="1" applyBorder="1"/>
    <xf numFmtId="166" fontId="10" fillId="0" borderId="0" xfId="0" applyNumberFormat="1" applyFont="1"/>
    <xf numFmtId="168" fontId="0" fillId="0" borderId="1" xfId="0" applyNumberFormat="1" applyBorder="1"/>
    <xf numFmtId="168" fontId="0" fillId="0" borderId="5" xfId="0" applyNumberFormat="1" applyBorder="1"/>
    <xf numFmtId="166" fontId="6" fillId="0" borderId="3" xfId="0" applyNumberFormat="1" applyFont="1" applyBorder="1"/>
    <xf numFmtId="169" fontId="4" fillId="4" borderId="2" xfId="0" applyNumberFormat="1" applyFont="1" applyFill="1" applyBorder="1"/>
    <xf numFmtId="166" fontId="0" fillId="0" borderId="0" xfId="0" applyNumberFormat="1"/>
    <xf numFmtId="167" fontId="9" fillId="5" borderId="0" xfId="0" applyNumberFormat="1" applyFont="1" applyFill="1"/>
    <xf numFmtId="167" fontId="9" fillId="6" borderId="0" xfId="0" applyNumberFormat="1" applyFont="1" applyFill="1"/>
    <xf numFmtId="167" fontId="9" fillId="5" borderId="4" xfId="0" applyNumberFormat="1" applyFont="1" applyFill="1" applyBorder="1"/>
    <xf numFmtId="9" fontId="6" fillId="0" borderId="0" xfId="0" applyNumberFormat="1" applyFont="1"/>
    <xf numFmtId="0" fontId="0" fillId="5" borderId="4" xfId="0" applyFill="1" applyBorder="1"/>
    <xf numFmtId="166" fontId="5" fillId="5" borderId="0" xfId="0" applyNumberFormat="1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2" fillId="5" borderId="4" xfId="0" applyFont="1" applyFill="1" applyBorder="1" applyAlignment="1">
      <alignment horizontal="center"/>
    </xf>
    <xf numFmtId="165" fontId="10" fillId="0" borderId="0" xfId="0" applyNumberFormat="1" applyFont="1"/>
    <xf numFmtId="169" fontId="0" fillId="0" borderId="0" xfId="0" applyNumberFormat="1"/>
    <xf numFmtId="9" fontId="0" fillId="0" borderId="0" xfId="0" applyNumberFormat="1"/>
    <xf numFmtId="169" fontId="0" fillId="5" borderId="1" xfId="0" applyNumberFormat="1" applyFill="1" applyBorder="1"/>
    <xf numFmtId="0" fontId="1" fillId="3" borderId="7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11" fillId="4" borderId="8" xfId="0" applyFont="1" applyFill="1" applyBorder="1" applyAlignment="1">
      <alignment horizontal="center"/>
    </xf>
    <xf numFmtId="169" fontId="0" fillId="5" borderId="5" xfId="0" applyNumberFormat="1" applyFill="1" applyBorder="1"/>
    <xf numFmtId="168" fontId="0" fillId="0" borderId="4" xfId="0" applyNumberFormat="1" applyBorder="1"/>
    <xf numFmtId="0" fontId="11" fillId="4" borderId="10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Continuous"/>
    </xf>
    <xf numFmtId="0" fontId="11" fillId="4" borderId="5" xfId="0" applyFont="1" applyFill="1" applyBorder="1" applyAlignment="1">
      <alignment horizontal="centerContinuous"/>
    </xf>
    <xf numFmtId="168" fontId="11" fillId="4" borderId="0" xfId="0" applyNumberFormat="1" applyFont="1" applyFill="1"/>
    <xf numFmtId="168" fontId="12" fillId="3" borderId="0" xfId="0" applyNumberFormat="1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7" fillId="7" borderId="0" xfId="0" applyFont="1" applyFill="1"/>
    <xf numFmtId="165" fontId="2" fillId="7" borderId="0" xfId="0" applyNumberFormat="1" applyFont="1" applyFill="1"/>
    <xf numFmtId="171" fontId="6" fillId="0" borderId="4" xfId="0" applyNumberFormat="1" applyFont="1" applyBorder="1"/>
    <xf numFmtId="171" fontId="5" fillId="0" borderId="4" xfId="0" applyNumberFormat="1" applyFont="1" applyBorder="1"/>
    <xf numFmtId="172" fontId="6" fillId="0" borderId="4" xfId="0" applyNumberFormat="1" applyFont="1" applyBorder="1"/>
    <xf numFmtId="173" fontId="0" fillId="5" borderId="13" xfId="0" applyNumberFormat="1" applyFill="1" applyBorder="1"/>
    <xf numFmtId="173" fontId="0" fillId="5" borderId="14" xfId="0" applyNumberFormat="1" applyFill="1" applyBorder="1"/>
    <xf numFmtId="2" fontId="5" fillId="0" borderId="0" xfId="0" applyNumberFormat="1" applyFont="1"/>
    <xf numFmtId="167" fontId="4" fillId="0" borderId="3" xfId="0" applyNumberFormat="1" applyFont="1" applyBorder="1"/>
    <xf numFmtId="166" fontId="6" fillId="0" borderId="14" xfId="0" applyNumberFormat="1" applyFont="1" applyBorder="1"/>
    <xf numFmtId="167" fontId="4" fillId="0" borderId="15" xfId="0" applyNumberFormat="1" applyFont="1" applyBorder="1"/>
    <xf numFmtId="167" fontId="20" fillId="0" borderId="0" xfId="0" applyNumberFormat="1" applyFont="1"/>
    <xf numFmtId="167" fontId="18" fillId="0" borderId="3" xfId="0" applyNumberFormat="1" applyFont="1" applyBorder="1"/>
    <xf numFmtId="167" fontId="20" fillId="0" borderId="4" xfId="0" applyNumberFormat="1" applyFont="1" applyBorder="1"/>
    <xf numFmtId="167" fontId="24" fillId="0" borderId="3" xfId="0" applyNumberFormat="1" applyFont="1" applyBorder="1"/>
    <xf numFmtId="166" fontId="9" fillId="0" borderId="8" xfId="0" applyNumberFormat="1" applyFont="1" applyBorder="1"/>
    <xf numFmtId="167" fontId="9" fillId="5" borderId="8" xfId="0" applyNumberFormat="1" applyFont="1" applyFill="1" applyBorder="1"/>
    <xf numFmtId="166" fontId="9" fillId="0" borderId="13" xfId="0" applyNumberFormat="1" applyFont="1" applyBorder="1"/>
    <xf numFmtId="167" fontId="9" fillId="5" borderId="13" xfId="0" applyNumberFormat="1" applyFont="1" applyFill="1" applyBorder="1"/>
    <xf numFmtId="167" fontId="4" fillId="0" borderId="6" xfId="0" applyNumberFormat="1" applyFont="1" applyBorder="1"/>
    <xf numFmtId="167" fontId="4" fillId="0" borderId="7" xfId="0" applyNumberFormat="1" applyFont="1" applyBorder="1"/>
    <xf numFmtId="167" fontId="4" fillId="0" borderId="8" xfId="0" applyNumberFormat="1" applyFont="1" applyBorder="1"/>
    <xf numFmtId="174" fontId="6" fillId="0" borderId="4" xfId="0" applyNumberFormat="1" applyFont="1" applyBorder="1"/>
    <xf numFmtId="166" fontId="2" fillId="7" borderId="0" xfId="0" applyNumberFormat="1" applyFont="1" applyFill="1"/>
    <xf numFmtId="174" fontId="6" fillId="0" borderId="0" xfId="0" applyNumberFormat="1" applyFont="1"/>
    <xf numFmtId="167" fontId="6" fillId="0" borderId="8" xfId="0" applyNumberFormat="1" applyFont="1" applyBorder="1"/>
    <xf numFmtId="167" fontId="6" fillId="5" borderId="8" xfId="0" applyNumberFormat="1" applyFont="1" applyFill="1" applyBorder="1"/>
    <xf numFmtId="167" fontId="6" fillId="5" borderId="0" xfId="0" applyNumberFormat="1" applyFont="1" applyFill="1"/>
    <xf numFmtId="166" fontId="6" fillId="0" borderId="4" xfId="0" applyNumberFormat="1" applyFont="1" applyBorder="1" applyAlignment="1">
      <alignment horizontal="right" vertical="top" wrapText="1"/>
    </xf>
    <xf numFmtId="166" fontId="6" fillId="5" borderId="8" xfId="0" applyNumberFormat="1" applyFont="1" applyFill="1" applyBorder="1"/>
    <xf numFmtId="166" fontId="6" fillId="5" borderId="0" xfId="0" applyNumberFormat="1" applyFont="1" applyFill="1"/>
    <xf numFmtId="165" fontId="6" fillId="0" borderId="4" xfId="0" applyNumberFormat="1" applyFont="1" applyBorder="1"/>
    <xf numFmtId="167" fontId="0" fillId="0" borderId="4" xfId="0" applyNumberFormat="1" applyBorder="1"/>
    <xf numFmtId="175" fontId="2" fillId="5" borderId="0" xfId="0" applyNumberFormat="1" applyFont="1" applyFill="1"/>
    <xf numFmtId="175" fontId="2" fillId="5" borderId="4" xfId="0" applyNumberFormat="1" applyFont="1" applyFill="1" applyBorder="1"/>
    <xf numFmtId="10" fontId="4" fillId="2" borderId="2" xfId="0" applyNumberFormat="1" applyFont="1" applyFill="1" applyBorder="1"/>
    <xf numFmtId="0" fontId="3" fillId="2" borderId="9" xfId="0" applyFont="1" applyFill="1" applyBorder="1"/>
    <xf numFmtId="167" fontId="10" fillId="0" borderId="5" xfId="0" applyNumberFormat="1" applyFont="1" applyBorder="1"/>
    <xf numFmtId="165" fontId="4" fillId="0" borderId="4" xfId="0" applyNumberFormat="1" applyFont="1" applyBorder="1"/>
    <xf numFmtId="169" fontId="4" fillId="4" borderId="9" xfId="0" applyNumberFormat="1" applyFont="1" applyFill="1" applyBorder="1"/>
    <xf numFmtId="10" fontId="4" fillId="2" borderId="9" xfId="0" applyNumberFormat="1" applyFont="1" applyFill="1" applyBorder="1"/>
    <xf numFmtId="170" fontId="3" fillId="5" borderId="8" xfId="0" applyNumberFormat="1" applyFont="1" applyFill="1" applyBorder="1"/>
    <xf numFmtId="0" fontId="3" fillId="4" borderId="2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0"/>
  <sheetViews>
    <sheetView showGridLines="0" tabSelected="1" topLeftCell="A203" zoomScale="99" zoomScaleNormal="80" workbookViewId="0">
      <selection activeCell="G178" sqref="G178"/>
    </sheetView>
  </sheetViews>
  <sheetFormatPr defaultRowHeight="14.4" x14ac:dyDescent="0.3"/>
  <cols>
    <col min="1" max="1" width="2.77734375" customWidth="1"/>
    <col min="3" max="3" width="10.88671875" customWidth="1"/>
    <col min="4" max="4" width="15.33203125" customWidth="1"/>
    <col min="5" max="5" width="12.6640625" customWidth="1"/>
    <col min="6" max="6" width="10.77734375" customWidth="1"/>
    <col min="7" max="7" width="12.6640625" bestFit="1" customWidth="1"/>
    <col min="8" max="9" width="11.6640625" bestFit="1" customWidth="1"/>
    <col min="10" max="11" width="11.6640625" customWidth="1"/>
    <col min="12" max="15" width="11.33203125" bestFit="1" customWidth="1"/>
  </cols>
  <sheetData>
    <row r="2" spans="2:11" x14ac:dyDescent="0.3">
      <c r="B2" s="1" t="s">
        <v>114</v>
      </c>
      <c r="C2" s="98"/>
      <c r="D2" s="98"/>
      <c r="E2" s="98"/>
      <c r="F2" s="98"/>
      <c r="G2" s="98"/>
      <c r="H2" s="98"/>
      <c r="I2" s="98"/>
      <c r="J2" s="98"/>
      <c r="K2" s="99"/>
    </row>
    <row r="3" spans="2:11" x14ac:dyDescent="0.3">
      <c r="B3" s="100" t="s">
        <v>0</v>
      </c>
      <c r="C3" s="92"/>
      <c r="D3" s="92"/>
      <c r="E3" s="92"/>
      <c r="F3" s="92"/>
      <c r="G3" s="92"/>
      <c r="H3" s="92"/>
      <c r="I3" s="92"/>
      <c r="J3" s="92"/>
      <c r="K3" s="101"/>
    </row>
    <row r="4" spans="2:11" x14ac:dyDescent="0.3">
      <c r="B4" s="102"/>
      <c r="C4" s="103"/>
      <c r="D4" s="103"/>
      <c r="E4" s="103"/>
      <c r="F4" s="103"/>
      <c r="G4" s="103"/>
      <c r="H4" s="103"/>
      <c r="I4" s="103"/>
      <c r="J4" s="103"/>
      <c r="K4" s="104"/>
    </row>
    <row r="5" spans="2:11" x14ac:dyDescent="0.3">
      <c r="B5" s="105" t="s">
        <v>132</v>
      </c>
      <c r="K5" s="59"/>
    </row>
    <row r="6" spans="2:11" x14ac:dyDescent="0.3">
      <c r="B6" s="58"/>
      <c r="K6" s="59"/>
    </row>
    <row r="7" spans="2:11" x14ac:dyDescent="0.3">
      <c r="B7" s="15" t="s">
        <v>133</v>
      </c>
      <c r="C7" s="2"/>
      <c r="D7" s="2"/>
      <c r="E7" s="94">
        <v>60.72</v>
      </c>
      <c r="F7" s="2"/>
      <c r="G7" s="2" t="s">
        <v>175</v>
      </c>
      <c r="H7" s="2"/>
      <c r="I7" s="2"/>
      <c r="J7" s="14">
        <v>0.01</v>
      </c>
      <c r="K7" s="59"/>
    </row>
    <row r="8" spans="2:11" x14ac:dyDescent="0.3">
      <c r="B8" s="15" t="s">
        <v>134</v>
      </c>
      <c r="C8" s="2"/>
      <c r="D8" s="2"/>
      <c r="E8" s="14">
        <v>0.19</v>
      </c>
      <c r="F8" s="2"/>
      <c r="G8" s="2" t="s">
        <v>176</v>
      </c>
      <c r="H8" s="2"/>
      <c r="I8" s="2"/>
      <c r="J8" s="82">
        <v>2E-3</v>
      </c>
      <c r="K8" s="59"/>
    </row>
    <row r="9" spans="2:11" x14ac:dyDescent="0.3">
      <c r="B9" s="15" t="s">
        <v>135</v>
      </c>
      <c r="C9" s="2"/>
      <c r="D9" s="2"/>
      <c r="E9" s="239">
        <f>E7*(1+E8)</f>
        <v>72.256799999999998</v>
      </c>
      <c r="F9" s="2"/>
      <c r="G9" s="2" t="s">
        <v>302</v>
      </c>
      <c r="H9" s="2"/>
      <c r="I9" s="2"/>
      <c r="J9" s="283">
        <v>250</v>
      </c>
      <c r="K9" s="59"/>
    </row>
    <row r="10" spans="2:11" x14ac:dyDescent="0.3">
      <c r="B10" s="15"/>
      <c r="C10" s="2"/>
      <c r="D10" s="2"/>
      <c r="E10" s="2"/>
      <c r="F10" s="2"/>
      <c r="G10" s="2" t="s">
        <v>222</v>
      </c>
      <c r="H10" s="2"/>
      <c r="I10" s="2"/>
      <c r="J10" s="77">
        <v>5.0000000000000001E-3</v>
      </c>
      <c r="K10" s="59"/>
    </row>
    <row r="11" spans="2:11" x14ac:dyDescent="0.3">
      <c r="B11" s="15"/>
      <c r="C11" s="2"/>
      <c r="D11" s="2"/>
      <c r="E11" s="2"/>
      <c r="F11" s="2"/>
      <c r="G11" s="2" t="s">
        <v>221</v>
      </c>
      <c r="H11" s="2"/>
      <c r="I11" s="2"/>
      <c r="J11" s="77">
        <v>2.5000000000000001E-3</v>
      </c>
      <c r="K11" s="59"/>
    </row>
    <row r="12" spans="2:11" x14ac:dyDescent="0.3">
      <c r="B12" s="15"/>
      <c r="C12" s="2"/>
      <c r="D12" s="2"/>
      <c r="E12" s="2"/>
      <c r="F12" s="2"/>
      <c r="G12" s="2" t="s">
        <v>223</v>
      </c>
      <c r="H12" s="2"/>
      <c r="I12" s="2"/>
      <c r="J12" s="51">
        <v>32.799999999999997</v>
      </c>
      <c r="K12" s="59"/>
    </row>
    <row r="13" spans="2:11" x14ac:dyDescent="0.3">
      <c r="B13" s="15"/>
      <c r="C13" s="2"/>
      <c r="D13" s="2"/>
      <c r="E13" s="2"/>
      <c r="F13" s="2"/>
      <c r="G13" s="2"/>
      <c r="H13" s="2"/>
      <c r="I13" s="2"/>
      <c r="J13" s="2"/>
      <c r="K13" s="59"/>
    </row>
    <row r="14" spans="2:11" x14ac:dyDescent="0.3">
      <c r="B14" s="34" t="s">
        <v>156</v>
      </c>
      <c r="C14" s="7"/>
      <c r="D14" s="7"/>
      <c r="E14" s="7"/>
      <c r="F14" s="2"/>
      <c r="G14" s="3" t="s">
        <v>158</v>
      </c>
      <c r="H14" s="2"/>
      <c r="I14" s="2"/>
      <c r="J14" s="2"/>
      <c r="K14" s="59"/>
    </row>
    <row r="15" spans="2:11" x14ac:dyDescent="0.3">
      <c r="B15" s="13" t="s">
        <v>93</v>
      </c>
      <c r="C15" s="2"/>
      <c r="D15" s="2"/>
      <c r="E15" s="244">
        <v>320700</v>
      </c>
      <c r="F15" s="2"/>
      <c r="G15" s="96" t="s">
        <v>155</v>
      </c>
      <c r="H15" s="96"/>
      <c r="I15" s="96"/>
      <c r="J15" s="95">
        <v>13</v>
      </c>
      <c r="K15" s="59"/>
    </row>
    <row r="16" spans="2:11" x14ac:dyDescent="0.3">
      <c r="B16" s="13" t="s">
        <v>94</v>
      </c>
      <c r="C16" s="2"/>
      <c r="D16" s="2"/>
      <c r="E16" s="66">
        <f>E15*offer_price/1000</f>
        <v>23172.755759999996</v>
      </c>
      <c r="F16" s="2"/>
      <c r="G16" s="3" t="s">
        <v>159</v>
      </c>
      <c r="H16" s="3"/>
      <c r="I16" s="3"/>
      <c r="J16" s="66">
        <v>2087.6</v>
      </c>
      <c r="K16" s="59"/>
    </row>
    <row r="17" spans="2:12" x14ac:dyDescent="0.3">
      <c r="B17" s="13" t="s">
        <v>95</v>
      </c>
      <c r="C17" s="2"/>
      <c r="D17" s="2"/>
      <c r="E17" s="244">
        <v>322039.01350461133</v>
      </c>
      <c r="F17" s="2"/>
      <c r="G17" s="3" t="s">
        <v>98</v>
      </c>
      <c r="H17" s="3"/>
      <c r="I17" s="3"/>
      <c r="J17" s="54">
        <f>J16*J15</f>
        <v>27138.799999999999</v>
      </c>
      <c r="K17" s="59"/>
    </row>
    <row r="18" spans="2:12" x14ac:dyDescent="0.3">
      <c r="B18" s="13" t="s">
        <v>96</v>
      </c>
      <c r="C18" s="2"/>
      <c r="D18" s="2"/>
      <c r="E18" s="259">
        <f>E17*offer_price/1000</f>
        <v>23269.508590999998</v>
      </c>
      <c r="F18" s="2"/>
      <c r="G18" s="2" t="s">
        <v>160</v>
      </c>
      <c r="H18" s="2"/>
      <c r="I18" s="2"/>
      <c r="J18" s="60">
        <v>-5031.5129999999999</v>
      </c>
      <c r="K18" s="59"/>
    </row>
    <row r="19" spans="2:12" x14ac:dyDescent="0.3">
      <c r="B19" s="15" t="s">
        <v>140</v>
      </c>
      <c r="C19" s="2"/>
      <c r="D19" s="2"/>
      <c r="E19" s="60">
        <v>1141.5470000000003</v>
      </c>
      <c r="F19" s="2"/>
      <c r="G19" s="2" t="s">
        <v>161</v>
      </c>
      <c r="H19" s="2"/>
      <c r="I19" s="2"/>
      <c r="J19" s="60">
        <v>0</v>
      </c>
      <c r="K19" s="59"/>
    </row>
    <row r="20" spans="2:12" x14ac:dyDescent="0.3">
      <c r="B20" s="15" t="s">
        <v>139</v>
      </c>
      <c r="C20" s="2"/>
      <c r="D20" s="2"/>
      <c r="E20" s="60">
        <v>5031.5129999999999</v>
      </c>
      <c r="F20" s="2"/>
      <c r="G20" s="2" t="s">
        <v>162</v>
      </c>
      <c r="H20" s="2"/>
      <c r="I20" s="2"/>
      <c r="J20" s="60">
        <v>-79.242999999999995</v>
      </c>
      <c r="K20" s="59"/>
    </row>
    <row r="21" spans="2:12" x14ac:dyDescent="0.3">
      <c r="B21" s="15" t="s">
        <v>138</v>
      </c>
      <c r="C21" s="2"/>
      <c r="D21" s="2"/>
      <c r="E21" s="60">
        <v>79.242999999999995</v>
      </c>
      <c r="F21" s="2"/>
      <c r="G21" s="2" t="s">
        <v>163</v>
      </c>
      <c r="H21" s="2"/>
      <c r="I21" s="2"/>
      <c r="J21" s="60">
        <v>1141.5470000000003</v>
      </c>
      <c r="K21" s="59"/>
    </row>
    <row r="22" spans="2:12" x14ac:dyDescent="0.3">
      <c r="B22" s="15" t="s">
        <v>97</v>
      </c>
      <c r="C22" s="2"/>
      <c r="D22" s="2"/>
      <c r="E22" s="60">
        <v>0</v>
      </c>
      <c r="F22" s="2"/>
      <c r="G22" s="3" t="s">
        <v>164</v>
      </c>
      <c r="H22" s="3"/>
      <c r="I22" s="3"/>
      <c r="J22" s="41">
        <f>J17+J18+J19+J20+J21</f>
        <v>23169.591</v>
      </c>
      <c r="K22" s="59"/>
    </row>
    <row r="23" spans="2:12" x14ac:dyDescent="0.3">
      <c r="B23" s="13" t="s">
        <v>98</v>
      </c>
      <c r="C23" s="2"/>
      <c r="D23" s="2"/>
      <c r="E23" s="41">
        <f>E18-E19+E20+E21</f>
        <v>27238.717590999997</v>
      </c>
      <c r="F23" s="2"/>
      <c r="G23" s="2"/>
      <c r="H23" s="2"/>
      <c r="I23" s="2"/>
      <c r="J23" s="2"/>
      <c r="K23" s="59"/>
    </row>
    <row r="24" spans="2:12" x14ac:dyDescent="0.3">
      <c r="B24" s="15"/>
      <c r="C24" s="2"/>
      <c r="D24" s="2"/>
      <c r="E24" s="51"/>
      <c r="F24" s="2"/>
      <c r="G24" s="2"/>
      <c r="H24" s="2"/>
      <c r="I24" s="2"/>
      <c r="J24" s="2"/>
      <c r="K24" s="59"/>
    </row>
    <row r="25" spans="2:12" x14ac:dyDescent="0.3">
      <c r="B25" s="13" t="s">
        <v>157</v>
      </c>
      <c r="C25" s="2"/>
      <c r="D25" s="2"/>
      <c r="E25" s="41">
        <f>E18</f>
        <v>23269.508590999998</v>
      </c>
      <c r="F25" s="2"/>
      <c r="G25" s="3" t="s">
        <v>141</v>
      </c>
      <c r="H25" s="2"/>
      <c r="I25" s="2"/>
      <c r="J25" s="41">
        <f>J22</f>
        <v>23169.591</v>
      </c>
      <c r="K25" s="59"/>
    </row>
    <row r="26" spans="2:12" x14ac:dyDescent="0.3">
      <c r="B26" s="15"/>
      <c r="C26" s="2"/>
      <c r="D26" s="2"/>
      <c r="E26" s="2"/>
      <c r="F26" s="2"/>
      <c r="G26" s="2"/>
      <c r="H26" s="2"/>
      <c r="I26" s="2"/>
      <c r="J26" s="2"/>
      <c r="K26" s="59"/>
    </row>
    <row r="27" spans="2:12" x14ac:dyDescent="0.3">
      <c r="B27" s="13" t="s">
        <v>159</v>
      </c>
      <c r="C27" s="3"/>
      <c r="D27" s="3"/>
      <c r="E27" s="94">
        <v>2087.6</v>
      </c>
      <c r="F27" s="2"/>
      <c r="G27" s="2"/>
      <c r="H27" s="2"/>
      <c r="I27" s="2"/>
      <c r="J27" s="2"/>
      <c r="K27" s="59"/>
    </row>
    <row r="28" spans="2:12" x14ac:dyDescent="0.3">
      <c r="B28" s="34" t="s">
        <v>165</v>
      </c>
      <c r="C28" s="5"/>
      <c r="D28" s="5"/>
      <c r="E28" s="106">
        <f>E23/E27</f>
        <v>13.047862421440888</v>
      </c>
      <c r="F28" s="7"/>
      <c r="G28" s="7"/>
      <c r="H28" s="7"/>
      <c r="I28" s="7"/>
      <c r="J28" s="7"/>
      <c r="K28" s="107"/>
      <c r="L28" s="2"/>
    </row>
    <row r="29" spans="2:12" x14ac:dyDescent="0.3">
      <c r="G29" s="2"/>
      <c r="H29" s="2"/>
      <c r="I29" s="2"/>
      <c r="J29" s="2"/>
      <c r="K29" s="93"/>
      <c r="L29" s="2"/>
    </row>
    <row r="30" spans="2:12" x14ac:dyDescent="0.3">
      <c r="B30" s="1" t="s">
        <v>299</v>
      </c>
      <c r="C30" s="120"/>
      <c r="D30" s="120"/>
      <c r="E30" s="120"/>
      <c r="F30" s="120"/>
      <c r="G30" s="120"/>
      <c r="H30" s="120"/>
      <c r="I30" s="205"/>
      <c r="J30" s="89"/>
      <c r="K30" s="93"/>
      <c r="L30" s="2"/>
    </row>
    <row r="31" spans="2:12" x14ac:dyDescent="0.3">
      <c r="B31" s="100" t="s">
        <v>0</v>
      </c>
      <c r="C31" s="233"/>
      <c r="D31" s="233"/>
      <c r="E31" s="233"/>
      <c r="F31" s="233"/>
      <c r="G31" s="233"/>
      <c r="H31" s="233"/>
      <c r="I31" s="234"/>
      <c r="J31" s="89"/>
      <c r="K31" s="93"/>
      <c r="L31" s="2"/>
    </row>
    <row r="32" spans="2:12" x14ac:dyDescent="0.3">
      <c r="B32" s="206"/>
      <c r="C32" s="207"/>
      <c r="D32" s="207"/>
      <c r="E32" s="207"/>
      <c r="F32" s="207"/>
      <c r="G32" s="207"/>
      <c r="H32" s="207"/>
      <c r="I32" s="208"/>
      <c r="J32" s="89"/>
      <c r="K32" s="93"/>
      <c r="L32" s="2"/>
    </row>
    <row r="33" spans="2:19" x14ac:dyDescent="0.3">
      <c r="B33" s="105"/>
      <c r="C33" s="209"/>
      <c r="D33" s="209"/>
      <c r="E33" s="210"/>
      <c r="F33" s="210" t="s">
        <v>137</v>
      </c>
      <c r="G33" s="4"/>
      <c r="H33" s="4"/>
      <c r="I33" s="211"/>
      <c r="J33" s="2"/>
      <c r="K33" s="93"/>
      <c r="L33" s="2"/>
    </row>
    <row r="34" spans="2:19" x14ac:dyDescent="0.3">
      <c r="B34" s="212" t="s">
        <v>262</v>
      </c>
      <c r="C34" s="203"/>
      <c r="D34" s="203"/>
      <c r="E34" s="204" t="s">
        <v>173</v>
      </c>
      <c r="F34" s="204" t="s">
        <v>265</v>
      </c>
      <c r="G34" s="204"/>
      <c r="H34" s="203"/>
      <c r="I34" s="213" t="s">
        <v>263</v>
      </c>
      <c r="J34" s="2"/>
      <c r="K34" s="93"/>
      <c r="L34" s="2"/>
    </row>
    <row r="35" spans="2:19" x14ac:dyDescent="0.3">
      <c r="B35" s="15" t="s">
        <v>183</v>
      </c>
      <c r="C35" s="2"/>
      <c r="D35" s="2"/>
      <c r="E35" s="231">
        <f>F100</f>
        <v>500</v>
      </c>
      <c r="F35" s="214"/>
      <c r="G35" s="215"/>
      <c r="H35" s="2"/>
      <c r="I35" s="216"/>
      <c r="J35" s="2"/>
      <c r="K35" s="93"/>
      <c r="L35" s="2"/>
    </row>
    <row r="36" spans="2:19" x14ac:dyDescent="0.3">
      <c r="B36" s="15" t="s">
        <v>189</v>
      </c>
      <c r="C36" s="2"/>
      <c r="D36" s="2"/>
      <c r="E36" s="231">
        <v>2950</v>
      </c>
      <c r="F36" s="214"/>
      <c r="G36" s="215"/>
      <c r="H36" s="2"/>
      <c r="I36" s="216"/>
      <c r="J36" s="2"/>
      <c r="K36" s="93"/>
      <c r="L36" s="2"/>
    </row>
    <row r="37" spans="2:19" x14ac:dyDescent="0.3">
      <c r="B37" s="15" t="s">
        <v>192</v>
      </c>
      <c r="C37" s="2"/>
      <c r="D37" s="2"/>
      <c r="E37" s="231">
        <v>6550</v>
      </c>
      <c r="F37" s="214"/>
      <c r="G37" s="215"/>
      <c r="H37" s="2"/>
      <c r="I37" s="216"/>
      <c r="J37" s="2"/>
      <c r="K37" s="93"/>
      <c r="L37" s="2"/>
    </row>
    <row r="38" spans="2:19" x14ac:dyDescent="0.3">
      <c r="B38" s="15" t="s">
        <v>193</v>
      </c>
      <c r="C38" s="2"/>
      <c r="D38" s="2"/>
      <c r="E38" s="231">
        <v>3100</v>
      </c>
      <c r="F38" s="214"/>
      <c r="G38" s="215"/>
      <c r="H38" s="2"/>
      <c r="I38" s="216"/>
      <c r="J38" s="2"/>
      <c r="K38" s="93"/>
      <c r="L38" s="2"/>
    </row>
    <row r="39" spans="2:19" x14ac:dyDescent="0.3">
      <c r="B39" s="85" t="s">
        <v>285</v>
      </c>
      <c r="C39" s="118"/>
      <c r="D39" s="118"/>
      <c r="E39" s="255">
        <v>2000</v>
      </c>
      <c r="F39" s="256"/>
      <c r="G39" s="257"/>
      <c r="H39" s="118"/>
      <c r="I39" s="258"/>
      <c r="J39" s="2"/>
      <c r="K39" s="93"/>
      <c r="L39" s="2"/>
    </row>
    <row r="40" spans="2:19" x14ac:dyDescent="0.3">
      <c r="B40" s="24" t="s">
        <v>264</v>
      </c>
      <c r="C40" s="7"/>
      <c r="D40" s="7"/>
      <c r="E40" s="232">
        <v>8000</v>
      </c>
      <c r="F40" s="217"/>
      <c r="G40" s="7"/>
      <c r="H40" s="7"/>
      <c r="I40" s="25"/>
      <c r="J40" s="2"/>
      <c r="K40" s="93"/>
      <c r="L40" s="2"/>
    </row>
    <row r="41" spans="2:19" x14ac:dyDescent="0.3">
      <c r="G41" s="2"/>
      <c r="H41" s="2"/>
      <c r="I41" s="2"/>
      <c r="J41" s="2"/>
      <c r="K41" s="93"/>
      <c r="L41" s="2"/>
    </row>
    <row r="42" spans="2:19" x14ac:dyDescent="0.3">
      <c r="G42" s="2"/>
      <c r="H42" s="2"/>
      <c r="I42" s="2"/>
      <c r="J42" s="2"/>
      <c r="K42" s="93"/>
      <c r="L42" s="2"/>
    </row>
    <row r="43" spans="2:19" x14ac:dyDescent="0.3">
      <c r="G43" s="2"/>
      <c r="H43" s="2"/>
      <c r="I43" s="2"/>
      <c r="J43" s="2"/>
      <c r="K43" s="93"/>
      <c r="L43" s="2"/>
    </row>
    <row r="44" spans="2:19" x14ac:dyDescent="0.3">
      <c r="G44" s="2"/>
      <c r="H44" s="2"/>
      <c r="I44" s="2"/>
      <c r="J44" s="2"/>
      <c r="K44" s="93"/>
      <c r="L44" s="2"/>
    </row>
    <row r="45" spans="2:19" x14ac:dyDescent="0.3">
      <c r="G45" s="2"/>
      <c r="H45" s="2"/>
      <c r="I45" s="2"/>
      <c r="J45" s="2"/>
      <c r="K45" s="93"/>
      <c r="L45" s="2"/>
      <c r="M45" s="273"/>
      <c r="N45" s="273"/>
      <c r="O45" s="273"/>
      <c r="P45" s="273"/>
      <c r="Q45" s="273"/>
      <c r="R45" s="273"/>
      <c r="S45" s="273"/>
    </row>
    <row r="46" spans="2:19" x14ac:dyDescent="0.3">
      <c r="G46" s="2"/>
      <c r="H46" s="2"/>
      <c r="I46" s="2"/>
      <c r="J46" s="2"/>
      <c r="K46" s="2"/>
      <c r="L46" s="2"/>
      <c r="M46" s="273"/>
      <c r="N46" s="273"/>
      <c r="O46" s="273"/>
      <c r="P46" s="273"/>
      <c r="Q46" s="273"/>
      <c r="R46" s="273"/>
      <c r="S46" s="273"/>
    </row>
    <row r="47" spans="2:19" x14ac:dyDescent="0.3">
      <c r="B47" s="1" t="s">
        <v>300</v>
      </c>
      <c r="C47" s="26"/>
      <c r="D47" s="26"/>
      <c r="E47" s="26"/>
      <c r="F47" s="26"/>
      <c r="G47" s="26"/>
      <c r="H47" s="26"/>
      <c r="I47" s="26"/>
      <c r="J47" s="26"/>
      <c r="K47" s="27"/>
      <c r="L47" s="2"/>
      <c r="M47" s="274"/>
      <c r="N47" s="274"/>
      <c r="O47" s="274"/>
      <c r="P47" s="274"/>
      <c r="Q47" s="274"/>
      <c r="R47" s="273"/>
      <c r="S47" s="273"/>
    </row>
    <row r="48" spans="2:19" x14ac:dyDescent="0.3">
      <c r="B48" s="100" t="s">
        <v>142</v>
      </c>
      <c r="C48" s="56"/>
      <c r="D48" s="56"/>
      <c r="E48" s="56"/>
      <c r="F48" s="56"/>
      <c r="G48" s="56"/>
      <c r="H48" s="56"/>
      <c r="I48" s="56"/>
      <c r="J48" s="56"/>
      <c r="K48" s="108"/>
      <c r="L48" s="2"/>
      <c r="M48" s="274"/>
      <c r="N48" s="274"/>
      <c r="O48" s="274"/>
      <c r="P48" s="274"/>
      <c r="Q48" s="274"/>
      <c r="R48" s="273"/>
      <c r="S48" s="273"/>
    </row>
    <row r="49" spans="2:19" x14ac:dyDescent="0.3">
      <c r="B49" s="31" t="s">
        <v>143</v>
      </c>
      <c r="C49" s="109"/>
      <c r="D49" s="109"/>
      <c r="E49" s="109"/>
      <c r="F49" s="109"/>
      <c r="G49" s="109" t="s">
        <v>144</v>
      </c>
      <c r="H49" s="109"/>
      <c r="I49" s="109"/>
      <c r="J49" s="109"/>
      <c r="K49" s="110"/>
      <c r="L49" s="2"/>
      <c r="M49" s="274"/>
      <c r="N49" s="274"/>
      <c r="O49" s="274"/>
      <c r="P49" s="274"/>
      <c r="Q49" s="274"/>
      <c r="R49" s="273"/>
      <c r="S49" s="273"/>
    </row>
    <row r="50" spans="2:19" x14ac:dyDescent="0.3">
      <c r="B50" s="15" t="s">
        <v>228</v>
      </c>
      <c r="C50" s="2"/>
      <c r="D50" s="2"/>
      <c r="E50" s="231">
        <f>LBO!H98-J9</f>
        <v>858.64700000000039</v>
      </c>
      <c r="F50" s="2"/>
      <c r="G50" s="2" t="s">
        <v>141</v>
      </c>
      <c r="H50" s="2"/>
      <c r="I50" s="2"/>
      <c r="J50" s="36">
        <f>E25</f>
        <v>23269.508590999998</v>
      </c>
      <c r="K50" s="11"/>
      <c r="L50" s="2"/>
      <c r="M50" s="275"/>
      <c r="N50" s="275"/>
      <c r="O50" s="275"/>
      <c r="P50" s="275"/>
      <c r="Q50" s="276"/>
      <c r="R50" s="273"/>
      <c r="S50" s="273"/>
    </row>
    <row r="51" spans="2:19" x14ac:dyDescent="0.3">
      <c r="B51" s="15" t="s">
        <v>151</v>
      </c>
      <c r="C51" s="2"/>
      <c r="D51" s="2"/>
      <c r="E51" s="231">
        <f>F100</f>
        <v>500</v>
      </c>
      <c r="F51" s="2"/>
      <c r="G51" s="2" t="s">
        <v>227</v>
      </c>
      <c r="H51" s="2"/>
      <c r="I51" s="2"/>
      <c r="J51" s="117">
        <v>0</v>
      </c>
      <c r="K51" s="11"/>
      <c r="L51" s="2"/>
      <c r="M51" s="274"/>
      <c r="N51" s="274"/>
      <c r="O51" s="274"/>
      <c r="P51" s="274"/>
      <c r="Q51" s="274"/>
      <c r="R51" s="273"/>
      <c r="S51" s="273"/>
    </row>
    <row r="52" spans="2:19" x14ac:dyDescent="0.3">
      <c r="B52" s="15" t="s">
        <v>150</v>
      </c>
      <c r="C52" s="2"/>
      <c r="D52" s="2"/>
      <c r="E52" s="231">
        <v>2950</v>
      </c>
      <c r="F52" s="2"/>
      <c r="G52" s="2" t="s">
        <v>152</v>
      </c>
      <c r="H52" s="2"/>
      <c r="I52" s="2"/>
      <c r="J52" s="36">
        <f>E20+LBO!H146</f>
        <v>5110.7560000000003</v>
      </c>
      <c r="K52" s="11"/>
      <c r="L52" s="2"/>
      <c r="M52" s="274"/>
      <c r="N52" s="274"/>
      <c r="O52" s="274"/>
      <c r="P52" s="274"/>
      <c r="Q52" s="274"/>
      <c r="R52" s="273"/>
      <c r="S52" s="273"/>
    </row>
    <row r="53" spans="2:19" x14ac:dyDescent="0.3">
      <c r="B53" s="15" t="s">
        <v>149</v>
      </c>
      <c r="C53" s="2"/>
      <c r="D53" s="2"/>
      <c r="E53" s="231">
        <v>6550</v>
      </c>
      <c r="F53" s="2"/>
      <c r="G53" s="2" t="s">
        <v>258</v>
      </c>
      <c r="H53" s="2"/>
      <c r="I53" s="2"/>
      <c r="J53" s="117">
        <f>J10*SUM(E35:E40)</f>
        <v>115.5</v>
      </c>
      <c r="K53" s="11"/>
      <c r="L53" s="2"/>
      <c r="M53" s="277"/>
      <c r="N53" s="274"/>
      <c r="O53" s="274"/>
      <c r="P53" s="274"/>
      <c r="Q53" s="274"/>
      <c r="R53" s="273"/>
      <c r="S53" s="273"/>
    </row>
    <row r="54" spans="2:19" x14ac:dyDescent="0.3">
      <c r="B54" s="15" t="s">
        <v>145</v>
      </c>
      <c r="C54" s="2"/>
      <c r="D54" s="2"/>
      <c r="E54" s="231">
        <v>3100</v>
      </c>
      <c r="F54" s="2"/>
      <c r="G54" s="2" t="s">
        <v>259</v>
      </c>
      <c r="H54" s="2"/>
      <c r="I54" s="2"/>
      <c r="J54" s="117">
        <f>J11*SUM(E36:E41)</f>
        <v>56.5</v>
      </c>
      <c r="K54" s="11"/>
      <c r="L54" s="2"/>
      <c r="M54" s="93"/>
      <c r="N54" s="2"/>
      <c r="O54" s="2"/>
      <c r="P54" s="2"/>
      <c r="Q54" s="2"/>
    </row>
    <row r="55" spans="2:19" x14ac:dyDescent="0.3">
      <c r="B55" s="15" t="s">
        <v>146</v>
      </c>
      <c r="C55" s="2"/>
      <c r="D55" s="2"/>
      <c r="E55" s="231">
        <v>8000</v>
      </c>
      <c r="F55" s="2"/>
      <c r="G55" s="2" t="s">
        <v>260</v>
      </c>
      <c r="H55" s="2"/>
      <c r="I55" s="2"/>
      <c r="J55" s="36">
        <f>J12</f>
        <v>32.799999999999997</v>
      </c>
      <c r="K55" s="11"/>
      <c r="L55" s="199" t="s">
        <v>261</v>
      </c>
      <c r="M55" s="200"/>
      <c r="N55" s="200"/>
      <c r="O55" s="2"/>
      <c r="P55" s="2"/>
      <c r="Q55" s="2"/>
    </row>
    <row r="56" spans="2:19" x14ac:dyDescent="0.3">
      <c r="B56" s="85" t="s">
        <v>284</v>
      </c>
      <c r="C56" s="118"/>
      <c r="D56" s="118"/>
      <c r="E56" s="255">
        <v>2000</v>
      </c>
      <c r="F56" s="2"/>
      <c r="G56" s="2"/>
      <c r="H56" s="2"/>
      <c r="I56" s="2"/>
      <c r="J56" s="36"/>
      <c r="K56" s="11"/>
      <c r="L56" s="199"/>
      <c r="M56" s="200"/>
      <c r="N56" s="200"/>
      <c r="O56" s="2"/>
      <c r="P56" s="2"/>
      <c r="Q56" s="2"/>
    </row>
    <row r="57" spans="2:19" x14ac:dyDescent="0.3">
      <c r="B57" s="15" t="s">
        <v>154</v>
      </c>
      <c r="C57" s="2"/>
      <c r="D57" s="2"/>
      <c r="E57" s="231">
        <f>SUM(E50:E56)</f>
        <v>23958.647000000001</v>
      </c>
      <c r="F57" s="2"/>
      <c r="G57" s="2"/>
      <c r="H57" s="2"/>
      <c r="I57" s="2"/>
      <c r="J57" s="51"/>
      <c r="K57" s="11"/>
      <c r="L57" s="2"/>
      <c r="M57" s="2"/>
      <c r="N57" s="2"/>
      <c r="O57" s="2"/>
      <c r="P57" s="2"/>
      <c r="Q57" s="2"/>
    </row>
    <row r="58" spans="2:19" x14ac:dyDescent="0.3">
      <c r="B58" s="13" t="s">
        <v>147</v>
      </c>
      <c r="C58" s="3"/>
      <c r="D58" s="3"/>
      <c r="E58" s="231">
        <f>E59-E57</f>
        <v>4626.4175909999976</v>
      </c>
      <c r="F58" s="2"/>
      <c r="G58" s="2" t="s">
        <v>114</v>
      </c>
      <c r="H58" s="2"/>
      <c r="I58" s="2"/>
      <c r="J58" s="51"/>
      <c r="K58" s="11"/>
      <c r="L58" s="2"/>
      <c r="M58" s="2"/>
      <c r="N58" s="2"/>
      <c r="O58" s="2"/>
      <c r="P58" s="2"/>
      <c r="Q58" s="2"/>
    </row>
    <row r="59" spans="2:19" ht="15" thickBot="1" x14ac:dyDescent="0.35">
      <c r="B59" s="13" t="s">
        <v>148</v>
      </c>
      <c r="C59" s="3"/>
      <c r="D59" s="3"/>
      <c r="E59" s="231">
        <f>J59</f>
        <v>28585.064590999998</v>
      </c>
      <c r="F59" s="2"/>
      <c r="G59" s="3" t="s">
        <v>153</v>
      </c>
      <c r="H59" s="3"/>
      <c r="I59" s="3"/>
      <c r="J59" s="97">
        <f>SUM(J50:J55)</f>
        <v>28585.064590999998</v>
      </c>
      <c r="K59" s="11"/>
      <c r="L59" s="2"/>
      <c r="M59" s="2"/>
      <c r="N59" s="2"/>
      <c r="O59" s="2"/>
      <c r="P59" s="2"/>
      <c r="Q59" s="2"/>
    </row>
    <row r="60" spans="2:19" ht="15" thickTop="1" x14ac:dyDescent="0.3">
      <c r="B60" s="24"/>
      <c r="C60" s="7"/>
      <c r="D60" s="7"/>
      <c r="E60" s="7"/>
      <c r="F60" s="7"/>
      <c r="G60" s="7"/>
      <c r="H60" s="7"/>
      <c r="I60" s="7"/>
      <c r="J60" s="7"/>
      <c r="K60" s="25"/>
      <c r="L60" s="2"/>
      <c r="M60" s="2"/>
      <c r="N60" s="2"/>
      <c r="O60" s="2"/>
      <c r="P60" s="2"/>
      <c r="Q60" s="2"/>
    </row>
    <row r="61" spans="2:19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2:19" x14ac:dyDescent="0.3">
      <c r="B62" s="1" t="s">
        <v>197</v>
      </c>
      <c r="C62" s="26"/>
      <c r="D62" s="26"/>
      <c r="E62" s="26"/>
      <c r="F62" s="26"/>
      <c r="G62" s="26"/>
      <c r="H62" s="26"/>
      <c r="I62" s="26"/>
      <c r="J62" s="26"/>
      <c r="K62" s="27"/>
      <c r="L62" s="2"/>
      <c r="M62" s="2"/>
      <c r="N62" s="2"/>
      <c r="O62" s="2"/>
      <c r="P62" s="2"/>
      <c r="Q62" s="2"/>
    </row>
    <row r="63" spans="2:19" x14ac:dyDescent="0.3">
      <c r="B63" s="35"/>
      <c r="C63" s="32"/>
      <c r="D63" s="32"/>
      <c r="E63" s="32"/>
      <c r="F63" s="32"/>
      <c r="G63" s="32"/>
      <c r="H63" s="32"/>
      <c r="I63" s="32"/>
      <c r="J63" s="32"/>
      <c r="K63" s="33"/>
      <c r="L63" s="2"/>
      <c r="M63" s="2"/>
      <c r="N63" s="2"/>
      <c r="O63" s="2"/>
      <c r="P63" s="2"/>
      <c r="Q63" s="2"/>
    </row>
    <row r="64" spans="2:19" x14ac:dyDescent="0.3">
      <c r="B64" s="13" t="s">
        <v>199</v>
      </c>
      <c r="C64" s="2"/>
      <c r="D64" s="2"/>
      <c r="E64" s="2"/>
      <c r="F64" s="2"/>
      <c r="G64" s="3" t="s">
        <v>208</v>
      </c>
      <c r="H64" s="2"/>
      <c r="I64" s="2"/>
      <c r="J64" s="2"/>
      <c r="K64" s="11"/>
      <c r="L64" s="2"/>
      <c r="M64" s="2"/>
      <c r="N64" s="2"/>
      <c r="O64" s="2"/>
      <c r="P64" s="2"/>
      <c r="Q64" s="2"/>
    </row>
    <row r="65" spans="2:20" x14ac:dyDescent="0.3">
      <c r="B65" s="15" t="s">
        <v>198</v>
      </c>
      <c r="C65" s="2"/>
      <c r="D65" s="2"/>
      <c r="E65" s="51">
        <f>J50</f>
        <v>23269.508590999998</v>
      </c>
      <c r="F65" s="2"/>
      <c r="G65" s="2" t="s">
        <v>209</v>
      </c>
      <c r="H65" s="2"/>
      <c r="I65" s="2"/>
      <c r="J65" s="116">
        <v>0.1</v>
      </c>
      <c r="K65" s="11"/>
      <c r="L65" s="2"/>
      <c r="M65" s="2"/>
      <c r="N65" s="2"/>
      <c r="O65" s="2"/>
      <c r="P65" s="2"/>
      <c r="Q65" s="2"/>
    </row>
    <row r="66" spans="2:20" x14ac:dyDescent="0.3">
      <c r="B66" s="15" t="s">
        <v>242</v>
      </c>
      <c r="C66" s="2"/>
      <c r="D66" s="2"/>
      <c r="E66" s="51">
        <f>LBO!H147-LBO!H146</f>
        <v>3038.5750000000007</v>
      </c>
      <c r="F66" s="2"/>
      <c r="G66" s="2" t="s">
        <v>210</v>
      </c>
      <c r="H66" s="2"/>
      <c r="I66" s="2"/>
      <c r="J66" s="51">
        <f>J65*LBO!H109</f>
        <v>242.82000000000005</v>
      </c>
      <c r="K66" s="11"/>
      <c r="L66" s="2"/>
      <c r="M66" s="2"/>
      <c r="N66" s="2"/>
      <c r="O66" s="2"/>
      <c r="P66" s="2"/>
      <c r="Q66" s="2"/>
    </row>
    <row r="67" spans="2:20" x14ac:dyDescent="0.3">
      <c r="B67" s="15" t="s">
        <v>200</v>
      </c>
      <c r="C67" s="2"/>
      <c r="D67" s="2"/>
      <c r="E67" s="115">
        <f>LBO!H111</f>
        <v>3104.5</v>
      </c>
      <c r="F67" s="2"/>
      <c r="G67" s="2" t="s">
        <v>211</v>
      </c>
      <c r="H67" s="2"/>
      <c r="I67" s="2"/>
      <c r="J67" s="2">
        <v>8</v>
      </c>
      <c r="K67" s="11"/>
      <c r="L67" s="2"/>
      <c r="M67" s="2"/>
      <c r="N67" s="2"/>
      <c r="O67" s="2"/>
      <c r="P67" s="2"/>
      <c r="Q67" s="2"/>
    </row>
    <row r="68" spans="2:20" x14ac:dyDescent="0.3">
      <c r="B68" s="13" t="s">
        <v>201</v>
      </c>
      <c r="C68" s="2"/>
      <c r="D68" s="2"/>
      <c r="E68" s="90">
        <f>E65-E66+E67</f>
        <v>23335.433590999997</v>
      </c>
      <c r="F68" s="2"/>
      <c r="G68" s="2"/>
      <c r="H68" s="2"/>
      <c r="I68" s="2"/>
      <c r="J68" s="2"/>
      <c r="K68" s="11"/>
      <c r="L68" s="2"/>
      <c r="M68" s="2"/>
      <c r="N68" s="2"/>
      <c r="O68" s="2"/>
      <c r="P68" s="2"/>
      <c r="Q68" s="2"/>
    </row>
    <row r="69" spans="2:20" x14ac:dyDescent="0.3">
      <c r="B69" s="15"/>
      <c r="C69" s="2"/>
      <c r="D69" s="2"/>
      <c r="E69" s="2"/>
      <c r="F69" s="2"/>
      <c r="G69" s="3" t="s">
        <v>212</v>
      </c>
      <c r="H69" s="2"/>
      <c r="I69" s="2"/>
      <c r="J69" s="2"/>
      <c r="K69" s="11"/>
      <c r="L69" s="2"/>
      <c r="M69" s="2"/>
      <c r="N69" s="2"/>
      <c r="O69" s="2"/>
      <c r="P69" s="2"/>
      <c r="Q69" s="2"/>
    </row>
    <row r="70" spans="2:20" x14ac:dyDescent="0.3">
      <c r="B70" s="15" t="s">
        <v>202</v>
      </c>
      <c r="C70" s="2"/>
      <c r="D70" s="2"/>
      <c r="E70" s="51">
        <f>-J66</f>
        <v>-242.82000000000005</v>
      </c>
      <c r="F70" s="2"/>
      <c r="G70" s="2" t="s">
        <v>213</v>
      </c>
      <c r="H70" s="2"/>
      <c r="I70" s="2"/>
      <c r="J70" s="51">
        <f>E68</f>
        <v>23335.433590999997</v>
      </c>
      <c r="K70" s="11"/>
      <c r="L70" s="2"/>
      <c r="M70" s="2"/>
      <c r="N70" s="2"/>
      <c r="O70" s="2"/>
      <c r="P70" s="2"/>
      <c r="Q70" s="2"/>
    </row>
    <row r="71" spans="2:20" x14ac:dyDescent="0.3">
      <c r="B71" s="15" t="s">
        <v>203</v>
      </c>
      <c r="C71" s="2"/>
      <c r="D71" s="2"/>
      <c r="E71" s="51">
        <f>-J72</f>
        <v>-4667.0867181999993</v>
      </c>
      <c r="F71" s="2"/>
      <c r="G71" s="2" t="s">
        <v>214</v>
      </c>
      <c r="H71" s="2"/>
      <c r="I71" s="2"/>
      <c r="J71" s="116">
        <v>0.2</v>
      </c>
      <c r="K71" s="11"/>
      <c r="L71" s="2"/>
      <c r="M71" s="2"/>
      <c r="N71" s="2"/>
      <c r="O71" s="2"/>
      <c r="P71" s="2"/>
      <c r="Q71" s="2"/>
    </row>
    <row r="72" spans="2:20" x14ac:dyDescent="0.3">
      <c r="B72" s="15" t="s">
        <v>204</v>
      </c>
      <c r="C72" s="2"/>
      <c r="D72" s="2"/>
      <c r="E72" s="51">
        <f>-LBO!H135</f>
        <v>-776.66</v>
      </c>
      <c r="F72" s="2"/>
      <c r="G72" s="2" t="s">
        <v>215</v>
      </c>
      <c r="H72" s="2"/>
      <c r="I72" s="2"/>
      <c r="J72" s="51">
        <f>J70*J71</f>
        <v>4667.0867181999993</v>
      </c>
      <c r="K72" s="11"/>
      <c r="L72" s="2"/>
      <c r="M72" s="2"/>
      <c r="N72" s="2"/>
      <c r="O72" s="2"/>
      <c r="P72" s="2"/>
      <c r="Q72" s="2"/>
    </row>
    <row r="73" spans="2:20" x14ac:dyDescent="0.3">
      <c r="B73" s="15" t="s">
        <v>205</v>
      </c>
      <c r="C73" s="2"/>
      <c r="D73" s="2"/>
      <c r="E73" s="115">
        <f>J76</f>
        <v>1963.9626872799997</v>
      </c>
      <c r="F73" s="2"/>
      <c r="G73" s="2" t="s">
        <v>216</v>
      </c>
      <c r="H73" s="2"/>
      <c r="I73" s="2"/>
      <c r="J73" s="2">
        <v>5</v>
      </c>
      <c r="K73" s="11"/>
      <c r="L73" s="2"/>
      <c r="M73" s="2"/>
      <c r="N73" s="2"/>
      <c r="O73" s="2"/>
      <c r="P73" s="2"/>
      <c r="Q73" s="2"/>
    </row>
    <row r="74" spans="2:20" x14ac:dyDescent="0.3">
      <c r="B74" s="13" t="s">
        <v>206</v>
      </c>
      <c r="C74" s="2"/>
      <c r="D74" s="2"/>
      <c r="E74" s="90">
        <f>E68+SUM(E70:E73)</f>
        <v>19612.829560079997</v>
      </c>
      <c r="F74" s="2"/>
      <c r="G74" s="2"/>
      <c r="H74" s="2"/>
      <c r="I74" s="2"/>
      <c r="J74" s="2"/>
      <c r="K74" s="11"/>
      <c r="L74" s="2"/>
      <c r="M74" s="2"/>
      <c r="N74" s="2"/>
      <c r="O74" s="2"/>
      <c r="P74" s="2"/>
      <c r="Q74" s="2"/>
    </row>
    <row r="75" spans="2:20" x14ac:dyDescent="0.3">
      <c r="B75" s="15"/>
      <c r="C75" s="2"/>
      <c r="D75" s="2"/>
      <c r="E75" s="2"/>
      <c r="F75" s="2"/>
      <c r="G75" s="2"/>
      <c r="H75" s="2"/>
      <c r="I75" s="2"/>
      <c r="J75" s="2"/>
      <c r="K75" s="11"/>
      <c r="L75" s="2"/>
      <c r="M75" s="2"/>
      <c r="N75" s="2"/>
      <c r="O75" s="2"/>
      <c r="P75" s="2"/>
      <c r="Q75" s="2"/>
    </row>
    <row r="76" spans="2:20" x14ac:dyDescent="0.3">
      <c r="B76" s="24" t="s">
        <v>207</v>
      </c>
      <c r="C76" s="7"/>
      <c r="D76" s="7"/>
      <c r="E76" s="7"/>
      <c r="F76" s="7"/>
      <c r="G76" s="7" t="s">
        <v>217</v>
      </c>
      <c r="H76" s="7"/>
      <c r="I76" s="7"/>
      <c r="J76" s="115">
        <f>(J72+J66)*40%</f>
        <v>1963.9626872799997</v>
      </c>
      <c r="K76" s="25"/>
      <c r="L76" s="2"/>
      <c r="M76" s="2"/>
      <c r="N76" s="2"/>
      <c r="O76" s="2"/>
      <c r="P76" s="2"/>
      <c r="Q76" s="2"/>
    </row>
    <row r="77" spans="2:20" x14ac:dyDescent="0.3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2:20" x14ac:dyDescent="0.3">
      <c r="B78" s="1" t="s">
        <v>299</v>
      </c>
      <c r="C78" s="8"/>
      <c r="D78" s="8"/>
      <c r="E78" s="26"/>
      <c r="F78" s="26"/>
      <c r="G78" s="26"/>
      <c r="H78" s="26"/>
      <c r="I78" s="26"/>
      <c r="J78" s="27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2:20" x14ac:dyDescent="0.3">
      <c r="B79" s="129" t="s">
        <v>0</v>
      </c>
      <c r="C79" s="126"/>
      <c r="D79" s="126"/>
      <c r="E79" s="56"/>
      <c r="F79" s="56"/>
      <c r="G79" s="56"/>
      <c r="H79" s="56"/>
      <c r="I79" s="56"/>
      <c r="J79" s="108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2:20" x14ac:dyDescent="0.3">
      <c r="B80" s="143"/>
      <c r="C80" s="144"/>
      <c r="D80" s="145"/>
      <c r="E80" s="145"/>
      <c r="F80" s="146" t="s">
        <v>292</v>
      </c>
      <c r="G80" s="146" t="s">
        <v>293</v>
      </c>
      <c r="H80" s="146" t="s">
        <v>294</v>
      </c>
      <c r="I80" s="146" t="s">
        <v>295</v>
      </c>
      <c r="J80" s="147" t="s">
        <v>296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2:20" x14ac:dyDescent="0.3">
      <c r="B81" s="15"/>
      <c r="C81" s="2"/>
      <c r="D81" s="2"/>
      <c r="E81" s="2"/>
      <c r="F81" s="2"/>
      <c r="G81" s="2"/>
      <c r="H81" s="2"/>
      <c r="I81" s="2"/>
      <c r="J81" s="11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2:20" x14ac:dyDescent="0.3">
      <c r="B82" s="15" t="s">
        <v>33</v>
      </c>
      <c r="C82" s="2"/>
      <c r="D82" s="2"/>
      <c r="E82" s="2"/>
      <c r="F82" s="60"/>
      <c r="G82" s="60"/>
      <c r="H82" s="60"/>
      <c r="I82" s="60"/>
      <c r="J82" s="63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2:20" x14ac:dyDescent="0.3">
      <c r="B83" s="15" t="s">
        <v>177</v>
      </c>
      <c r="C83" s="2"/>
      <c r="D83" s="2"/>
      <c r="E83" s="2"/>
      <c r="F83" s="55"/>
      <c r="G83" s="55"/>
      <c r="H83" s="55"/>
      <c r="I83" s="55"/>
      <c r="J83" s="55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2:20" s="2" customFormat="1" x14ac:dyDescent="0.3">
      <c r="B84" s="15" t="s">
        <v>274</v>
      </c>
      <c r="F84" s="55"/>
      <c r="G84" s="55"/>
      <c r="H84" s="55"/>
      <c r="I84" s="55"/>
      <c r="J84" s="64"/>
    </row>
    <row r="85" spans="2:20" s="2" customFormat="1" x14ac:dyDescent="0.3">
      <c r="B85" s="15" t="s">
        <v>275</v>
      </c>
      <c r="F85" s="55"/>
      <c r="G85" s="55"/>
      <c r="H85" s="55"/>
      <c r="I85" s="55"/>
      <c r="J85" s="64"/>
    </row>
    <row r="86" spans="2:20" s="2" customFormat="1" x14ac:dyDescent="0.3">
      <c r="B86" s="15" t="s">
        <v>276</v>
      </c>
      <c r="F86" s="55"/>
      <c r="G86" s="55"/>
      <c r="H86" s="55"/>
      <c r="I86" s="55"/>
      <c r="J86" s="64"/>
      <c r="L86" s="51"/>
    </row>
    <row r="87" spans="2:20" s="2" customFormat="1" x14ac:dyDescent="0.3">
      <c r="B87" s="15" t="s">
        <v>12</v>
      </c>
      <c r="F87" s="55"/>
      <c r="G87" s="55"/>
      <c r="H87" s="55"/>
      <c r="I87" s="55"/>
      <c r="J87" s="64"/>
    </row>
    <row r="88" spans="2:20" s="2" customFormat="1" x14ac:dyDescent="0.3">
      <c r="B88" s="85" t="s">
        <v>277</v>
      </c>
      <c r="C88" s="118"/>
      <c r="D88" s="118"/>
      <c r="E88" s="118"/>
      <c r="F88" s="87"/>
      <c r="G88" s="87"/>
      <c r="H88" s="87"/>
      <c r="I88" s="87"/>
      <c r="J88" s="241"/>
    </row>
    <row r="89" spans="2:20" x14ac:dyDescent="0.3">
      <c r="B89" s="15" t="s">
        <v>178</v>
      </c>
      <c r="C89" s="2"/>
      <c r="D89" s="2"/>
      <c r="E89" s="2"/>
      <c r="F89" s="60"/>
      <c r="G89" s="60"/>
      <c r="H89" s="60"/>
      <c r="I89" s="60"/>
      <c r="J89" s="63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2:20" x14ac:dyDescent="0.3">
      <c r="B90" s="15" t="s">
        <v>232</v>
      </c>
      <c r="C90" s="2"/>
      <c r="D90" s="2"/>
      <c r="E90" s="2"/>
      <c r="F90" s="60"/>
      <c r="G90" s="60"/>
      <c r="H90" s="60"/>
      <c r="I90" s="60"/>
      <c r="J90" s="63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2:20" x14ac:dyDescent="0.3">
      <c r="B91" s="15" t="s">
        <v>179</v>
      </c>
      <c r="C91" s="2"/>
      <c r="D91" s="2"/>
      <c r="E91" s="2"/>
      <c r="F91" s="60"/>
      <c r="G91" s="60"/>
      <c r="H91" s="60"/>
      <c r="I91" s="60"/>
      <c r="J91" s="63"/>
      <c r="K91" s="2"/>
      <c r="P91" s="2"/>
      <c r="Q91" s="2"/>
      <c r="R91" s="2"/>
      <c r="S91" s="2"/>
      <c r="T91" s="2"/>
    </row>
    <row r="92" spans="2:20" x14ac:dyDescent="0.3">
      <c r="B92" s="15" t="s">
        <v>180</v>
      </c>
      <c r="C92" s="2"/>
      <c r="D92" s="2"/>
      <c r="E92" s="2"/>
      <c r="F92" s="60"/>
      <c r="G92" s="60"/>
      <c r="H92" s="60"/>
      <c r="I92" s="60"/>
      <c r="J92" s="63"/>
      <c r="K92" s="2"/>
      <c r="P92" s="2"/>
      <c r="Q92" s="2"/>
      <c r="R92" s="2"/>
      <c r="S92" s="2"/>
      <c r="T92" s="2"/>
    </row>
    <row r="93" spans="2:20" x14ac:dyDescent="0.3">
      <c r="B93" s="15" t="s">
        <v>181</v>
      </c>
      <c r="C93" s="2"/>
      <c r="D93" s="2"/>
      <c r="E93" s="2"/>
      <c r="F93" s="17"/>
      <c r="G93" s="17"/>
      <c r="H93" s="17"/>
      <c r="I93" s="17"/>
      <c r="J93" s="39"/>
      <c r="K93" s="2"/>
      <c r="L93" s="61"/>
      <c r="M93" s="61"/>
      <c r="N93" s="61"/>
      <c r="P93" s="2"/>
      <c r="Q93" s="2"/>
      <c r="R93" s="2"/>
      <c r="S93" s="2"/>
      <c r="T93" s="2"/>
    </row>
    <row r="94" spans="2:20" x14ac:dyDescent="0.3">
      <c r="B94" s="15" t="s">
        <v>182</v>
      </c>
      <c r="C94" s="2"/>
      <c r="D94" s="2"/>
      <c r="E94" s="2"/>
      <c r="F94" s="17"/>
      <c r="G94" s="17"/>
      <c r="H94" s="17"/>
      <c r="I94" s="17"/>
      <c r="J94" s="39"/>
      <c r="K94" s="2"/>
      <c r="L94" s="238" t="s">
        <v>269</v>
      </c>
      <c r="M94" s="130"/>
      <c r="N94" s="130"/>
      <c r="O94" s="23"/>
      <c r="P94" s="2"/>
      <c r="Q94" s="2"/>
      <c r="R94" s="2"/>
      <c r="S94" s="2"/>
      <c r="T94" s="2"/>
    </row>
    <row r="95" spans="2:20" x14ac:dyDescent="0.3">
      <c r="B95" s="15" t="s">
        <v>268</v>
      </c>
      <c r="C95" s="2"/>
      <c r="D95" s="2"/>
      <c r="E95" s="2"/>
      <c r="F95" s="55"/>
      <c r="G95" s="55"/>
      <c r="H95" s="55"/>
      <c r="I95" s="55"/>
      <c r="J95" s="64"/>
      <c r="K95" s="2"/>
      <c r="L95" s="15" t="s">
        <v>270</v>
      </c>
      <c r="M95" s="2"/>
      <c r="N95" s="2"/>
      <c r="O95" s="49">
        <v>8000</v>
      </c>
      <c r="P95" s="2"/>
      <c r="Q95" s="2"/>
      <c r="R95" s="2"/>
      <c r="S95" s="2"/>
      <c r="T95" s="2"/>
    </row>
    <row r="96" spans="2:20" x14ac:dyDescent="0.3">
      <c r="B96" s="15"/>
      <c r="C96" s="2"/>
      <c r="D96" s="2"/>
      <c r="E96" s="2"/>
      <c r="F96" s="51"/>
      <c r="G96" s="51"/>
      <c r="H96" s="51"/>
      <c r="I96" s="51"/>
      <c r="J96" s="114"/>
      <c r="K96" s="2"/>
      <c r="L96" s="15" t="s">
        <v>272</v>
      </c>
      <c r="M96" s="2"/>
      <c r="N96" s="2"/>
      <c r="O96" s="235">
        <v>0.09</v>
      </c>
      <c r="P96" s="2"/>
      <c r="Q96" s="2"/>
      <c r="R96" s="2"/>
      <c r="S96" s="2"/>
      <c r="T96" s="2"/>
    </row>
    <row r="97" spans="2:20" x14ac:dyDescent="0.3">
      <c r="B97" s="34" t="s">
        <v>245</v>
      </c>
      <c r="C97" s="5"/>
      <c r="D97" s="5"/>
      <c r="E97" s="5"/>
      <c r="F97" s="201">
        <f ca="1">LBO!L184</f>
        <v>0</v>
      </c>
      <c r="G97" s="201">
        <f ca="1">LBO!M184</f>
        <v>106.77045340352038</v>
      </c>
      <c r="H97" s="201">
        <f ca="1">LBO!N184</f>
        <v>197.51105380345575</v>
      </c>
      <c r="I97" s="201">
        <f ca="1">LBO!O184</f>
        <v>252.46301373269148</v>
      </c>
      <c r="J97" s="202">
        <f ca="1">LBO!P184</f>
        <v>303.82108391957763</v>
      </c>
      <c r="K97" s="2"/>
      <c r="L97" s="15" t="s">
        <v>271</v>
      </c>
      <c r="M97" s="2"/>
      <c r="N97" s="2"/>
      <c r="O97" s="11">
        <v>720</v>
      </c>
      <c r="P97" s="2"/>
      <c r="Q97" s="2"/>
      <c r="R97" s="2"/>
      <c r="S97" s="2"/>
      <c r="T97" s="2"/>
    </row>
    <row r="98" spans="2:20" x14ac:dyDescent="0.3">
      <c r="B98" s="2"/>
      <c r="C98" s="2"/>
      <c r="D98" s="2"/>
      <c r="E98" s="2"/>
      <c r="F98" s="2"/>
      <c r="G98" s="2"/>
      <c r="H98" s="2"/>
      <c r="I98" s="2"/>
      <c r="J98" s="2"/>
      <c r="K98" s="2"/>
      <c r="L98" s="15"/>
      <c r="M98" s="2"/>
      <c r="N98" s="2"/>
      <c r="O98" s="11"/>
      <c r="P98" s="2"/>
      <c r="Q98" s="2"/>
      <c r="R98" s="2"/>
      <c r="S98" s="2"/>
      <c r="T98" s="2"/>
    </row>
    <row r="99" spans="2:20" s="2" customFormat="1" x14ac:dyDescent="0.3">
      <c r="B99" s="111" t="s">
        <v>183</v>
      </c>
      <c r="C99" s="112"/>
      <c r="D99" s="112"/>
      <c r="E99" s="112"/>
      <c r="F99" s="146" t="s">
        <v>292</v>
      </c>
      <c r="G99" s="146" t="s">
        <v>293</v>
      </c>
      <c r="H99" s="146" t="s">
        <v>294</v>
      </c>
      <c r="I99" s="146" t="s">
        <v>295</v>
      </c>
      <c r="J99" s="147" t="s">
        <v>296</v>
      </c>
      <c r="L99" s="15"/>
      <c r="O99" s="11"/>
    </row>
    <row r="100" spans="2:20" x14ac:dyDescent="0.3">
      <c r="B100" s="148" t="s">
        <v>184</v>
      </c>
      <c r="C100" s="149"/>
      <c r="D100" s="149"/>
      <c r="E100" s="149"/>
      <c r="F100" s="150">
        <f>O100*0.25</f>
        <v>500</v>
      </c>
      <c r="G100" s="150">
        <f>F102</f>
        <v>500</v>
      </c>
      <c r="H100" s="150">
        <f ca="1">G102</f>
        <v>393.22954659647962</v>
      </c>
      <c r="I100" s="150">
        <f t="shared" ref="I100:J100" ca="1" si="0">H102</f>
        <v>195.71849279302091</v>
      </c>
      <c r="J100" s="288">
        <f t="shared" ca="1" si="0"/>
        <v>0</v>
      </c>
      <c r="K100" s="2"/>
      <c r="L100" s="15" t="s">
        <v>166</v>
      </c>
      <c r="M100" s="2"/>
      <c r="N100" s="2"/>
      <c r="O100" s="38">
        <v>2000</v>
      </c>
      <c r="P100" s="2"/>
      <c r="Q100" s="2"/>
      <c r="R100" s="2"/>
      <c r="S100" s="2"/>
      <c r="T100" s="2"/>
    </row>
    <row r="101" spans="2:20" x14ac:dyDescent="0.3">
      <c r="B101" s="151" t="s">
        <v>185</v>
      </c>
      <c r="C101" s="149"/>
      <c r="D101" s="149"/>
      <c r="E101" s="149"/>
      <c r="F101" s="152">
        <v>0</v>
      </c>
      <c r="G101" s="152">
        <f ca="1">G97</f>
        <v>106.77045340352038</v>
      </c>
      <c r="H101" s="287">
        <f ca="1">H97</f>
        <v>197.51105380345575</v>
      </c>
      <c r="I101" s="287">
        <f ca="1">I100</f>
        <v>195.71849279302091</v>
      </c>
      <c r="J101" s="289">
        <f t="shared" ref="J101" si="1">I103</f>
        <v>0</v>
      </c>
      <c r="K101" s="2"/>
      <c r="L101" s="15" t="s">
        <v>167</v>
      </c>
      <c r="M101" s="131"/>
      <c r="N101" s="2"/>
      <c r="O101" s="43">
        <v>0</v>
      </c>
      <c r="P101" s="2"/>
      <c r="Q101" s="2"/>
      <c r="R101" s="2"/>
      <c r="S101" s="2"/>
      <c r="T101" s="2"/>
    </row>
    <row r="102" spans="2:20" x14ac:dyDescent="0.3">
      <c r="B102" s="148" t="s">
        <v>186</v>
      </c>
      <c r="C102" s="154"/>
      <c r="D102" s="154"/>
      <c r="E102" s="154"/>
      <c r="F102" s="155">
        <f>F100+F101</f>
        <v>500</v>
      </c>
      <c r="G102" s="150">
        <f ca="1">G100-G101</f>
        <v>393.22954659647962</v>
      </c>
      <c r="H102" s="150">
        <f t="shared" ref="H102:J102" ca="1" si="2">H100-H101</f>
        <v>195.71849279302387</v>
      </c>
      <c r="I102" s="150">
        <f t="shared" ca="1" si="2"/>
        <v>0</v>
      </c>
      <c r="J102" s="150">
        <f t="shared" ca="1" si="2"/>
        <v>0</v>
      </c>
      <c r="K102" s="2"/>
      <c r="L102" s="15" t="s">
        <v>168</v>
      </c>
      <c r="M102" s="116"/>
      <c r="N102" s="2"/>
      <c r="O102" s="278">
        <v>0.01</v>
      </c>
      <c r="P102" s="2"/>
      <c r="Q102" s="2"/>
      <c r="R102" s="2"/>
      <c r="S102" s="2"/>
      <c r="T102" s="2"/>
    </row>
    <row r="103" spans="2:20" x14ac:dyDescent="0.3">
      <c r="B103" s="148"/>
      <c r="C103" s="149"/>
      <c r="D103" s="149"/>
      <c r="E103" s="149"/>
      <c r="F103" s="156"/>
      <c r="G103" s="156"/>
      <c r="H103" s="156"/>
      <c r="I103" s="156"/>
      <c r="J103" s="157"/>
      <c r="K103" s="2"/>
      <c r="L103" s="15" t="s">
        <v>169</v>
      </c>
      <c r="M103" s="131"/>
      <c r="N103" s="2"/>
      <c r="O103" s="279">
        <v>2.2499999999999999E-2</v>
      </c>
      <c r="P103" s="2"/>
      <c r="Q103" s="2"/>
      <c r="R103" s="2"/>
      <c r="S103" s="2"/>
      <c r="T103" s="2"/>
    </row>
    <row r="104" spans="2:20" x14ac:dyDescent="0.3">
      <c r="B104" s="158"/>
      <c r="C104" s="140"/>
      <c r="D104" s="140"/>
      <c r="E104" s="140"/>
      <c r="F104" s="159"/>
      <c r="G104" s="159"/>
      <c r="H104" s="159"/>
      <c r="I104" s="159"/>
      <c r="J104" s="160"/>
      <c r="K104" s="2"/>
      <c r="L104" s="15" t="s">
        <v>170</v>
      </c>
      <c r="M104" s="131"/>
      <c r="N104" s="2"/>
      <c r="O104" s="278">
        <v>3.2500000000000001E-2</v>
      </c>
      <c r="P104" s="2"/>
      <c r="Q104" s="2"/>
      <c r="R104" s="2"/>
      <c r="S104" s="2"/>
      <c r="T104" s="2"/>
    </row>
    <row r="105" spans="2:20" x14ac:dyDescent="0.3">
      <c r="B105" s="151" t="s">
        <v>187</v>
      </c>
      <c r="C105" s="149"/>
      <c r="D105" s="149"/>
      <c r="E105" s="149"/>
      <c r="F105" s="156">
        <f>$O$106*($O$100-F102)</f>
        <v>3</v>
      </c>
      <c r="G105" s="156">
        <f t="shared" ref="G105:J105" ca="1" si="3">$O$106*($O$100-G102)</f>
        <v>3.2135409068070406</v>
      </c>
      <c r="H105" s="156">
        <f t="shared" ca="1" si="3"/>
        <v>3.6085630144139524</v>
      </c>
      <c r="I105" s="156">
        <f t="shared" ca="1" si="3"/>
        <v>4</v>
      </c>
      <c r="J105" s="157">
        <f t="shared" ca="1" si="3"/>
        <v>4</v>
      </c>
      <c r="K105" s="2"/>
      <c r="L105" s="15"/>
      <c r="M105" s="134"/>
      <c r="N105" s="2"/>
      <c r="O105" s="11"/>
      <c r="P105" s="2"/>
      <c r="Q105" s="2"/>
      <c r="R105" s="2"/>
      <c r="S105" s="2"/>
      <c r="T105" s="2"/>
    </row>
    <row r="106" spans="2:20" x14ac:dyDescent="0.3">
      <c r="B106" s="151" t="s">
        <v>170</v>
      </c>
      <c r="C106" s="149"/>
      <c r="D106" s="149"/>
      <c r="E106" s="149"/>
      <c r="F106" s="161">
        <f>$O$104</f>
        <v>3.2500000000000001E-2</v>
      </c>
      <c r="G106" s="161">
        <f t="shared" ref="G106:J106" si="4">$O$104</f>
        <v>3.2500000000000001E-2</v>
      </c>
      <c r="H106" s="161">
        <f t="shared" si="4"/>
        <v>3.2500000000000001E-2</v>
      </c>
      <c r="I106" s="161">
        <f t="shared" si="4"/>
        <v>3.2500000000000001E-2</v>
      </c>
      <c r="J106" s="162">
        <f t="shared" si="4"/>
        <v>3.2500000000000001E-2</v>
      </c>
      <c r="K106" s="2"/>
      <c r="L106" s="15" t="s">
        <v>171</v>
      </c>
      <c r="M106" s="135"/>
      <c r="N106" s="2"/>
      <c r="O106" s="136">
        <v>2E-3</v>
      </c>
      <c r="P106" s="2"/>
      <c r="Q106" s="2"/>
      <c r="R106" s="2"/>
      <c r="S106" s="2"/>
      <c r="T106" s="2"/>
    </row>
    <row r="107" spans="2:20" x14ac:dyDescent="0.3">
      <c r="B107" s="163" t="s">
        <v>188</v>
      </c>
      <c r="C107" s="164"/>
      <c r="D107" s="164"/>
      <c r="E107" s="164"/>
      <c r="F107" s="165">
        <f>F$106*AVERAGE(F102,F100)+F105</f>
        <v>19.25</v>
      </c>
      <c r="G107" s="165">
        <f t="shared" ref="G107:J107" ca="1" si="5">G$106*AVERAGE(G102,G100)+G105</f>
        <v>17.728521038999837</v>
      </c>
      <c r="H107" s="165">
        <f t="shared" ca="1" si="5"/>
        <v>13.178968654493385</v>
      </c>
      <c r="I107" s="165">
        <f t="shared" ca="1" si="5"/>
        <v>7.1804255078865902</v>
      </c>
      <c r="J107" s="165">
        <f t="shared" ca="1" si="5"/>
        <v>4</v>
      </c>
      <c r="K107" s="2"/>
      <c r="L107" s="15" t="s">
        <v>172</v>
      </c>
      <c r="M107" s="2"/>
      <c r="N107" s="2"/>
      <c r="O107" s="137">
        <v>5</v>
      </c>
      <c r="P107" s="2"/>
      <c r="Q107" s="2"/>
      <c r="R107" s="2"/>
      <c r="S107" s="2"/>
      <c r="T107" s="2"/>
    </row>
    <row r="108" spans="2:20" x14ac:dyDescent="0.3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5"/>
      <c r="M108" s="138"/>
      <c r="N108" s="2"/>
      <c r="O108" s="11"/>
      <c r="P108" s="2"/>
      <c r="Q108" s="2"/>
      <c r="R108" s="2"/>
      <c r="S108" s="2"/>
      <c r="T108" s="2"/>
    </row>
    <row r="109" spans="2:20" x14ac:dyDescent="0.3">
      <c r="B109" s="167" t="s">
        <v>189</v>
      </c>
      <c r="C109" s="168"/>
      <c r="D109" s="168"/>
      <c r="E109" s="168"/>
      <c r="F109" s="146" t="s">
        <v>292</v>
      </c>
      <c r="G109" s="146" t="s">
        <v>293</v>
      </c>
      <c r="H109" s="146" t="s">
        <v>294</v>
      </c>
      <c r="I109" s="146" t="s">
        <v>295</v>
      </c>
      <c r="J109" s="147" t="s">
        <v>296</v>
      </c>
      <c r="K109" s="2"/>
      <c r="L109" s="15"/>
      <c r="M109" s="2"/>
      <c r="N109" s="2"/>
      <c r="O109" s="11"/>
      <c r="P109" s="2"/>
      <c r="Q109" s="2"/>
      <c r="R109" s="2"/>
      <c r="S109" s="2"/>
      <c r="T109" s="2"/>
    </row>
    <row r="110" spans="2:20" x14ac:dyDescent="0.3">
      <c r="B110" s="148" t="s">
        <v>184</v>
      </c>
      <c r="C110" s="2"/>
      <c r="D110" s="2"/>
      <c r="E110" s="2"/>
      <c r="F110" s="169">
        <f>O110</f>
        <v>2950</v>
      </c>
      <c r="G110" s="169">
        <f>F113</f>
        <v>2920.5</v>
      </c>
      <c r="H110" s="169">
        <f t="shared" ref="H110:J110" si="6">G113</f>
        <v>2891</v>
      </c>
      <c r="I110" s="169">
        <f t="shared" si="6"/>
        <v>2861.5</v>
      </c>
      <c r="J110" s="170">
        <f t="shared" ca="1" si="6"/>
        <v>2775.2554790583172</v>
      </c>
      <c r="K110" s="2"/>
      <c r="L110" s="15" t="s">
        <v>173</v>
      </c>
      <c r="M110" s="131"/>
      <c r="N110" s="2"/>
      <c r="O110" s="43">
        <v>2950</v>
      </c>
      <c r="P110" s="2"/>
      <c r="Q110" s="2"/>
      <c r="R110" s="48"/>
      <c r="S110" s="2"/>
      <c r="T110" s="2"/>
    </row>
    <row r="111" spans="2:20" x14ac:dyDescent="0.3">
      <c r="B111" s="151" t="s">
        <v>190</v>
      </c>
      <c r="C111" s="2"/>
      <c r="D111" s="2"/>
      <c r="E111" s="2"/>
      <c r="F111" s="152">
        <f>-$O$111*$O$110</f>
        <v>-29.5</v>
      </c>
      <c r="G111" s="152">
        <f>-$O$111*$O$110</f>
        <v>-29.5</v>
      </c>
      <c r="H111" s="152">
        <f t="shared" ref="H111:J111" si="7">-$O$111*$O$110</f>
        <v>-29.5</v>
      </c>
      <c r="I111" s="152">
        <f t="shared" si="7"/>
        <v>-29.5</v>
      </c>
      <c r="J111" s="153">
        <f t="shared" si="7"/>
        <v>-29.5</v>
      </c>
      <c r="K111" s="2"/>
      <c r="L111" s="15" t="s">
        <v>168</v>
      </c>
      <c r="M111" s="131"/>
      <c r="N111" s="2"/>
      <c r="O111" s="132">
        <v>0.01</v>
      </c>
      <c r="P111" s="2"/>
      <c r="Q111" s="2"/>
      <c r="R111" s="2"/>
      <c r="S111" s="2"/>
      <c r="T111" s="2"/>
    </row>
    <row r="112" spans="2:20" x14ac:dyDescent="0.3">
      <c r="B112" s="151" t="s">
        <v>191</v>
      </c>
      <c r="C112" s="2"/>
      <c r="D112" s="2"/>
      <c r="E112" s="2"/>
      <c r="F112" s="152"/>
      <c r="G112" s="169"/>
      <c r="H112" s="169"/>
      <c r="I112" s="169">
        <f ca="1">I97-I101</f>
        <v>56.744520939670565</v>
      </c>
      <c r="J112" s="169">
        <f ca="1">J97-J101</f>
        <v>303.82108391957763</v>
      </c>
      <c r="K112" s="2"/>
      <c r="L112" s="15" t="s">
        <v>169</v>
      </c>
      <c r="M112" s="131"/>
      <c r="N112" s="2"/>
      <c r="O112" s="139">
        <v>2.2499999999999999E-2</v>
      </c>
      <c r="P112" s="2"/>
      <c r="Q112" s="2"/>
      <c r="R112" s="2"/>
      <c r="S112" s="2"/>
      <c r="T112" s="2"/>
    </row>
    <row r="113" spans="2:20" x14ac:dyDescent="0.3">
      <c r="B113" s="148" t="s">
        <v>186</v>
      </c>
      <c r="C113" s="2"/>
      <c r="D113" s="2"/>
      <c r="E113" s="2"/>
      <c r="F113" s="173">
        <f>F110+F111+F112</f>
        <v>2920.5</v>
      </c>
      <c r="G113" s="152">
        <f>G110+G111+G112</f>
        <v>2891</v>
      </c>
      <c r="H113" s="152">
        <f>H110+H111+H112</f>
        <v>2861.5</v>
      </c>
      <c r="I113" s="152">
        <f ca="1">I110+I111-I112</f>
        <v>2775.2554790603294</v>
      </c>
      <c r="J113" s="152">
        <f ca="1">J110+J111-J112</f>
        <v>2441.9343951387395</v>
      </c>
      <c r="K113" s="2"/>
      <c r="L113" s="15" t="s">
        <v>170</v>
      </c>
      <c r="M113" s="135"/>
      <c r="N113" s="2"/>
      <c r="O113" s="136">
        <v>3.2500000000000001E-2</v>
      </c>
      <c r="P113" s="2"/>
      <c r="Q113" s="2"/>
      <c r="R113" s="2"/>
      <c r="S113" s="2"/>
      <c r="T113" s="2"/>
    </row>
    <row r="114" spans="2:20" x14ac:dyDescent="0.3">
      <c r="B114" s="151"/>
      <c r="C114" s="2"/>
      <c r="D114" s="2"/>
      <c r="E114" s="2"/>
      <c r="F114" s="149"/>
      <c r="G114" s="149"/>
      <c r="H114" s="149"/>
      <c r="I114" s="149"/>
      <c r="J114" s="175"/>
      <c r="K114" s="2"/>
      <c r="L114" s="15" t="s">
        <v>172</v>
      </c>
      <c r="M114" s="116"/>
      <c r="N114" s="2"/>
      <c r="O114" s="137">
        <v>6</v>
      </c>
      <c r="P114" s="2"/>
      <c r="Q114" s="2"/>
      <c r="R114" s="2"/>
      <c r="S114" s="2"/>
      <c r="T114" s="2"/>
    </row>
    <row r="115" spans="2:20" x14ac:dyDescent="0.3">
      <c r="B115" s="151" t="s">
        <v>170</v>
      </c>
      <c r="C115" s="2"/>
      <c r="D115" s="2"/>
      <c r="E115" s="2"/>
      <c r="F115" s="178">
        <f>$O$113</f>
        <v>3.2500000000000001E-2</v>
      </c>
      <c r="G115" s="178">
        <f t="shared" ref="G115" si="8">$O$113</f>
        <v>3.2500000000000001E-2</v>
      </c>
      <c r="H115" s="178">
        <f>$O$113</f>
        <v>3.2500000000000001E-2</v>
      </c>
      <c r="I115" s="178">
        <f>$O$113</f>
        <v>3.2500000000000001E-2</v>
      </c>
      <c r="J115" s="179">
        <f>$O$113</f>
        <v>3.2500000000000001E-2</v>
      </c>
      <c r="K115" s="2"/>
      <c r="L115" s="15" t="s">
        <v>174</v>
      </c>
      <c r="M115" s="140"/>
      <c r="N115" s="2"/>
      <c r="O115" s="78">
        <v>0.01</v>
      </c>
      <c r="P115" s="2"/>
      <c r="Q115" s="2"/>
      <c r="R115" s="2"/>
      <c r="S115" s="2"/>
      <c r="T115" s="2"/>
    </row>
    <row r="116" spans="2:20" x14ac:dyDescent="0.3">
      <c r="B116" s="163" t="s">
        <v>188</v>
      </c>
      <c r="C116" s="7"/>
      <c r="D116" s="7"/>
      <c r="E116" s="7"/>
      <c r="F116" s="176">
        <f>F115*AVERAGE(F110,F113)</f>
        <v>95.39562500000001</v>
      </c>
      <c r="G116" s="176">
        <f t="shared" ref="G116:I116" si="9">G115*AVERAGE(G110,G113)</f>
        <v>94.436875000000001</v>
      </c>
      <c r="H116" s="176">
        <f t="shared" si="9"/>
        <v>93.478125000000006</v>
      </c>
      <c r="I116" s="176">
        <f t="shared" ca="1" si="9"/>
        <v>91.597276534730369</v>
      </c>
      <c r="J116" s="177">
        <f ca="1">J115*AVERAGE(J110,J113)</f>
        <v>84.779335455702167</v>
      </c>
      <c r="K116" s="2"/>
      <c r="L116" s="141"/>
      <c r="M116" s="140"/>
      <c r="N116" s="2"/>
      <c r="O116" s="11"/>
      <c r="P116" s="2"/>
      <c r="Q116" s="2"/>
      <c r="R116" s="2"/>
      <c r="S116" s="2"/>
      <c r="T116" s="2"/>
    </row>
    <row r="117" spans="2:20" x14ac:dyDescent="0.3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41"/>
      <c r="M117" s="140"/>
      <c r="N117" s="2"/>
      <c r="O117" s="11"/>
      <c r="P117" s="2"/>
      <c r="Q117" s="2"/>
      <c r="R117" s="2"/>
      <c r="S117" s="2"/>
      <c r="T117" s="2"/>
    </row>
    <row r="118" spans="2:20" x14ac:dyDescent="0.3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41"/>
      <c r="M118" s="140"/>
      <c r="N118" s="2"/>
      <c r="O118" s="11"/>
      <c r="P118" s="2"/>
      <c r="Q118" s="2"/>
      <c r="R118" s="2"/>
      <c r="S118" s="2"/>
      <c r="T118" s="2"/>
    </row>
    <row r="119" spans="2:20" x14ac:dyDescent="0.3">
      <c r="B119" s="167" t="s">
        <v>192</v>
      </c>
      <c r="C119" s="168"/>
      <c r="D119" s="168"/>
      <c r="E119" s="168"/>
      <c r="F119" s="146" t="s">
        <v>292</v>
      </c>
      <c r="G119" s="146" t="s">
        <v>293</v>
      </c>
      <c r="H119" s="146" t="s">
        <v>294</v>
      </c>
      <c r="I119" s="146" t="s">
        <v>295</v>
      </c>
      <c r="J119" s="147" t="s">
        <v>296</v>
      </c>
      <c r="K119" s="2"/>
      <c r="L119" s="141"/>
      <c r="M119" s="2"/>
      <c r="N119" s="2"/>
      <c r="O119" s="11"/>
      <c r="P119" s="2"/>
      <c r="Q119" s="2"/>
      <c r="R119" s="2"/>
      <c r="S119" s="2"/>
      <c r="T119" s="2"/>
    </row>
    <row r="120" spans="2:20" x14ac:dyDescent="0.3">
      <c r="B120" s="148" t="s">
        <v>184</v>
      </c>
      <c r="C120" s="2"/>
      <c r="D120" s="2"/>
      <c r="E120" s="2"/>
      <c r="F120" s="169">
        <f>O120</f>
        <v>6550</v>
      </c>
      <c r="G120" s="169">
        <f>F123</f>
        <v>6484.5</v>
      </c>
      <c r="H120" s="169">
        <f t="shared" ref="H120:J120" si="10">G123</f>
        <v>6419</v>
      </c>
      <c r="I120" s="169">
        <f t="shared" si="10"/>
        <v>6353.5</v>
      </c>
      <c r="J120" s="170">
        <f t="shared" si="10"/>
        <v>6288</v>
      </c>
      <c r="K120" s="2"/>
      <c r="L120" s="15" t="s">
        <v>173</v>
      </c>
      <c r="M120" s="131"/>
      <c r="N120" s="2"/>
      <c r="O120" s="43">
        <v>6550</v>
      </c>
      <c r="P120" s="2"/>
      <c r="Q120" s="2"/>
      <c r="R120" s="2"/>
      <c r="S120" s="2"/>
      <c r="T120" s="2"/>
    </row>
    <row r="121" spans="2:20" x14ac:dyDescent="0.3">
      <c r="B121" s="151" t="s">
        <v>190</v>
      </c>
      <c r="C121" s="2"/>
      <c r="D121" s="2"/>
      <c r="E121" s="2"/>
      <c r="F121" s="152">
        <f>-$O$120*$O$121</f>
        <v>-65.5</v>
      </c>
      <c r="G121" s="152">
        <f t="shared" ref="G121:J121" si="11">-$O$120*$O$121</f>
        <v>-65.5</v>
      </c>
      <c r="H121" s="152">
        <f t="shared" si="11"/>
        <v>-65.5</v>
      </c>
      <c r="I121" s="152">
        <f t="shared" si="11"/>
        <v>-65.5</v>
      </c>
      <c r="J121" s="153">
        <f t="shared" si="11"/>
        <v>-65.5</v>
      </c>
      <c r="K121" s="2"/>
      <c r="L121" s="15" t="s">
        <v>168</v>
      </c>
      <c r="M121" s="131"/>
      <c r="N121" s="2"/>
      <c r="O121" s="132">
        <v>0.01</v>
      </c>
      <c r="P121" s="2"/>
      <c r="Q121" s="2"/>
      <c r="R121" s="2"/>
      <c r="S121" s="2"/>
      <c r="T121" s="2"/>
    </row>
    <row r="122" spans="2:20" x14ac:dyDescent="0.3">
      <c r="B122" s="151" t="s">
        <v>191</v>
      </c>
      <c r="C122" s="2"/>
      <c r="D122" s="2"/>
      <c r="E122" s="2"/>
      <c r="F122" s="152">
        <v>0</v>
      </c>
      <c r="G122" s="152">
        <v>0</v>
      </c>
      <c r="H122" s="152">
        <v>0</v>
      </c>
      <c r="I122" s="152">
        <v>0</v>
      </c>
      <c r="J122" s="153">
        <v>0</v>
      </c>
      <c r="K122" s="2"/>
      <c r="L122" s="15" t="s">
        <v>169</v>
      </c>
      <c r="M122" s="131"/>
      <c r="N122" s="2"/>
      <c r="O122" s="139">
        <v>2.5000000000000001E-2</v>
      </c>
      <c r="P122" s="2"/>
      <c r="Q122" s="2"/>
      <c r="R122" s="2"/>
      <c r="S122" s="2"/>
      <c r="T122" s="2"/>
    </row>
    <row r="123" spans="2:20" x14ac:dyDescent="0.3">
      <c r="B123" s="148" t="s">
        <v>186</v>
      </c>
      <c r="C123" s="2"/>
      <c r="D123" s="2"/>
      <c r="E123" s="2"/>
      <c r="F123" s="173">
        <f>F120+F121+F122</f>
        <v>6484.5</v>
      </c>
      <c r="G123" s="173">
        <f t="shared" ref="G123:J123" si="12">G120+G121+G122</f>
        <v>6419</v>
      </c>
      <c r="H123" s="173">
        <f t="shared" si="12"/>
        <v>6353.5</v>
      </c>
      <c r="I123" s="173">
        <f t="shared" si="12"/>
        <v>6288</v>
      </c>
      <c r="J123" s="174">
        <f t="shared" si="12"/>
        <v>6222.5</v>
      </c>
      <c r="K123" s="2"/>
      <c r="L123" s="15" t="s">
        <v>170</v>
      </c>
      <c r="M123" s="142"/>
      <c r="N123" s="2"/>
      <c r="O123" s="280">
        <v>3.5000000000000003E-2</v>
      </c>
      <c r="P123" s="2"/>
      <c r="Q123" s="2"/>
      <c r="R123" s="2"/>
      <c r="S123" s="2"/>
      <c r="T123" s="2"/>
    </row>
    <row r="124" spans="2:20" x14ac:dyDescent="0.3">
      <c r="B124" s="151"/>
      <c r="C124" s="2"/>
      <c r="D124" s="2"/>
      <c r="E124" s="2"/>
      <c r="F124" s="149"/>
      <c r="G124" s="149"/>
      <c r="H124" s="149"/>
      <c r="I124" s="149"/>
      <c r="J124" s="175"/>
      <c r="K124" s="2"/>
      <c r="L124" s="15" t="s">
        <v>172</v>
      </c>
      <c r="M124" s="116"/>
      <c r="N124" s="2"/>
      <c r="O124" s="137">
        <v>7</v>
      </c>
      <c r="P124" s="2"/>
      <c r="Q124" s="2"/>
      <c r="R124" s="2"/>
      <c r="S124" s="2"/>
      <c r="T124" s="2"/>
    </row>
    <row r="125" spans="2:20" x14ac:dyDescent="0.3">
      <c r="B125" s="151" t="s">
        <v>170</v>
      </c>
      <c r="C125" s="2"/>
      <c r="D125" s="2"/>
      <c r="E125" s="2"/>
      <c r="F125" s="178">
        <f>$O$123</f>
        <v>3.5000000000000003E-2</v>
      </c>
      <c r="G125" s="178">
        <f t="shared" ref="G125:J125" si="13">$O$123</f>
        <v>3.5000000000000003E-2</v>
      </c>
      <c r="H125" s="178">
        <f t="shared" si="13"/>
        <v>3.5000000000000003E-2</v>
      </c>
      <c r="I125" s="178">
        <f t="shared" si="13"/>
        <v>3.5000000000000003E-2</v>
      </c>
      <c r="J125" s="179">
        <f t="shared" si="13"/>
        <v>3.5000000000000003E-2</v>
      </c>
      <c r="K125" s="2"/>
      <c r="L125" s="15" t="s">
        <v>174</v>
      </c>
      <c r="M125" s="140"/>
      <c r="N125" s="2"/>
      <c r="O125" s="78">
        <v>0.01</v>
      </c>
      <c r="P125" s="2"/>
      <c r="Q125" s="2"/>
      <c r="R125" s="2"/>
      <c r="S125" s="2"/>
      <c r="T125" s="2"/>
    </row>
    <row r="126" spans="2:20" x14ac:dyDescent="0.3">
      <c r="B126" s="163" t="s">
        <v>188</v>
      </c>
      <c r="C126" s="7"/>
      <c r="D126" s="7"/>
      <c r="E126" s="7"/>
      <c r="F126" s="176">
        <f>F125*AVERAGE(F120,F123)</f>
        <v>228.10375000000002</v>
      </c>
      <c r="G126" s="176">
        <f t="shared" ref="G126:J126" si="14">G125*AVERAGE(G120,G123)</f>
        <v>225.81125000000003</v>
      </c>
      <c r="H126" s="176">
        <f t="shared" si="14"/>
        <v>223.51875000000001</v>
      </c>
      <c r="I126" s="176">
        <f t="shared" si="14"/>
        <v>221.22625000000002</v>
      </c>
      <c r="J126" s="177">
        <f t="shared" si="14"/>
        <v>218.93375000000003</v>
      </c>
      <c r="K126" s="2"/>
      <c r="L126" s="15"/>
      <c r="M126" s="140"/>
      <c r="N126" s="2"/>
      <c r="O126" s="11"/>
      <c r="P126" s="2"/>
      <c r="Q126" s="2"/>
      <c r="R126" s="2"/>
      <c r="S126" s="2"/>
      <c r="T126" s="2"/>
    </row>
    <row r="127" spans="2:20" x14ac:dyDescent="0.3">
      <c r="B127" s="113"/>
      <c r="C127" s="2"/>
      <c r="D127" s="2"/>
      <c r="E127" s="2"/>
      <c r="F127" s="2"/>
      <c r="G127" s="2"/>
      <c r="H127" s="2"/>
      <c r="I127" s="2"/>
      <c r="J127" s="2"/>
      <c r="K127" s="2"/>
      <c r="L127" s="15"/>
      <c r="M127" s="140"/>
      <c r="N127" s="2"/>
      <c r="O127" s="11"/>
      <c r="P127" s="2"/>
      <c r="Q127" s="2"/>
      <c r="R127" s="2"/>
      <c r="S127" s="2"/>
      <c r="T127" s="2"/>
    </row>
    <row r="128" spans="2:20" x14ac:dyDescent="0.3">
      <c r="B128" s="113"/>
      <c r="C128" s="2"/>
      <c r="D128" s="2"/>
      <c r="E128" s="2"/>
      <c r="F128" s="2"/>
      <c r="G128" s="2"/>
      <c r="H128" s="2"/>
      <c r="I128" s="2"/>
      <c r="J128" s="2"/>
      <c r="K128" s="2"/>
      <c r="L128" s="15"/>
      <c r="M128" s="140"/>
      <c r="N128" s="2"/>
      <c r="O128" s="11"/>
      <c r="P128" s="2"/>
      <c r="Q128" s="2"/>
      <c r="R128" s="2"/>
      <c r="S128" s="2"/>
      <c r="T128" s="2"/>
    </row>
    <row r="129" spans="2:20" x14ac:dyDescent="0.3">
      <c r="B129" s="167" t="s">
        <v>193</v>
      </c>
      <c r="C129" s="168"/>
      <c r="D129" s="168"/>
      <c r="E129" s="168"/>
      <c r="F129" s="146" t="s">
        <v>292</v>
      </c>
      <c r="G129" s="146" t="s">
        <v>293</v>
      </c>
      <c r="H129" s="146" t="s">
        <v>294</v>
      </c>
      <c r="I129" s="146" t="s">
        <v>295</v>
      </c>
      <c r="J129" s="147" t="s">
        <v>296</v>
      </c>
      <c r="K129" s="2"/>
      <c r="L129" s="15"/>
      <c r="M129" s="2"/>
      <c r="N129" s="2"/>
      <c r="O129" s="11"/>
      <c r="P129" s="2"/>
      <c r="Q129" s="2"/>
      <c r="R129" s="2"/>
      <c r="S129" s="2"/>
      <c r="T129" s="2"/>
    </row>
    <row r="130" spans="2:20" x14ac:dyDescent="0.3">
      <c r="B130" s="148" t="s">
        <v>184</v>
      </c>
      <c r="C130" s="2"/>
      <c r="D130" s="2"/>
      <c r="E130" s="2"/>
      <c r="F130" s="169">
        <f>O130</f>
        <v>3100</v>
      </c>
      <c r="G130" s="169">
        <f>F132</f>
        <v>3100</v>
      </c>
      <c r="H130" s="169">
        <f t="shared" ref="H130:J130" si="15">G132</f>
        <v>3100</v>
      </c>
      <c r="I130" s="169">
        <f t="shared" si="15"/>
        <v>3100</v>
      </c>
      <c r="J130" s="290">
        <f t="shared" si="15"/>
        <v>3100</v>
      </c>
      <c r="K130" s="2"/>
      <c r="L130" s="15" t="s">
        <v>173</v>
      </c>
      <c r="M130" s="131"/>
      <c r="N130" s="2"/>
      <c r="O130" s="43">
        <v>3100</v>
      </c>
      <c r="P130" s="2"/>
      <c r="Q130" s="2"/>
      <c r="R130" s="2"/>
      <c r="S130" s="2"/>
      <c r="T130" s="2"/>
    </row>
    <row r="131" spans="2:20" x14ac:dyDescent="0.3">
      <c r="B131" s="151" t="s">
        <v>194</v>
      </c>
      <c r="C131" s="2"/>
      <c r="D131" s="2"/>
      <c r="E131" s="2"/>
      <c r="F131" s="171">
        <v>0</v>
      </c>
      <c r="G131" s="171">
        <v>0</v>
      </c>
      <c r="H131" s="171">
        <v>0</v>
      </c>
      <c r="I131" s="171">
        <v>0</v>
      </c>
      <c r="J131" s="172">
        <v>0</v>
      </c>
      <c r="K131" s="2"/>
      <c r="L131" s="15" t="s">
        <v>168</v>
      </c>
      <c r="M131" s="131"/>
      <c r="N131" s="2"/>
      <c r="O131" s="132">
        <v>0.01</v>
      </c>
      <c r="P131" s="2"/>
      <c r="Q131" s="2"/>
      <c r="R131" s="2"/>
      <c r="S131" s="2"/>
      <c r="T131" s="2"/>
    </row>
    <row r="132" spans="2:20" x14ac:dyDescent="0.3">
      <c r="B132" s="148" t="s">
        <v>186</v>
      </c>
      <c r="C132" s="2"/>
      <c r="D132" s="2"/>
      <c r="E132" s="2"/>
      <c r="F132" s="173">
        <f>F130+F131</f>
        <v>3100</v>
      </c>
      <c r="G132" s="173">
        <f>G130+G131</f>
        <v>3100</v>
      </c>
      <c r="H132" s="173">
        <f t="shared" ref="H132:J132" si="16">H130+H131</f>
        <v>3100</v>
      </c>
      <c r="I132" s="173">
        <f t="shared" si="16"/>
        <v>3100</v>
      </c>
      <c r="J132" s="174">
        <f t="shared" si="16"/>
        <v>3100</v>
      </c>
      <c r="K132" s="2"/>
      <c r="L132" s="15" t="s">
        <v>169</v>
      </c>
      <c r="M132" s="131"/>
      <c r="N132" s="2"/>
      <c r="O132" s="139">
        <v>3.2500000000000001E-2</v>
      </c>
      <c r="P132" s="2"/>
      <c r="Q132" s="2"/>
      <c r="R132" s="2"/>
      <c r="S132" s="2"/>
      <c r="T132" s="2"/>
    </row>
    <row r="133" spans="2:20" x14ac:dyDescent="0.3">
      <c r="B133" s="151"/>
      <c r="C133" s="2"/>
      <c r="D133" s="2"/>
      <c r="E133" s="2"/>
      <c r="F133" s="149"/>
      <c r="G133" s="149"/>
      <c r="H133" s="149"/>
      <c r="I133" s="149"/>
      <c r="J133" s="175"/>
      <c r="K133" s="2"/>
      <c r="L133" s="15" t="s">
        <v>170</v>
      </c>
      <c r="M133" s="142"/>
      <c r="N133" s="2"/>
      <c r="O133" s="136">
        <v>4.2500000000000003E-2</v>
      </c>
      <c r="P133" s="2"/>
      <c r="Q133" s="2"/>
      <c r="R133" s="2"/>
      <c r="S133" s="2"/>
      <c r="T133" s="2"/>
    </row>
    <row r="134" spans="2:20" x14ac:dyDescent="0.3">
      <c r="B134" s="151" t="s">
        <v>170</v>
      </c>
      <c r="C134" s="2"/>
      <c r="D134" s="2"/>
      <c r="E134" s="2"/>
      <c r="F134" s="161">
        <f>$O$133</f>
        <v>4.2500000000000003E-2</v>
      </c>
      <c r="G134" s="161">
        <f t="shared" ref="G134:J134" si="17">$O$133</f>
        <v>4.2500000000000003E-2</v>
      </c>
      <c r="H134" s="161">
        <f t="shared" si="17"/>
        <v>4.2500000000000003E-2</v>
      </c>
      <c r="I134" s="161">
        <f t="shared" si="17"/>
        <v>4.2500000000000003E-2</v>
      </c>
      <c r="J134" s="162">
        <f t="shared" si="17"/>
        <v>4.2500000000000003E-2</v>
      </c>
      <c r="K134" s="2"/>
      <c r="L134" s="15" t="s">
        <v>172</v>
      </c>
      <c r="M134" s="116"/>
      <c r="N134" s="2"/>
      <c r="O134" s="137">
        <v>7</v>
      </c>
      <c r="P134" s="2"/>
      <c r="Q134" s="2"/>
      <c r="R134" s="2"/>
      <c r="S134" s="2"/>
      <c r="T134" s="2"/>
    </row>
    <row r="135" spans="2:20" x14ac:dyDescent="0.3">
      <c r="B135" s="163" t="s">
        <v>188</v>
      </c>
      <c r="C135" s="7"/>
      <c r="D135" s="7"/>
      <c r="E135" s="7"/>
      <c r="F135" s="176">
        <f>F134*AVERAGE(F130,F132)</f>
        <v>131.75</v>
      </c>
      <c r="G135" s="176">
        <f t="shared" ref="G135:J135" si="18">G134*AVERAGE(G130,G132)</f>
        <v>131.75</v>
      </c>
      <c r="H135" s="176">
        <f t="shared" si="18"/>
        <v>131.75</v>
      </c>
      <c r="I135" s="176">
        <f t="shared" si="18"/>
        <v>131.75</v>
      </c>
      <c r="J135" s="177">
        <f t="shared" si="18"/>
        <v>131.75</v>
      </c>
      <c r="K135" s="2"/>
      <c r="L135" s="15" t="s">
        <v>174</v>
      </c>
      <c r="M135" s="2"/>
      <c r="N135" s="2"/>
      <c r="O135" s="78">
        <v>0</v>
      </c>
      <c r="P135" s="2"/>
      <c r="Q135" s="2"/>
      <c r="R135" s="2"/>
      <c r="S135" s="2"/>
      <c r="T135" s="2"/>
    </row>
    <row r="136" spans="2:20" x14ac:dyDescent="0.3">
      <c r="L136" s="58"/>
      <c r="O136" s="59"/>
    </row>
    <row r="137" spans="2:20" x14ac:dyDescent="0.3">
      <c r="B137" s="167" t="s">
        <v>278</v>
      </c>
      <c r="C137" s="168"/>
      <c r="D137" s="168"/>
      <c r="E137" s="168"/>
      <c r="F137" s="146" t="s">
        <v>292</v>
      </c>
      <c r="G137" s="146" t="s">
        <v>293</v>
      </c>
      <c r="H137" s="146" t="s">
        <v>294</v>
      </c>
      <c r="I137" s="146" t="s">
        <v>295</v>
      </c>
      <c r="J137" s="147" t="s">
        <v>296</v>
      </c>
      <c r="L137" s="58"/>
      <c r="O137" s="59"/>
    </row>
    <row r="138" spans="2:20" x14ac:dyDescent="0.3">
      <c r="B138" s="148" t="s">
        <v>184</v>
      </c>
      <c r="F138" s="41">
        <f>O138</f>
        <v>2000</v>
      </c>
      <c r="G138" s="41">
        <f>F140</f>
        <v>2000</v>
      </c>
      <c r="H138" s="41">
        <f t="shared" ref="H138:J138" si="19">G140</f>
        <v>2000</v>
      </c>
      <c r="I138" s="41">
        <f t="shared" si="19"/>
        <v>2000</v>
      </c>
      <c r="J138" s="284">
        <f t="shared" si="19"/>
        <v>2000</v>
      </c>
      <c r="K138" s="2"/>
      <c r="L138" s="15" t="s">
        <v>173</v>
      </c>
      <c r="M138" s="2"/>
      <c r="N138" s="2"/>
      <c r="O138" s="43">
        <v>2000</v>
      </c>
    </row>
    <row r="139" spans="2:20" x14ac:dyDescent="0.3">
      <c r="B139" s="151" t="s">
        <v>194</v>
      </c>
      <c r="F139" s="16">
        <v>0</v>
      </c>
      <c r="G139" s="16">
        <v>0</v>
      </c>
      <c r="H139" s="16">
        <v>0</v>
      </c>
      <c r="I139" s="16">
        <v>0</v>
      </c>
      <c r="J139" s="37">
        <v>0</v>
      </c>
      <c r="K139" s="2"/>
      <c r="L139" s="15" t="s">
        <v>170</v>
      </c>
      <c r="M139" s="2"/>
      <c r="N139" s="2"/>
      <c r="O139" s="133">
        <v>0.11</v>
      </c>
    </row>
    <row r="140" spans="2:20" x14ac:dyDescent="0.3">
      <c r="B140" s="148" t="s">
        <v>186</v>
      </c>
      <c r="F140" s="41">
        <f>F138+F139</f>
        <v>2000</v>
      </c>
      <c r="G140" s="41">
        <f>G138+G139</f>
        <v>2000</v>
      </c>
      <c r="H140" s="41">
        <f t="shared" ref="H140:J140" si="20">H138+H139</f>
        <v>2000</v>
      </c>
      <c r="I140" s="41">
        <f t="shared" si="20"/>
        <v>2000</v>
      </c>
      <c r="J140" s="42">
        <f t="shared" si="20"/>
        <v>2000</v>
      </c>
      <c r="K140" s="2"/>
      <c r="L140" s="15" t="s">
        <v>172</v>
      </c>
      <c r="M140" s="2"/>
      <c r="N140" s="2"/>
      <c r="O140" s="137">
        <v>7</v>
      </c>
    </row>
    <row r="141" spans="2:20" x14ac:dyDescent="0.3">
      <c r="B141" s="151"/>
      <c r="F141" s="2"/>
      <c r="G141" s="2"/>
      <c r="H141" s="2"/>
      <c r="I141" s="2"/>
      <c r="J141" s="11"/>
      <c r="K141" s="2"/>
      <c r="L141" s="15" t="s">
        <v>174</v>
      </c>
      <c r="M141" s="2"/>
      <c r="N141" s="2"/>
      <c r="O141" s="78">
        <v>0</v>
      </c>
    </row>
    <row r="142" spans="2:20" x14ac:dyDescent="0.3">
      <c r="B142" s="151" t="s">
        <v>170</v>
      </c>
      <c r="F142" s="253">
        <f>$O$139</f>
        <v>0.11</v>
      </c>
      <c r="G142" s="253">
        <f t="shared" ref="G142:J142" si="21">$O$139</f>
        <v>0.11</v>
      </c>
      <c r="H142" s="253">
        <f t="shared" si="21"/>
        <v>0.11</v>
      </c>
      <c r="I142" s="253">
        <f t="shared" si="21"/>
        <v>0.11</v>
      </c>
      <c r="J142" s="132">
        <f t="shared" si="21"/>
        <v>0.11</v>
      </c>
      <c r="K142" s="2"/>
      <c r="L142" s="15"/>
      <c r="M142" s="2"/>
      <c r="N142" s="2"/>
      <c r="O142" s="11"/>
    </row>
    <row r="143" spans="2:20" x14ac:dyDescent="0.3">
      <c r="B143" s="163" t="s">
        <v>188</v>
      </c>
      <c r="C143" s="61"/>
      <c r="D143" s="61"/>
      <c r="E143" s="61"/>
      <c r="F143" s="44">
        <f>F142*AVERAGE(F138,F140)</f>
        <v>220</v>
      </c>
      <c r="G143" s="44">
        <f t="shared" ref="G143:J143" si="22">G142*AVERAGE(G138,G140)</f>
        <v>220</v>
      </c>
      <c r="H143" s="44">
        <f t="shared" si="22"/>
        <v>220</v>
      </c>
      <c r="I143" s="44">
        <f t="shared" si="22"/>
        <v>220</v>
      </c>
      <c r="J143" s="45">
        <f t="shared" si="22"/>
        <v>220</v>
      </c>
      <c r="K143" s="2"/>
      <c r="L143" s="15"/>
      <c r="M143" s="2"/>
      <c r="N143" s="2"/>
      <c r="O143" s="11"/>
    </row>
    <row r="144" spans="2:20" x14ac:dyDescent="0.3">
      <c r="L144" s="58"/>
      <c r="O144" s="59"/>
    </row>
    <row r="145" spans="2:15" x14ac:dyDescent="0.3">
      <c r="B145" s="167" t="s">
        <v>280</v>
      </c>
      <c r="C145" s="168"/>
      <c r="D145" s="168"/>
      <c r="E145" s="168"/>
      <c r="F145" s="146" t="s">
        <v>292</v>
      </c>
      <c r="G145" s="146" t="s">
        <v>293</v>
      </c>
      <c r="H145" s="146" t="s">
        <v>294</v>
      </c>
      <c r="I145" s="146" t="s">
        <v>295</v>
      </c>
      <c r="J145" s="147" t="s">
        <v>296</v>
      </c>
      <c r="L145" s="58"/>
      <c r="O145" s="59"/>
    </row>
    <row r="146" spans="2:15" x14ac:dyDescent="0.3">
      <c r="B146" s="148" t="s">
        <v>184</v>
      </c>
      <c r="F146" s="36">
        <f>O146</f>
        <v>2000</v>
      </c>
      <c r="G146" s="36">
        <f ca="1">F148</f>
        <v>2060.9137055837564</v>
      </c>
      <c r="H146" s="36">
        <f t="shared" ref="H146:J146" ca="1" si="23">G148</f>
        <v>2123.6826509314851</v>
      </c>
      <c r="I146" s="36">
        <f t="shared" ca="1" si="23"/>
        <v>2188.3633408075711</v>
      </c>
      <c r="J146" s="43">
        <f t="shared" ca="1" si="23"/>
        <v>2255.0140009336901</v>
      </c>
      <c r="L146" s="15" t="s">
        <v>173</v>
      </c>
      <c r="M146" s="2"/>
      <c r="O146" s="43">
        <v>2000</v>
      </c>
    </row>
    <row r="147" spans="2:15" x14ac:dyDescent="0.3">
      <c r="B147" s="151" t="s">
        <v>194</v>
      </c>
      <c r="F147" s="16">
        <f>O149</f>
        <v>0</v>
      </c>
      <c r="G147" s="16">
        <f t="shared" ref="G147:J147" si="24">P149</f>
        <v>0</v>
      </c>
      <c r="H147" s="16">
        <f t="shared" si="24"/>
        <v>0</v>
      </c>
      <c r="I147" s="16">
        <f t="shared" si="24"/>
        <v>0</v>
      </c>
      <c r="J147" s="37">
        <f t="shared" si="24"/>
        <v>0</v>
      </c>
      <c r="L147" s="15" t="s">
        <v>170</v>
      </c>
      <c r="M147" s="2"/>
      <c r="O147" s="78">
        <v>0.03</v>
      </c>
    </row>
    <row r="148" spans="2:15" x14ac:dyDescent="0.3">
      <c r="B148" s="148" t="s">
        <v>186</v>
      </c>
      <c r="F148" s="36">
        <f ca="1">F146+F147+F151</f>
        <v>2060.9137055837564</v>
      </c>
      <c r="G148" s="36">
        <f t="shared" ref="G148:J148" ca="1" si="25">G146+G147+G151</f>
        <v>2123.6826509314851</v>
      </c>
      <c r="H148" s="36">
        <f t="shared" ca="1" si="25"/>
        <v>2188.3633408075711</v>
      </c>
      <c r="I148" s="36">
        <f t="shared" ca="1" si="25"/>
        <v>2255.0140009336901</v>
      </c>
      <c r="J148" s="43">
        <f t="shared" ca="1" si="25"/>
        <v>2323.6946304037519</v>
      </c>
      <c r="L148" s="15" t="s">
        <v>172</v>
      </c>
      <c r="M148" s="2"/>
      <c r="O148" s="137"/>
    </row>
    <row r="149" spans="2:15" x14ac:dyDescent="0.3">
      <c r="B149" s="151"/>
      <c r="J149" s="59"/>
      <c r="L149" s="15" t="s">
        <v>174</v>
      </c>
      <c r="M149" s="2"/>
      <c r="O149" s="78">
        <v>0</v>
      </c>
    </row>
    <row r="150" spans="2:15" x14ac:dyDescent="0.3">
      <c r="B150" s="151" t="s">
        <v>170</v>
      </c>
      <c r="F150" s="80">
        <f>$O$147</f>
        <v>0.03</v>
      </c>
      <c r="G150" s="80">
        <f t="shared" ref="G150:J150" si="26">$O$147</f>
        <v>0.03</v>
      </c>
      <c r="H150" s="80">
        <f t="shared" si="26"/>
        <v>0.03</v>
      </c>
      <c r="I150" s="80">
        <f t="shared" si="26"/>
        <v>0.03</v>
      </c>
      <c r="J150" s="83">
        <f t="shared" si="26"/>
        <v>0.03</v>
      </c>
      <c r="L150" s="58"/>
      <c r="O150" s="11"/>
    </row>
    <row r="151" spans="2:15" x14ac:dyDescent="0.3">
      <c r="B151" s="163" t="s">
        <v>281</v>
      </c>
      <c r="C151" s="61"/>
      <c r="D151" s="61"/>
      <c r="E151" s="61"/>
      <c r="F151" s="176">
        <f ca="1">F150*AVERAGE(F146,F148)</f>
        <v>60.913705583756347</v>
      </c>
      <c r="G151" s="176">
        <f t="shared" ref="G151:J151" ca="1" si="27">G150*AVERAGE(G146,G148)</f>
        <v>62.768945347728618</v>
      </c>
      <c r="H151" s="176">
        <f t="shared" ca="1" si="27"/>
        <v>64.680689876085836</v>
      </c>
      <c r="I151" s="176">
        <f t="shared" ca="1" si="27"/>
        <v>66.650660126118922</v>
      </c>
      <c r="J151" s="177">
        <f t="shared" ca="1" si="27"/>
        <v>68.680629470061632</v>
      </c>
      <c r="L151" s="236"/>
      <c r="M151" s="61"/>
      <c r="N151" s="61"/>
      <c r="O151" s="240"/>
    </row>
    <row r="153" spans="2:15" x14ac:dyDescent="0.3">
      <c r="F153" s="50"/>
    </row>
    <row r="154" spans="2:15" x14ac:dyDescent="0.3">
      <c r="F154" s="50"/>
      <c r="G154" s="50"/>
      <c r="H154" s="50"/>
      <c r="I154" s="50"/>
      <c r="J154" s="50"/>
    </row>
    <row r="157" spans="2:15" x14ac:dyDescent="0.3">
      <c r="B157" s="182" t="s">
        <v>298</v>
      </c>
      <c r="C157" s="184"/>
      <c r="D157" s="184"/>
      <c r="E157" s="184"/>
      <c r="F157" s="184"/>
      <c r="G157" s="184"/>
      <c r="H157" s="184"/>
      <c r="I157" s="184"/>
      <c r="J157" s="184"/>
      <c r="K157" s="185"/>
    </row>
    <row r="158" spans="2:15" x14ac:dyDescent="0.3">
      <c r="B158" s="186"/>
      <c r="C158" s="187"/>
      <c r="D158" s="187"/>
      <c r="E158" s="187"/>
      <c r="F158" s="187"/>
      <c r="G158" s="187"/>
      <c r="H158" s="187"/>
      <c r="I158" s="187"/>
      <c r="J158" s="188"/>
      <c r="K158" s="189"/>
    </row>
    <row r="159" spans="2:15" x14ac:dyDescent="0.3">
      <c r="B159" s="190"/>
      <c r="C159" s="191"/>
      <c r="D159" s="166"/>
      <c r="E159" s="166"/>
      <c r="F159" s="198" t="str">
        <f>LBO!H56</f>
        <v>LTM 2013</v>
      </c>
      <c r="G159" s="198" t="str">
        <f>F80</f>
        <v>NTM 2014E</v>
      </c>
      <c r="H159" s="198" t="str">
        <f t="shared" ref="H159:K159" si="28">G80</f>
        <v>NTM 2015E</v>
      </c>
      <c r="I159" s="198" t="str">
        <f t="shared" si="28"/>
        <v>NTM 2016E</v>
      </c>
      <c r="J159" s="198" t="str">
        <f t="shared" si="28"/>
        <v>NTM 2017E</v>
      </c>
      <c r="K159" s="312" t="str">
        <f t="shared" si="28"/>
        <v>NTM 2018E</v>
      </c>
    </row>
    <row r="160" spans="2:15" x14ac:dyDescent="0.3">
      <c r="B160" s="15"/>
      <c r="C160" s="2"/>
      <c r="D160" s="2"/>
      <c r="E160" s="2"/>
      <c r="F160" s="2"/>
      <c r="G160" s="2"/>
      <c r="H160" s="2"/>
      <c r="I160" s="2"/>
      <c r="J160" s="2"/>
      <c r="K160" s="11"/>
    </row>
    <row r="161" spans="2:11" x14ac:dyDescent="0.3">
      <c r="B161" s="180"/>
      <c r="C161" s="130"/>
      <c r="D161" s="130"/>
      <c r="E161" s="192">
        <v>13</v>
      </c>
      <c r="F161" s="2"/>
      <c r="G161" s="2"/>
      <c r="H161" s="2"/>
      <c r="I161" s="2"/>
      <c r="J161" s="2"/>
      <c r="K161" s="11"/>
    </row>
    <row r="162" spans="2:11" x14ac:dyDescent="0.3">
      <c r="B162" s="151" t="s">
        <v>246</v>
      </c>
      <c r="C162" s="2"/>
      <c r="D162" s="2"/>
      <c r="E162" s="63">
        <f>E58</f>
        <v>4626.4175909999976</v>
      </c>
      <c r="F162" s="2"/>
      <c r="G162" s="2"/>
      <c r="H162" s="2"/>
      <c r="I162" s="2"/>
      <c r="J162" s="2"/>
      <c r="K162" s="11"/>
    </row>
    <row r="163" spans="2:11" x14ac:dyDescent="0.3">
      <c r="B163" s="181" t="s">
        <v>247</v>
      </c>
      <c r="C163" s="7"/>
      <c r="D163" s="7"/>
      <c r="E163" s="192">
        <v>13</v>
      </c>
      <c r="F163" s="2"/>
      <c r="G163" s="2"/>
      <c r="H163" s="2"/>
      <c r="I163" s="2"/>
      <c r="J163" s="2"/>
      <c r="K163" s="11"/>
    </row>
    <row r="164" spans="2:11" x14ac:dyDescent="0.3">
      <c r="B164" s="15"/>
      <c r="C164" s="2"/>
      <c r="D164" s="2"/>
      <c r="E164" s="2"/>
      <c r="F164" s="2"/>
      <c r="G164" s="2"/>
      <c r="H164" s="2"/>
      <c r="I164" s="2"/>
      <c r="J164" s="2"/>
      <c r="K164" s="11"/>
    </row>
    <row r="165" spans="2:11" x14ac:dyDescent="0.3">
      <c r="B165" s="183" t="s">
        <v>136</v>
      </c>
      <c r="C165" s="2"/>
      <c r="D165" s="2"/>
      <c r="E165" s="2"/>
      <c r="F165" s="2"/>
      <c r="G165" s="193">
        <f>LBO!L86</f>
        <v>2179.2949835939348</v>
      </c>
      <c r="H165" s="193">
        <f>LBO!M86</f>
        <v>2275.0175443177272</v>
      </c>
      <c r="I165" s="193">
        <f>LBO!N86</f>
        <v>2374.9445880052772</v>
      </c>
      <c r="J165" s="193">
        <f>LBO!O86</f>
        <v>2479.260790838026</v>
      </c>
      <c r="K165" s="313">
        <f>LBO!P86</f>
        <v>2588.158940646887</v>
      </c>
    </row>
    <row r="166" spans="2:11" x14ac:dyDescent="0.3">
      <c r="B166" s="15"/>
      <c r="C166" s="2"/>
      <c r="D166" s="2"/>
      <c r="E166" s="2"/>
      <c r="F166" s="2"/>
      <c r="G166" s="2"/>
      <c r="H166" s="2"/>
      <c r="I166" s="2"/>
      <c r="J166" s="2"/>
      <c r="K166" s="11"/>
    </row>
    <row r="167" spans="2:11" x14ac:dyDescent="0.3">
      <c r="B167" s="13" t="s">
        <v>248</v>
      </c>
      <c r="C167" s="2"/>
      <c r="D167" s="2"/>
      <c r="E167" s="2"/>
      <c r="F167" s="2"/>
      <c r="G167" s="54">
        <f>G165*$E$163</f>
        <v>28330.834786721152</v>
      </c>
      <c r="H167" s="54">
        <f t="shared" ref="H167:K167" si="29">H165*$E$163</f>
        <v>29575.228076130454</v>
      </c>
      <c r="I167" s="54">
        <f t="shared" si="29"/>
        <v>30874.279644068603</v>
      </c>
      <c r="J167" s="54">
        <f t="shared" si="29"/>
        <v>32230.390280894339</v>
      </c>
      <c r="K167" s="314">
        <f t="shared" si="29"/>
        <v>33646.066228409531</v>
      </c>
    </row>
    <row r="168" spans="2:11" x14ac:dyDescent="0.3">
      <c r="B168" s="15"/>
      <c r="C168" s="2"/>
      <c r="D168" s="2"/>
      <c r="E168" s="2"/>
      <c r="F168" s="2"/>
      <c r="G168" s="2"/>
      <c r="H168" s="2"/>
      <c r="I168" s="2"/>
      <c r="J168" s="2"/>
      <c r="K168" s="11"/>
    </row>
    <row r="169" spans="2:11" x14ac:dyDescent="0.3">
      <c r="B169" s="13" t="s">
        <v>249</v>
      </c>
      <c r="C169" s="2"/>
      <c r="D169" s="2"/>
      <c r="E169" s="2"/>
      <c r="F169" s="2"/>
      <c r="G169" s="2"/>
      <c r="H169" s="2"/>
      <c r="I169" s="2"/>
      <c r="J169" s="2"/>
      <c r="K169" s="11"/>
    </row>
    <row r="170" spans="2:11" x14ac:dyDescent="0.3">
      <c r="B170" s="15" t="s">
        <v>234</v>
      </c>
      <c r="C170" s="2"/>
      <c r="D170" s="2"/>
      <c r="E170" s="2"/>
      <c r="F170" s="2"/>
      <c r="G170" s="50">
        <f>F102</f>
        <v>500</v>
      </c>
      <c r="H170" s="50">
        <f t="shared" ref="H170:K170" ca="1" si="30">G102</f>
        <v>393.22954659647962</v>
      </c>
      <c r="I170" s="50">
        <f t="shared" ca="1" si="30"/>
        <v>195.71849279302387</v>
      </c>
      <c r="J170" s="50">
        <f t="shared" ca="1" si="30"/>
        <v>0</v>
      </c>
      <c r="K170" s="308">
        <f t="shared" ca="1" si="30"/>
        <v>0</v>
      </c>
    </row>
    <row r="171" spans="2:11" x14ac:dyDescent="0.3">
      <c r="B171" s="15" t="s">
        <v>250</v>
      </c>
      <c r="C171" s="2"/>
      <c r="D171" s="2"/>
      <c r="E171" s="2"/>
      <c r="F171" s="2"/>
      <c r="G171" s="55">
        <f>F113</f>
        <v>2920.5</v>
      </c>
      <c r="H171" s="55">
        <f t="shared" ref="H171:K171" si="31">G113</f>
        <v>2891</v>
      </c>
      <c r="I171" s="55">
        <f t="shared" si="31"/>
        <v>2861.5</v>
      </c>
      <c r="J171" s="55">
        <f t="shared" ca="1" si="31"/>
        <v>2775.2554790603294</v>
      </c>
      <c r="K171" s="64">
        <f t="shared" ca="1" si="31"/>
        <v>2441.9343951387395</v>
      </c>
    </row>
    <row r="172" spans="2:11" x14ac:dyDescent="0.3">
      <c r="B172" s="15" t="s">
        <v>236</v>
      </c>
      <c r="C172" s="2"/>
      <c r="D172" s="2"/>
      <c r="E172" s="2"/>
      <c r="F172" s="2"/>
      <c r="G172" s="55">
        <f>F123</f>
        <v>6484.5</v>
      </c>
      <c r="H172" s="55">
        <f t="shared" ref="H172:K172" si="32">G123</f>
        <v>6419</v>
      </c>
      <c r="I172" s="55">
        <f t="shared" si="32"/>
        <v>6353.5</v>
      </c>
      <c r="J172" s="55">
        <f t="shared" si="32"/>
        <v>6288</v>
      </c>
      <c r="K172" s="64">
        <f t="shared" si="32"/>
        <v>6222.5</v>
      </c>
    </row>
    <row r="173" spans="2:11" x14ac:dyDescent="0.3">
      <c r="B173" s="15" t="s">
        <v>237</v>
      </c>
      <c r="C173" s="2"/>
      <c r="D173" s="2"/>
      <c r="E173" s="2"/>
      <c r="F173" s="2"/>
      <c r="G173" s="55">
        <f>F132</f>
        <v>3100</v>
      </c>
      <c r="H173" s="55">
        <f t="shared" ref="H173:K173" si="33">G132</f>
        <v>3100</v>
      </c>
      <c r="I173" s="55">
        <f t="shared" si="33"/>
        <v>3100</v>
      </c>
      <c r="J173" s="55">
        <f t="shared" si="33"/>
        <v>3100</v>
      </c>
      <c r="K173" s="64">
        <f t="shared" si="33"/>
        <v>3100</v>
      </c>
    </row>
    <row r="174" spans="2:11" x14ac:dyDescent="0.3">
      <c r="B174" s="85" t="s">
        <v>286</v>
      </c>
      <c r="C174" s="118"/>
      <c r="D174" s="118"/>
      <c r="E174" s="118"/>
      <c r="F174" s="118"/>
      <c r="G174" s="309">
        <f ca="1">F148</f>
        <v>2060.9137055837564</v>
      </c>
      <c r="H174" s="309">
        <f t="shared" ref="H174:K174" ca="1" si="34">G148</f>
        <v>2123.6826509314851</v>
      </c>
      <c r="I174" s="309">
        <f t="shared" ca="1" si="34"/>
        <v>2188.3633408075711</v>
      </c>
      <c r="J174" s="309">
        <f t="shared" ca="1" si="34"/>
        <v>2255.0140009336901</v>
      </c>
      <c r="K174" s="310">
        <f t="shared" ca="1" si="34"/>
        <v>2323.6946304037519</v>
      </c>
    </row>
    <row r="175" spans="2:11" x14ac:dyDescent="0.3">
      <c r="B175" s="15" t="s">
        <v>251</v>
      </c>
      <c r="C175" s="2"/>
      <c r="D175" s="2"/>
      <c r="E175" s="2"/>
      <c r="F175" s="2"/>
      <c r="G175" s="17">
        <f ca="1">SUM(G170:G174)</f>
        <v>15065.913705583756</v>
      </c>
      <c r="H175" s="17">
        <f t="shared" ref="H175:K175" ca="1" si="35">SUM(H170:H174)</f>
        <v>14926.912197527965</v>
      </c>
      <c r="I175" s="17">
        <f t="shared" ca="1" si="35"/>
        <v>14699.081833600596</v>
      </c>
      <c r="J175" s="17">
        <f t="shared" ca="1" si="35"/>
        <v>14418.26947999402</v>
      </c>
      <c r="K175" s="39">
        <f t="shared" ca="1" si="35"/>
        <v>14088.129025542492</v>
      </c>
    </row>
    <row r="176" spans="2:11" x14ac:dyDescent="0.3">
      <c r="B176" s="15" t="s">
        <v>252</v>
      </c>
      <c r="C176" s="2"/>
      <c r="D176" s="2"/>
      <c r="E176" s="2"/>
      <c r="F176" s="2"/>
      <c r="G176" s="55">
        <f>-LBO!L98-LBO!L99</f>
        <v>-255.1</v>
      </c>
      <c r="H176" s="55">
        <f>-LBO!M98-LBO!M99</f>
        <v>-255.1</v>
      </c>
      <c r="I176" s="55">
        <f>-LBO!N98-LBO!N99</f>
        <v>-255.1</v>
      </c>
      <c r="J176" s="55">
        <f>-LBO!O98-LBO!O99</f>
        <v>-255.1</v>
      </c>
      <c r="K176" s="64">
        <f>-LBO!P98-LBO!P99</f>
        <v>-255.1</v>
      </c>
    </row>
    <row r="177" spans="2:11" x14ac:dyDescent="0.3">
      <c r="B177" s="13" t="s">
        <v>253</v>
      </c>
      <c r="C177" s="2"/>
      <c r="D177" s="2"/>
      <c r="E177" s="2"/>
      <c r="F177" s="2"/>
      <c r="G177" s="17">
        <f ca="1">G175+G176</f>
        <v>14810.813705583756</v>
      </c>
      <c r="H177" s="17">
        <f t="shared" ref="H177:K177" ca="1" si="36">H175+H176</f>
        <v>14671.812197527965</v>
      </c>
      <c r="I177" s="17">
        <f t="shared" ca="1" si="36"/>
        <v>14443.981833600596</v>
      </c>
      <c r="J177" s="17">
        <f t="shared" ca="1" si="36"/>
        <v>14163.16947999402</v>
      </c>
      <c r="K177" s="39">
        <f t="shared" ca="1" si="36"/>
        <v>13833.029025542492</v>
      </c>
    </row>
    <row r="178" spans="2:11" x14ac:dyDescent="0.3">
      <c r="B178" s="13" t="s">
        <v>254</v>
      </c>
      <c r="C178" s="2"/>
      <c r="D178" s="2"/>
      <c r="E178" s="2"/>
      <c r="F178" s="2"/>
      <c r="G178" s="41">
        <f ca="1">G167-G177-LBO!L144</f>
        <v>5520.0210811373963</v>
      </c>
      <c r="H178" s="41">
        <f ca="1">H167-H177-LBO!M144</f>
        <v>6903.4158786024891</v>
      </c>
      <c r="I178" s="41">
        <f ca="1">I167-I177-LBO!N144</f>
        <v>8430.2978104680078</v>
      </c>
      <c r="J178" s="41">
        <f ca="1">J167-J177-LBO!O144</f>
        <v>10067.220800900319</v>
      </c>
      <c r="K178" s="42">
        <f ca="1">K167-K177-LBO!P144</f>
        <v>11813.037202867039</v>
      </c>
    </row>
    <row r="179" spans="2:11" x14ac:dyDescent="0.3">
      <c r="B179" s="15"/>
      <c r="C179" s="2"/>
      <c r="D179" s="2"/>
      <c r="E179" s="2"/>
      <c r="F179" s="2"/>
      <c r="G179" s="2"/>
      <c r="H179" s="2"/>
      <c r="I179" s="2"/>
      <c r="J179" s="2"/>
      <c r="K179" s="11"/>
    </row>
    <row r="180" spans="2:11" x14ac:dyDescent="0.3">
      <c r="B180" s="194" t="s">
        <v>255</v>
      </c>
      <c r="C180" s="166"/>
      <c r="D180" s="166"/>
      <c r="E180" s="166"/>
      <c r="F180" s="166"/>
      <c r="G180" s="248"/>
      <c r="H180" s="248"/>
      <c r="I180" s="248"/>
      <c r="J180" s="248"/>
      <c r="K180" s="315"/>
    </row>
    <row r="181" spans="2:11" x14ac:dyDescent="0.3">
      <c r="B181" s="15"/>
      <c r="C181" s="2"/>
      <c r="D181" s="2"/>
      <c r="E181" s="2"/>
      <c r="F181" s="2"/>
      <c r="G181" s="2"/>
      <c r="H181" s="2"/>
      <c r="I181" s="2"/>
      <c r="J181" s="2"/>
      <c r="K181" s="11"/>
    </row>
    <row r="182" spans="2:11" x14ac:dyDescent="0.3">
      <c r="B182" s="15"/>
      <c r="C182" s="2"/>
      <c r="D182" s="2"/>
      <c r="E182" s="2"/>
      <c r="F182" s="2"/>
      <c r="G182" s="2"/>
      <c r="H182" s="2"/>
      <c r="I182" s="2"/>
      <c r="J182" s="2"/>
      <c r="K182" s="11"/>
    </row>
    <row r="183" spans="2:11" x14ac:dyDescent="0.3">
      <c r="B183" s="195"/>
      <c r="C183" s="196"/>
      <c r="D183" s="196"/>
      <c r="E183" s="196"/>
      <c r="F183" s="21" t="str">
        <f t="shared" ref="F183:K183" si="37">F159</f>
        <v>LTM 2013</v>
      </c>
      <c r="G183" s="21" t="str">
        <f t="shared" si="37"/>
        <v>NTM 2014E</v>
      </c>
      <c r="H183" s="21" t="str">
        <f t="shared" si="37"/>
        <v>NTM 2015E</v>
      </c>
      <c r="I183" s="21" t="str">
        <f t="shared" si="37"/>
        <v>NTM 2016E</v>
      </c>
      <c r="J183" s="21" t="str">
        <f t="shared" si="37"/>
        <v>NTM 2017E</v>
      </c>
      <c r="K183" s="22" t="str">
        <f t="shared" si="37"/>
        <v>NTM 2018E</v>
      </c>
    </row>
    <row r="184" spans="2:11" x14ac:dyDescent="0.3">
      <c r="B184" s="15"/>
      <c r="C184" s="2"/>
      <c r="D184" s="2"/>
      <c r="E184" s="2"/>
      <c r="F184" s="2"/>
      <c r="G184" s="2"/>
      <c r="H184" s="2"/>
      <c r="I184" s="2"/>
      <c r="J184" s="2"/>
      <c r="K184" s="11"/>
    </row>
    <row r="185" spans="2:11" x14ac:dyDescent="0.3">
      <c r="B185" s="15" t="s">
        <v>256</v>
      </c>
      <c r="C185" s="2"/>
      <c r="D185" s="2"/>
      <c r="E185" s="2"/>
      <c r="F185" s="36">
        <f>-E58</f>
        <v>-4626.4175909999976</v>
      </c>
      <c r="G185" s="36">
        <f>-$E$58</f>
        <v>-4626.4175909999976</v>
      </c>
      <c r="H185" s="36">
        <f t="shared" ref="H185:K185" si="38">-$E$58</f>
        <v>-4626.4175909999976</v>
      </c>
      <c r="I185" s="36">
        <f t="shared" si="38"/>
        <v>-4626.4175909999976</v>
      </c>
      <c r="J185" s="36">
        <f t="shared" si="38"/>
        <v>-4626.4175909999976</v>
      </c>
      <c r="K185" s="43">
        <f t="shared" si="38"/>
        <v>-4626.4175909999976</v>
      </c>
    </row>
    <row r="186" spans="2:11" x14ac:dyDescent="0.3">
      <c r="B186" s="15"/>
      <c r="C186" s="2"/>
      <c r="D186" s="2"/>
      <c r="E186" s="2"/>
      <c r="F186" s="2"/>
      <c r="G186" s="36">
        <f ca="1">G178</f>
        <v>5520.0210811373963</v>
      </c>
      <c r="H186" s="12">
        <v>0</v>
      </c>
      <c r="I186" s="12">
        <v>0</v>
      </c>
      <c r="J186" s="12">
        <v>0</v>
      </c>
      <c r="K186" s="137">
        <v>0</v>
      </c>
    </row>
    <row r="187" spans="2:11" x14ac:dyDescent="0.3">
      <c r="B187" s="15"/>
      <c r="C187" s="2"/>
      <c r="D187" s="2"/>
      <c r="E187" s="2"/>
      <c r="F187" s="2"/>
      <c r="G187" s="2"/>
      <c r="H187" s="36">
        <f ca="1">H178</f>
        <v>6903.4158786024891</v>
      </c>
      <c r="I187" s="12">
        <v>0</v>
      </c>
      <c r="J187" s="12">
        <v>0</v>
      </c>
      <c r="K187" s="137">
        <v>0</v>
      </c>
    </row>
    <row r="188" spans="2:11" x14ac:dyDescent="0.3">
      <c r="B188" s="15"/>
      <c r="C188" s="2"/>
      <c r="D188" s="2"/>
      <c r="E188" s="2"/>
      <c r="F188" s="2"/>
      <c r="G188" s="2"/>
      <c r="H188" s="2"/>
      <c r="I188" s="36">
        <f ca="1">I178</f>
        <v>8430.2978104680078</v>
      </c>
      <c r="J188" s="12">
        <v>0</v>
      </c>
      <c r="K188" s="137">
        <v>0</v>
      </c>
    </row>
    <row r="189" spans="2:11" x14ac:dyDescent="0.3">
      <c r="B189" s="15"/>
      <c r="C189" s="2"/>
      <c r="D189" s="2"/>
      <c r="E189" s="2"/>
      <c r="F189" s="2"/>
      <c r="G189" s="2"/>
      <c r="H189" s="2"/>
      <c r="I189" s="2"/>
      <c r="J189" s="36">
        <f ca="1">J178</f>
        <v>10067.220800900319</v>
      </c>
      <c r="K189" s="137">
        <v>0</v>
      </c>
    </row>
    <row r="190" spans="2:11" x14ac:dyDescent="0.3">
      <c r="B190" s="15"/>
      <c r="C190" s="2"/>
      <c r="D190" s="2"/>
      <c r="E190" s="2"/>
      <c r="F190" s="2"/>
      <c r="G190" s="2"/>
      <c r="H190" s="2"/>
      <c r="I190" s="2"/>
      <c r="J190" s="2"/>
      <c r="K190" s="43">
        <f ca="1">K178</f>
        <v>11813.037202867039</v>
      </c>
    </row>
    <row r="191" spans="2:11" x14ac:dyDescent="0.3">
      <c r="B191" s="197" t="s">
        <v>257</v>
      </c>
      <c r="C191" s="198"/>
      <c r="D191" s="198"/>
      <c r="E191" s="198"/>
      <c r="F191" s="198"/>
      <c r="G191" s="311">
        <f ca="1">IRR(G185:G186)</f>
        <v>0.19315236304560357</v>
      </c>
      <c r="H191" s="311">
        <f ca="1">IRR(H185:H187)</f>
        <v>0.22154537369195504</v>
      </c>
      <c r="I191" s="311">
        <f ca="1">IRR(I185:I188)</f>
        <v>0.22142281729365587</v>
      </c>
      <c r="J191" s="311">
        <f ca="1">IRR(J185:J189)</f>
        <v>0.21455221631567056</v>
      </c>
      <c r="K191" s="316">
        <f ca="1">IRR(K185:K190)</f>
        <v>0.20621117644533737</v>
      </c>
    </row>
    <row r="198" spans="3:12" x14ac:dyDescent="0.3">
      <c r="C198" s="261"/>
      <c r="D198" s="260"/>
      <c r="E198" s="260"/>
      <c r="F198" s="260"/>
      <c r="G198" s="260"/>
      <c r="H198" s="260"/>
      <c r="I198" s="260"/>
      <c r="J198" s="260"/>
      <c r="K198" s="260"/>
      <c r="L198" s="260"/>
    </row>
    <row r="199" spans="3:12" x14ac:dyDescent="0.3">
      <c r="C199" s="260"/>
    </row>
    <row r="200" spans="3:12" x14ac:dyDescent="0.3">
      <c r="C200" s="260"/>
      <c r="D200" s="237"/>
      <c r="E200" s="237"/>
      <c r="F200" s="237"/>
      <c r="G200" s="237"/>
      <c r="H200" s="237"/>
      <c r="I200" s="237"/>
      <c r="J200" s="237"/>
      <c r="K200" s="237"/>
      <c r="L200" s="237"/>
    </row>
    <row r="201" spans="3:12" x14ac:dyDescent="0.3">
      <c r="C201" s="260"/>
      <c r="D201" s="237"/>
      <c r="E201" s="237"/>
      <c r="F201" s="237"/>
      <c r="G201" s="237"/>
      <c r="H201" s="237"/>
      <c r="I201" s="237"/>
      <c r="J201" s="237"/>
      <c r="K201" s="237"/>
      <c r="L201" s="237"/>
    </row>
    <row r="202" spans="3:12" x14ac:dyDescent="0.3">
      <c r="C202" s="260"/>
      <c r="D202" s="237"/>
      <c r="E202" s="237"/>
      <c r="F202" s="237"/>
      <c r="G202" s="237"/>
      <c r="H202" s="237"/>
      <c r="I202" s="237"/>
      <c r="J202" s="237"/>
      <c r="K202" s="237"/>
      <c r="L202" s="237"/>
    </row>
    <row r="203" spans="3:12" x14ac:dyDescent="0.3">
      <c r="C203" s="260"/>
      <c r="D203" s="237"/>
      <c r="E203" s="237"/>
      <c r="F203" s="237"/>
      <c r="G203" s="237"/>
      <c r="H203" s="237"/>
      <c r="I203" s="237"/>
      <c r="J203" s="237"/>
      <c r="K203" s="237"/>
      <c r="L203" s="237"/>
    </row>
    <row r="204" spans="3:12" x14ac:dyDescent="0.3">
      <c r="C204" s="260"/>
      <c r="D204" s="237"/>
      <c r="E204" s="237"/>
      <c r="F204" s="237"/>
      <c r="G204" s="237"/>
      <c r="H204" s="237"/>
      <c r="I204" s="237"/>
      <c r="J204" s="237"/>
      <c r="K204" s="237"/>
      <c r="L204" s="237"/>
    </row>
    <row r="205" spans="3:12" x14ac:dyDescent="0.3">
      <c r="C205" s="260"/>
      <c r="D205" s="237"/>
      <c r="E205" s="237"/>
      <c r="F205" s="237"/>
      <c r="G205" s="237"/>
      <c r="H205" s="237"/>
      <c r="I205" s="237"/>
      <c r="J205" s="237"/>
      <c r="K205" s="237"/>
      <c r="L205" s="237"/>
    </row>
    <row r="206" spans="3:12" x14ac:dyDescent="0.3">
      <c r="C206" s="260"/>
      <c r="D206" s="237"/>
      <c r="E206" s="237"/>
      <c r="F206" s="237"/>
      <c r="G206" s="237"/>
      <c r="H206" s="237"/>
      <c r="I206" s="237"/>
      <c r="J206" s="237"/>
      <c r="K206" s="237"/>
      <c r="L206" s="237"/>
    </row>
    <row r="207" spans="3:12" x14ac:dyDescent="0.3">
      <c r="C207" s="260"/>
      <c r="D207" s="237"/>
      <c r="E207" s="237"/>
      <c r="F207" s="237"/>
      <c r="G207" s="237"/>
      <c r="H207" s="237"/>
      <c r="I207" s="237"/>
      <c r="J207" s="237"/>
      <c r="K207" s="237"/>
      <c r="L207" s="237"/>
    </row>
    <row r="209" spans="4:12" x14ac:dyDescent="0.3">
      <c r="D209" s="1"/>
      <c r="E209" s="263" t="s">
        <v>287</v>
      </c>
      <c r="F209" s="263"/>
      <c r="G209" s="263"/>
      <c r="H209" s="263"/>
      <c r="I209" s="263"/>
      <c r="J209" s="263"/>
      <c r="K209" s="263"/>
      <c r="L209" s="264"/>
    </row>
    <row r="210" spans="4:12" x14ac:dyDescent="0.3">
      <c r="D210" s="265"/>
      <c r="E210" s="242"/>
      <c r="F210" s="242"/>
      <c r="G210" s="242"/>
      <c r="H210" s="242"/>
      <c r="I210" s="242"/>
      <c r="J210" s="242"/>
      <c r="K210" s="242"/>
      <c r="L210" s="243"/>
    </row>
    <row r="211" spans="4:12" x14ac:dyDescent="0.3">
      <c r="D211" s="268" t="s">
        <v>301</v>
      </c>
      <c r="E211" s="269" t="s">
        <v>288</v>
      </c>
      <c r="F211" s="269"/>
      <c r="G211" s="269"/>
      <c r="H211" s="269"/>
      <c r="I211" s="269"/>
      <c r="J211" s="269"/>
      <c r="K211" s="269"/>
      <c r="L211" s="270"/>
    </row>
    <row r="212" spans="4:12" x14ac:dyDescent="0.3">
      <c r="D212" s="317">
        <f ca="1">K191</f>
        <v>0.20621117644533737</v>
      </c>
      <c r="E212" s="262">
        <v>11</v>
      </c>
      <c r="F212" s="262">
        <v>11.5</v>
      </c>
      <c r="G212" s="262">
        <v>12</v>
      </c>
      <c r="H212" s="262">
        <v>12.5</v>
      </c>
      <c r="I212" s="262">
        <v>13</v>
      </c>
      <c r="J212" s="262">
        <v>13.5</v>
      </c>
      <c r="K212" s="262">
        <v>14</v>
      </c>
      <c r="L212" s="266">
        <v>14.5</v>
      </c>
    </row>
    <row r="213" spans="4:12" x14ac:dyDescent="0.3">
      <c r="D213" s="281">
        <v>62</v>
      </c>
      <c r="E213" s="237">
        <f t="dataTable" ref="E213:L220" dt2D="1" dtr="1" r1="E163" r2="E9" ca="1"/>
        <v>0.20621117644533737</v>
      </c>
      <c r="F213" s="237">
        <v>0.20621117644533737</v>
      </c>
      <c r="G213" s="237">
        <v>0.20621117644533737</v>
      </c>
      <c r="H213" s="237">
        <v>0.20621117644533737</v>
      </c>
      <c r="I213" s="237">
        <v>0.20621117644533737</v>
      </c>
      <c r="J213" s="237">
        <v>0.20621117644533737</v>
      </c>
      <c r="K213" s="237">
        <v>0.20621117644533737</v>
      </c>
      <c r="L213" s="267">
        <v>0.20621117644533737</v>
      </c>
    </row>
    <row r="214" spans="4:12" x14ac:dyDescent="0.3">
      <c r="D214" s="281">
        <v>64</v>
      </c>
      <c r="E214" s="237">
        <v>0.20621117644533737</v>
      </c>
      <c r="F214" s="237">
        <v>0.20621117644533737</v>
      </c>
      <c r="G214" s="237">
        <v>0.20621117644533737</v>
      </c>
      <c r="H214" s="237">
        <v>0.20621117644533737</v>
      </c>
      <c r="I214" s="237">
        <v>0.20621117644533737</v>
      </c>
      <c r="J214" s="237">
        <v>0.20621117644533737</v>
      </c>
      <c r="K214" s="237">
        <v>0.20621117644533737</v>
      </c>
      <c r="L214" s="267">
        <v>0.20621117644533737</v>
      </c>
    </row>
    <row r="215" spans="4:12" x14ac:dyDescent="0.3">
      <c r="D215" s="281">
        <v>68</v>
      </c>
      <c r="E215" s="237">
        <v>0.20621117644533737</v>
      </c>
      <c r="F215" s="237">
        <v>0.20621117644533737</v>
      </c>
      <c r="G215" s="237">
        <v>0.20621117644533737</v>
      </c>
      <c r="H215" s="237">
        <v>0.20621117644533737</v>
      </c>
      <c r="I215" s="237">
        <v>0.20621117644533737</v>
      </c>
      <c r="J215" s="237">
        <v>0.20621117644533737</v>
      </c>
      <c r="K215" s="237">
        <v>0.20621117644533737</v>
      </c>
      <c r="L215" s="267">
        <v>0.20621117644533737</v>
      </c>
    </row>
    <row r="216" spans="4:12" x14ac:dyDescent="0.3">
      <c r="D216" s="281">
        <v>70</v>
      </c>
      <c r="E216" s="237">
        <v>0.20621117644533737</v>
      </c>
      <c r="F216" s="237">
        <v>0.20621117644533737</v>
      </c>
      <c r="G216" s="237">
        <v>0.20621117644533737</v>
      </c>
      <c r="H216" s="272">
        <v>0.20621117644533737</v>
      </c>
      <c r="I216" s="272">
        <v>0.20621117644533737</v>
      </c>
      <c r="J216" s="272">
        <v>0.20621117644533737</v>
      </c>
      <c r="K216" s="237">
        <v>0.20621117644533737</v>
      </c>
      <c r="L216" s="267">
        <v>0.20621117644533737</v>
      </c>
    </row>
    <row r="217" spans="4:12" x14ac:dyDescent="0.3">
      <c r="D217" s="281">
        <v>72.260000000000005</v>
      </c>
      <c r="E217" s="237">
        <v>0.20621117644533737</v>
      </c>
      <c r="F217" s="237">
        <v>0.20621117644533737</v>
      </c>
      <c r="G217" s="237">
        <v>0.20621117644533737</v>
      </c>
      <c r="H217" s="272">
        <v>0.20621117644533737</v>
      </c>
      <c r="I217" s="271">
        <v>0.20621117644533737</v>
      </c>
      <c r="J217" s="272">
        <v>0.20621117644533737</v>
      </c>
      <c r="K217" s="237">
        <v>0.20621117644533737</v>
      </c>
      <c r="L217" s="267">
        <v>0.20621117644533737</v>
      </c>
    </row>
    <row r="218" spans="4:12" x14ac:dyDescent="0.3">
      <c r="D218" s="281">
        <v>74</v>
      </c>
      <c r="E218" s="237">
        <v>0.20621117644533737</v>
      </c>
      <c r="F218" s="237">
        <v>0.20621117644533737</v>
      </c>
      <c r="G218" s="237">
        <v>0.20621117644533737</v>
      </c>
      <c r="H218" s="272">
        <v>0.20621117644533737</v>
      </c>
      <c r="I218" s="272">
        <v>0.20621117644533737</v>
      </c>
      <c r="J218" s="272">
        <v>0.20621117644533737</v>
      </c>
      <c r="K218" s="237">
        <v>0.20621117644533737</v>
      </c>
      <c r="L218" s="267">
        <v>0.20621117644533737</v>
      </c>
    </row>
    <row r="219" spans="4:12" x14ac:dyDescent="0.3">
      <c r="D219" s="281">
        <v>76</v>
      </c>
      <c r="E219" s="237">
        <v>0.20621117644533737</v>
      </c>
      <c r="F219" s="237">
        <v>0.20621117644533737</v>
      </c>
      <c r="G219" s="237">
        <v>0.20621117644533737</v>
      </c>
      <c r="H219" s="237">
        <v>0.20621117644533737</v>
      </c>
      <c r="I219" s="237">
        <v>0.20621117644533737</v>
      </c>
      <c r="J219" s="237">
        <v>0.20621117644533737</v>
      </c>
      <c r="K219" s="237">
        <v>0.20621117644533737</v>
      </c>
      <c r="L219" s="267">
        <v>0.20621117644533737</v>
      </c>
    </row>
    <row r="220" spans="4:12" x14ac:dyDescent="0.3">
      <c r="D220" s="282">
        <v>78</v>
      </c>
      <c r="E220" s="245">
        <v>0.20621117644533737</v>
      </c>
      <c r="F220" s="245">
        <v>0.20621117644533737</v>
      </c>
      <c r="G220" s="245">
        <v>0.20621117644533737</v>
      </c>
      <c r="H220" s="245">
        <v>0.20621117644533737</v>
      </c>
      <c r="I220" s="245">
        <v>0.20621117644533737</v>
      </c>
      <c r="J220" s="245">
        <v>0.20621117644533737</v>
      </c>
      <c r="K220" s="245">
        <v>0.20621117644533737</v>
      </c>
      <c r="L220" s="246">
        <v>0.20621117644533737</v>
      </c>
    </row>
  </sheetData>
  <pageMargins left="0.7" right="0.7" top="0.75" bottom="0.75" header="0.3" footer="0.3"/>
  <pageSetup orientation="portrait" r:id="rId1"/>
  <ignoredErrors>
    <ignoredError sqref="J54" formulaRange="1"/>
    <ignoredError sqref="G111:J1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V199"/>
  <sheetViews>
    <sheetView topLeftCell="A128" zoomScale="105" zoomScaleNormal="80" workbookViewId="0">
      <selection activeCell="N139" sqref="N139"/>
    </sheetView>
  </sheetViews>
  <sheetFormatPr defaultRowHeight="14.4" outlineLevelRow="1" x14ac:dyDescent="0.3"/>
  <cols>
    <col min="1" max="1" width="2.77734375" customWidth="1"/>
    <col min="5" max="5" width="12.33203125" customWidth="1"/>
    <col min="6" max="8" width="10.6640625" customWidth="1"/>
    <col min="9" max="10" width="9.88671875" customWidth="1"/>
    <col min="11" max="11" width="10.6640625" customWidth="1"/>
    <col min="12" max="16" width="13.109375" bestFit="1" customWidth="1"/>
    <col min="18" max="18" width="9.88671875" bestFit="1" customWidth="1"/>
  </cols>
  <sheetData>
    <row r="4" spans="1:16" x14ac:dyDescent="0.3">
      <c r="A4" t="s">
        <v>101</v>
      </c>
      <c r="B4" s="1" t="s">
        <v>297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120"/>
      <c r="O4" s="26"/>
      <c r="P4" s="27"/>
    </row>
    <row r="5" spans="1:16" x14ac:dyDescent="0.3">
      <c r="B5" s="2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57"/>
      <c r="O5" s="9"/>
      <c r="P5" s="10"/>
    </row>
    <row r="6" spans="1:16" x14ac:dyDescent="0.3">
      <c r="B6" s="58"/>
      <c r="P6" s="59"/>
    </row>
    <row r="7" spans="1:16" x14ac:dyDescent="0.3">
      <c r="B7" s="58"/>
      <c r="P7" s="59"/>
    </row>
    <row r="8" spans="1:16" x14ac:dyDescent="0.3">
      <c r="B8" s="58"/>
      <c r="P8" s="59"/>
    </row>
    <row r="9" spans="1:16" x14ac:dyDescent="0.3">
      <c r="B9" s="58"/>
      <c r="F9" s="318" t="s">
        <v>1</v>
      </c>
      <c r="G9" s="318"/>
      <c r="H9" s="318"/>
      <c r="I9" s="320" t="s">
        <v>115</v>
      </c>
      <c r="J9" s="318"/>
      <c r="K9" s="319"/>
      <c r="L9" s="318" t="s">
        <v>2</v>
      </c>
      <c r="M9" s="318"/>
      <c r="N9" s="318"/>
      <c r="O9" s="318"/>
      <c r="P9" s="319"/>
    </row>
    <row r="10" spans="1:16" hidden="1" outlineLevel="1" x14ac:dyDescent="0.3">
      <c r="B10" s="58"/>
      <c r="F10" s="19" t="e">
        <f>H10-2</f>
        <v>#REF!</v>
      </c>
      <c r="G10" s="19" t="e">
        <f>H10-1</f>
        <v>#REF!</v>
      </c>
      <c r="H10" s="19" t="e">
        <f>Last_Hist_Year</f>
        <v>#REF!</v>
      </c>
      <c r="I10" s="74"/>
      <c r="J10" s="19"/>
      <c r="K10" s="20"/>
      <c r="L10" s="19" t="e">
        <f>$H$10+1</f>
        <v>#REF!</v>
      </c>
      <c r="M10" s="19" t="e">
        <f>$H$10+2</f>
        <v>#REF!</v>
      </c>
      <c r="N10" s="19" t="e">
        <f>$H$10+3</f>
        <v>#REF!</v>
      </c>
      <c r="O10" s="19" t="e">
        <f>$H$10+4</f>
        <v>#REF!</v>
      </c>
      <c r="P10" s="20" t="e">
        <f>$H$10+5</f>
        <v>#REF!</v>
      </c>
    </row>
    <row r="11" spans="1:16" s="2" customFormat="1" collapsed="1" x14ac:dyDescent="0.3">
      <c r="B11" s="15"/>
      <c r="F11" s="19" t="s">
        <v>289</v>
      </c>
      <c r="G11" s="19" t="s">
        <v>290</v>
      </c>
      <c r="H11" s="20" t="s">
        <v>291</v>
      </c>
      <c r="I11" s="75" t="s">
        <v>195</v>
      </c>
      <c r="J11" s="75" t="s">
        <v>196</v>
      </c>
      <c r="K11" s="20" t="s">
        <v>116</v>
      </c>
      <c r="L11" s="19" t="s">
        <v>292</v>
      </c>
      <c r="M11" s="19" t="s">
        <v>293</v>
      </c>
      <c r="N11" s="19" t="s">
        <v>294</v>
      </c>
      <c r="O11" s="19" t="s">
        <v>295</v>
      </c>
      <c r="P11" s="20" t="s">
        <v>296</v>
      </c>
    </row>
    <row r="12" spans="1:16" x14ac:dyDescent="0.3">
      <c r="B12" s="58"/>
      <c r="I12" s="73"/>
      <c r="K12" s="67"/>
      <c r="P12" s="59"/>
    </row>
    <row r="13" spans="1:16" x14ac:dyDescent="0.3">
      <c r="B13" s="15" t="s">
        <v>3</v>
      </c>
      <c r="F13" s="121">
        <v>2.4946529263076167E-2</v>
      </c>
      <c r="G13" s="121">
        <v>7.9875931933299116E-2</v>
      </c>
      <c r="H13" s="121">
        <v>2.6948448356127086E-2</v>
      </c>
      <c r="I13" s="218"/>
      <c r="J13" s="79"/>
      <c r="K13" s="81"/>
      <c r="L13" s="121">
        <v>4.3923636517500787E-2</v>
      </c>
      <c r="M13" s="121">
        <v>4.3923636517500787E-2</v>
      </c>
      <c r="N13" s="121">
        <v>4.3923636517500787E-2</v>
      </c>
      <c r="O13" s="121">
        <v>4.3923636517500787E-2</v>
      </c>
      <c r="P13" s="71">
        <v>4.3923636517500787E-2</v>
      </c>
    </row>
    <row r="14" spans="1:16" x14ac:dyDescent="0.3">
      <c r="B14" s="15" t="s">
        <v>4</v>
      </c>
      <c r="F14" s="121">
        <v>0.63164684233490787</v>
      </c>
      <c r="G14" s="121">
        <v>0.6385675511871195</v>
      </c>
      <c r="H14" s="121">
        <v>0.64113244664927516</v>
      </c>
      <c r="I14" s="218"/>
      <c r="J14" s="79"/>
      <c r="K14" s="81"/>
      <c r="L14" s="121">
        <v>0.64113244664927516</v>
      </c>
      <c r="M14" s="121">
        <v>0.64113244664927516</v>
      </c>
      <c r="N14" s="121">
        <v>0.64113244664927516</v>
      </c>
      <c r="O14" s="121">
        <v>0.64113244664927516</v>
      </c>
      <c r="P14" s="71">
        <v>0.64113244664927516</v>
      </c>
    </row>
    <row r="15" spans="1:16" x14ac:dyDescent="0.3">
      <c r="B15" s="15" t="s">
        <v>5</v>
      </c>
      <c r="F15" s="121">
        <v>0</v>
      </c>
      <c r="G15" s="121">
        <v>0</v>
      </c>
      <c r="H15" s="121">
        <v>0</v>
      </c>
      <c r="I15" s="218"/>
      <c r="J15" s="79"/>
      <c r="K15" s="81"/>
      <c r="L15" s="121">
        <v>0</v>
      </c>
      <c r="M15" s="121">
        <v>0</v>
      </c>
      <c r="N15" s="121">
        <v>0</v>
      </c>
      <c r="O15" s="121">
        <v>0</v>
      </c>
      <c r="P15" s="71">
        <v>0</v>
      </c>
    </row>
    <row r="16" spans="1:16" x14ac:dyDescent="0.3">
      <c r="B16" s="15" t="s">
        <v>6</v>
      </c>
      <c r="F16" s="121">
        <v>0.18050575759300364</v>
      </c>
      <c r="G16" s="121">
        <v>0.17962704331251586</v>
      </c>
      <c r="H16" s="121">
        <v>0.18031048197408373</v>
      </c>
      <c r="I16" s="218"/>
      <c r="J16" s="79"/>
      <c r="K16" s="81"/>
      <c r="L16" s="121">
        <v>0.18031048197408373</v>
      </c>
      <c r="M16" s="121">
        <v>0.18031048197408373</v>
      </c>
      <c r="N16" s="121">
        <v>0.18031048197408373</v>
      </c>
      <c r="O16" s="121">
        <v>0.18031048197408373</v>
      </c>
      <c r="P16" s="71">
        <v>0.18031048197408373</v>
      </c>
    </row>
    <row r="17" spans="2:16" x14ac:dyDescent="0.3">
      <c r="B17" s="15" t="s">
        <v>7</v>
      </c>
      <c r="F17" s="121">
        <v>5.3592093032079373E-3</v>
      </c>
      <c r="G17" s="121">
        <v>4.602668493680114E-3</v>
      </c>
      <c r="H17" s="121">
        <v>4.5759739982038231E-3</v>
      </c>
      <c r="I17" s="218"/>
      <c r="J17" s="79"/>
      <c r="K17" s="81"/>
      <c r="L17" s="121">
        <v>4.5759739982038231E-3</v>
      </c>
      <c r="M17" s="121">
        <v>4.5759739982038231E-3</v>
      </c>
      <c r="N17" s="121">
        <v>4.5759739982038231E-3</v>
      </c>
      <c r="O17" s="121">
        <v>4.5759739982038231E-3</v>
      </c>
      <c r="P17" s="71">
        <v>4.5759739982038231E-3</v>
      </c>
    </row>
    <row r="18" spans="2:16" x14ac:dyDescent="0.3">
      <c r="B18" s="15" t="s">
        <v>8</v>
      </c>
      <c r="F18" s="121">
        <v>2.3865080720125963E-2</v>
      </c>
      <c r="G18" s="121">
        <v>2.5630890581218653E-2</v>
      </c>
      <c r="H18" s="121">
        <v>2.5625454389941411E-2</v>
      </c>
      <c r="I18" s="218"/>
      <c r="J18" s="79"/>
      <c r="K18" s="81"/>
      <c r="L18" s="121">
        <v>2.5625454389941411E-2</v>
      </c>
      <c r="M18" s="121">
        <v>2.5625454389941411E-2</v>
      </c>
      <c r="N18" s="121">
        <v>2.5625454389941411E-2</v>
      </c>
      <c r="O18" s="121">
        <v>2.5625454389941411E-2</v>
      </c>
      <c r="P18" s="71">
        <v>2.5625454389941411E-2</v>
      </c>
    </row>
    <row r="19" spans="2:16" x14ac:dyDescent="0.3">
      <c r="B19" s="15" t="s">
        <v>12</v>
      </c>
      <c r="F19" s="94">
        <v>44.2</v>
      </c>
      <c r="G19" s="94">
        <v>46</v>
      </c>
      <c r="H19" s="94">
        <v>48</v>
      </c>
      <c r="I19" s="15"/>
      <c r="J19" s="2"/>
      <c r="K19" s="11"/>
      <c r="L19" s="94">
        <v>31</v>
      </c>
      <c r="M19" s="94">
        <v>31</v>
      </c>
      <c r="N19" s="94">
        <v>31</v>
      </c>
      <c r="O19" s="94">
        <v>31</v>
      </c>
      <c r="P19" s="72">
        <v>31</v>
      </c>
    </row>
    <row r="20" spans="2:16" x14ac:dyDescent="0.3">
      <c r="B20" s="15" t="s">
        <v>9</v>
      </c>
      <c r="F20" s="121">
        <v>1.4999999999999999E-2</v>
      </c>
      <c r="G20" s="121">
        <v>1.4999999999999999E-2</v>
      </c>
      <c r="H20" s="121">
        <v>1.4999999999999999E-2</v>
      </c>
      <c r="I20" s="15"/>
      <c r="J20" s="2"/>
      <c r="K20" s="11"/>
      <c r="L20" s="121">
        <v>1.4999999999999999E-2</v>
      </c>
      <c r="M20" s="121">
        <v>1.4999999999999999E-2</v>
      </c>
      <c r="N20" s="121">
        <v>1.4999999999999999E-2</v>
      </c>
      <c r="O20" s="121">
        <v>1.4999999999999999E-2</v>
      </c>
      <c r="P20" s="71">
        <v>1.4999999999999999E-2</v>
      </c>
    </row>
    <row r="21" spans="2:16" s="2" customFormat="1" x14ac:dyDescent="0.3">
      <c r="B21" s="15" t="s">
        <v>117</v>
      </c>
      <c r="F21" s="79"/>
      <c r="G21" s="121">
        <v>5.0999999999999997E-2</v>
      </c>
      <c r="H21" s="121">
        <v>1.4E-2</v>
      </c>
      <c r="I21" s="15"/>
      <c r="K21" s="11"/>
      <c r="P21" s="11"/>
    </row>
    <row r="22" spans="2:16" x14ac:dyDescent="0.3">
      <c r="B22" s="15" t="s">
        <v>118</v>
      </c>
      <c r="F22" s="79"/>
      <c r="G22" s="121">
        <v>4.2799999999999998E-2</v>
      </c>
      <c r="H22" s="121">
        <v>4.07E-2</v>
      </c>
      <c r="I22" s="15"/>
      <c r="J22" s="2"/>
      <c r="K22" s="11"/>
      <c r="L22" s="2"/>
      <c r="M22" s="2"/>
      <c r="N22" s="2"/>
      <c r="O22" s="2"/>
      <c r="P22" s="11"/>
    </row>
    <row r="23" spans="2:16" x14ac:dyDescent="0.3">
      <c r="B23" s="85" t="s">
        <v>128</v>
      </c>
      <c r="C23" s="86"/>
      <c r="D23" s="86"/>
      <c r="E23" s="86"/>
      <c r="F23" s="122"/>
      <c r="G23" s="122"/>
      <c r="H23" s="122"/>
      <c r="I23" s="85"/>
      <c r="J23" s="118"/>
      <c r="K23" s="123"/>
      <c r="L23" s="118"/>
      <c r="M23" s="118"/>
      <c r="N23" s="118"/>
      <c r="O23" s="118"/>
      <c r="P23" s="123"/>
    </row>
    <row r="24" spans="2:16" x14ac:dyDescent="0.3">
      <c r="B24" s="85" t="s">
        <v>129</v>
      </c>
      <c r="C24" s="86"/>
      <c r="D24" s="86"/>
      <c r="E24" s="86"/>
      <c r="F24" s="122"/>
      <c r="G24" s="122"/>
      <c r="H24" s="122"/>
      <c r="I24" s="85"/>
      <c r="J24" s="118"/>
      <c r="K24" s="123"/>
      <c r="L24" s="118"/>
      <c r="M24" s="118"/>
      <c r="N24" s="118"/>
      <c r="O24" s="118"/>
      <c r="P24" s="123"/>
    </row>
    <row r="25" spans="2:16" x14ac:dyDescent="0.3">
      <c r="B25" s="85" t="s">
        <v>130</v>
      </c>
      <c r="C25" s="86"/>
      <c r="D25" s="86"/>
      <c r="E25" s="86"/>
      <c r="F25" s="122"/>
      <c r="G25" s="122"/>
      <c r="H25" s="122"/>
      <c r="I25" s="85"/>
      <c r="J25" s="118"/>
      <c r="K25" s="123"/>
      <c r="L25" s="118"/>
      <c r="M25" s="118"/>
      <c r="N25" s="118"/>
      <c r="O25" s="118"/>
      <c r="P25" s="123"/>
    </row>
    <row r="26" spans="2:16" x14ac:dyDescent="0.3">
      <c r="B26" s="85" t="s">
        <v>131</v>
      </c>
      <c r="C26" s="86"/>
      <c r="D26" s="86"/>
      <c r="E26" s="86"/>
      <c r="F26" s="122"/>
      <c r="G26" s="122"/>
      <c r="H26" s="122"/>
      <c r="I26" s="85"/>
      <c r="J26" s="118"/>
      <c r="K26" s="123"/>
      <c r="L26" s="118"/>
      <c r="M26" s="118"/>
      <c r="N26" s="118"/>
      <c r="O26" s="118"/>
      <c r="P26" s="123"/>
    </row>
    <row r="27" spans="2:16" x14ac:dyDescent="0.3">
      <c r="B27" s="15" t="s">
        <v>100</v>
      </c>
      <c r="F27" s="121">
        <v>3.974351677954205E-3</v>
      </c>
      <c r="G27" s="121">
        <v>1.2982335942097726E-2</v>
      </c>
      <c r="H27" s="121">
        <v>1.714921096523115E-2</v>
      </c>
      <c r="I27" s="218"/>
      <c r="J27" s="79"/>
      <c r="K27" s="81"/>
      <c r="L27" s="121">
        <v>-1.4999999999999999E-2</v>
      </c>
      <c r="M27" s="121">
        <v>-1.4999999999999999E-2</v>
      </c>
      <c r="N27" s="121">
        <v>-1.4999999999999999E-2</v>
      </c>
      <c r="O27" s="121">
        <v>-1.4999999999999999E-2</v>
      </c>
      <c r="P27" s="71">
        <v>-1.4999999999999999E-2</v>
      </c>
    </row>
    <row r="28" spans="2:16" x14ac:dyDescent="0.3">
      <c r="B28" s="15" t="s">
        <v>10</v>
      </c>
      <c r="F28" s="121">
        <v>0.27282385975563478</v>
      </c>
      <c r="G28" s="121">
        <v>0.22737394623826918</v>
      </c>
      <c r="H28" s="121">
        <v>0.18255210478622619</v>
      </c>
      <c r="I28" s="218"/>
      <c r="J28" s="79"/>
      <c r="K28" s="81"/>
      <c r="L28" s="79">
        <v>0.4</v>
      </c>
      <c r="M28" s="79">
        <v>0.4</v>
      </c>
      <c r="N28" s="79">
        <v>0.4</v>
      </c>
      <c r="O28" s="79">
        <v>0.4</v>
      </c>
      <c r="P28" s="81">
        <v>0.4</v>
      </c>
    </row>
    <row r="29" spans="2:16" x14ac:dyDescent="0.3">
      <c r="B29" s="15"/>
      <c r="F29" s="2"/>
      <c r="G29" s="2"/>
      <c r="H29" s="2"/>
      <c r="I29" s="15"/>
      <c r="J29" s="2"/>
      <c r="K29" s="11"/>
      <c r="L29" s="2"/>
      <c r="M29" s="2"/>
      <c r="N29" s="2"/>
      <c r="O29" s="2"/>
      <c r="P29" s="11"/>
    </row>
    <row r="30" spans="2:16" x14ac:dyDescent="0.3">
      <c r="B30" s="13" t="s">
        <v>112</v>
      </c>
      <c r="F30" s="2"/>
      <c r="G30" s="2"/>
      <c r="H30" s="2"/>
      <c r="I30" s="15"/>
      <c r="J30" s="2"/>
      <c r="K30" s="11"/>
      <c r="L30" s="2"/>
      <c r="M30" s="2"/>
      <c r="N30" s="2"/>
      <c r="O30" s="2"/>
      <c r="P30" s="11"/>
    </row>
    <row r="31" spans="2:16" x14ac:dyDescent="0.3">
      <c r="B31" s="15" t="s">
        <v>109</v>
      </c>
      <c r="F31" s="121">
        <v>8.9494052700472365E-2</v>
      </c>
      <c r="G31" s="121">
        <v>9.2914174286542459E-2</v>
      </c>
      <c r="H31" s="121">
        <v>9.1220117179147242E-2</v>
      </c>
      <c r="I31" s="218"/>
      <c r="J31" s="79"/>
      <c r="K31" s="81"/>
      <c r="L31" s="121">
        <v>9.1209448055387346E-2</v>
      </c>
      <c r="M31" s="121">
        <v>9.1209448055387346E-2</v>
      </c>
      <c r="N31" s="121">
        <v>9.1209448055387346E-2</v>
      </c>
      <c r="O31" s="121">
        <v>9.1209448055387346E-2</v>
      </c>
      <c r="P31" s="71">
        <v>9.1209448055387346E-2</v>
      </c>
    </row>
    <row r="32" spans="2:16" x14ac:dyDescent="0.3">
      <c r="B32" s="15" t="s">
        <v>11</v>
      </c>
      <c r="F32" s="55">
        <v>32.217858972170049</v>
      </c>
      <c r="G32" s="55">
        <v>33.449102743155287</v>
      </c>
      <c r="H32" s="55">
        <v>32.83924218449301</v>
      </c>
      <c r="I32" s="219"/>
      <c r="J32" s="48"/>
      <c r="K32" s="49"/>
      <c r="L32" s="55">
        <v>32.835401299939441</v>
      </c>
      <c r="M32" s="55">
        <v>32.835401299939441</v>
      </c>
      <c r="N32" s="55">
        <v>32.835401299939441</v>
      </c>
      <c r="O32" s="55">
        <v>32.835401299939441</v>
      </c>
      <c r="P32" s="64">
        <v>32.835401299939441</v>
      </c>
    </row>
    <row r="33" spans="1:16" x14ac:dyDescent="0.3">
      <c r="B33" s="15" t="s">
        <v>108</v>
      </c>
      <c r="F33" s="121">
        <v>0.21017539644401728</v>
      </c>
      <c r="G33" s="121">
        <v>0.20858608784164848</v>
      </c>
      <c r="H33" s="121">
        <v>0.19322820779636599</v>
      </c>
      <c r="I33" s="218"/>
      <c r="J33" s="79"/>
      <c r="K33" s="81"/>
      <c r="L33" s="121">
        <v>0.2039965640273439</v>
      </c>
      <c r="M33" s="121">
        <v>0.2039965640273439</v>
      </c>
      <c r="N33" s="121">
        <v>0.2039965640273439</v>
      </c>
      <c r="O33" s="121">
        <v>0.2039965640273439</v>
      </c>
      <c r="P33" s="71">
        <v>0.2039965640273439</v>
      </c>
    </row>
    <row r="34" spans="1:16" x14ac:dyDescent="0.3">
      <c r="B34" s="15" t="s">
        <v>107</v>
      </c>
      <c r="F34" s="121">
        <v>1.4133136038548365E-2</v>
      </c>
      <c r="G34" s="121">
        <v>1.5406642247929238E-2</v>
      </c>
      <c r="H34" s="121">
        <v>1.479707479793012E-2</v>
      </c>
      <c r="I34" s="218"/>
      <c r="J34" s="79"/>
      <c r="K34" s="81"/>
      <c r="L34" s="121">
        <v>1.479707479793012E-2</v>
      </c>
      <c r="M34" s="121">
        <v>1.479707479793012E-2</v>
      </c>
      <c r="N34" s="121">
        <v>1.479707479793012E-2</v>
      </c>
      <c r="O34" s="121">
        <v>1.479707479793012E-2</v>
      </c>
      <c r="P34" s="71">
        <v>1.479707479793012E-2</v>
      </c>
    </row>
    <row r="35" spans="1:16" x14ac:dyDescent="0.3">
      <c r="B35" s="15" t="s">
        <v>106</v>
      </c>
      <c r="F35" s="121">
        <v>1.1572097964448996E-2</v>
      </c>
      <c r="G35" s="121">
        <v>7.5276467539768287E-3</v>
      </c>
      <c r="H35" s="121">
        <v>9.8533122353846817E-3</v>
      </c>
      <c r="I35" s="218"/>
      <c r="J35" s="79"/>
      <c r="K35" s="81"/>
      <c r="L35" s="121">
        <v>9.651018984603502E-3</v>
      </c>
      <c r="M35" s="121">
        <v>9.651018984603502E-3</v>
      </c>
      <c r="N35" s="121">
        <v>9.651018984603502E-3</v>
      </c>
      <c r="O35" s="121">
        <v>9.651018984603502E-3</v>
      </c>
      <c r="P35" s="71">
        <v>9.651018984603502E-3</v>
      </c>
    </row>
    <row r="36" spans="1:16" x14ac:dyDescent="0.3">
      <c r="B36" s="15"/>
      <c r="F36" s="2"/>
      <c r="G36" s="2"/>
      <c r="H36" s="2"/>
      <c r="I36" s="15"/>
      <c r="J36" s="2"/>
      <c r="K36" s="11"/>
      <c r="L36" s="2"/>
      <c r="M36" s="2"/>
      <c r="N36" s="2"/>
      <c r="O36" s="2"/>
      <c r="P36" s="11"/>
    </row>
    <row r="37" spans="1:16" x14ac:dyDescent="0.3">
      <c r="B37" s="15" t="s">
        <v>15</v>
      </c>
      <c r="F37" s="121">
        <v>0.16164103796251802</v>
      </c>
      <c r="G37" s="121">
        <v>0.15085489484036921</v>
      </c>
      <c r="H37" s="121">
        <v>0.15071106486298994</v>
      </c>
      <c r="I37" s="218"/>
      <c r="J37" s="79"/>
      <c r="K37" s="81"/>
      <c r="L37" s="121">
        <v>0.15071106486298994</v>
      </c>
      <c r="M37" s="121">
        <v>0.15071106486298994</v>
      </c>
      <c r="N37" s="121">
        <v>0.15071106486298994</v>
      </c>
      <c r="O37" s="121">
        <v>0.15071106486298994</v>
      </c>
      <c r="P37" s="71">
        <v>0.15071106486298994</v>
      </c>
    </row>
    <row r="38" spans="1:16" x14ac:dyDescent="0.3">
      <c r="B38" s="15" t="s">
        <v>14</v>
      </c>
      <c r="F38" s="55">
        <v>58.190773666506487</v>
      </c>
      <c r="G38" s="55">
        <v>54.307762142532916</v>
      </c>
      <c r="H38" s="55">
        <v>54.255983350676374</v>
      </c>
      <c r="I38" s="219"/>
      <c r="J38" s="48"/>
      <c r="K38" s="49"/>
      <c r="L38" s="55">
        <v>54.255983350676374</v>
      </c>
      <c r="M38" s="55">
        <v>54.255983350676374</v>
      </c>
      <c r="N38" s="55">
        <v>54.255983350676374</v>
      </c>
      <c r="O38" s="55">
        <v>54.255983350676374</v>
      </c>
      <c r="P38" s="64">
        <v>54.255983350676374</v>
      </c>
    </row>
    <row r="39" spans="1:16" x14ac:dyDescent="0.3">
      <c r="B39" s="15" t="s">
        <v>13</v>
      </c>
      <c r="F39" s="121">
        <v>0.4913857067787703</v>
      </c>
      <c r="G39" s="121">
        <v>0.43672909535452331</v>
      </c>
      <c r="H39" s="121">
        <v>0.44780323514064801</v>
      </c>
      <c r="I39" s="218"/>
      <c r="J39" s="79"/>
      <c r="K39" s="81"/>
      <c r="L39" s="121">
        <v>0.45863934575798054</v>
      </c>
      <c r="M39" s="121">
        <v>0.45863934575798054</v>
      </c>
      <c r="N39" s="121">
        <v>0.45863934575798054</v>
      </c>
      <c r="O39" s="121">
        <v>0.45863934575798054</v>
      </c>
      <c r="P39" s="71">
        <v>0.45863934575798054</v>
      </c>
    </row>
    <row r="40" spans="1:16" x14ac:dyDescent="0.3">
      <c r="B40" s="15" t="s">
        <v>104</v>
      </c>
      <c r="F40" s="121">
        <v>6.9915762313121327E-2</v>
      </c>
      <c r="G40" s="121">
        <v>0.1014076666136471</v>
      </c>
      <c r="H40" s="121">
        <v>7.5198121756322595E-2</v>
      </c>
      <c r="I40" s="218"/>
      <c r="J40" s="79"/>
      <c r="K40" s="81"/>
      <c r="L40" s="121">
        <v>7.5198121756322595E-2</v>
      </c>
      <c r="M40" s="121">
        <v>7.5198121756322595E-2</v>
      </c>
      <c r="N40" s="121">
        <v>7.5198121756322595E-2</v>
      </c>
      <c r="O40" s="121">
        <v>7.5198121756322595E-2</v>
      </c>
      <c r="P40" s="71">
        <v>7.5198121756322595E-2</v>
      </c>
    </row>
    <row r="41" spans="1:16" x14ac:dyDescent="0.3">
      <c r="B41" s="15" t="s">
        <v>105</v>
      </c>
      <c r="F41" s="121">
        <v>1.2576214596019958E-2</v>
      </c>
      <c r="G41" s="121">
        <v>1.2754837632963539E-2</v>
      </c>
      <c r="H41" s="121">
        <v>1.1611341572937603E-2</v>
      </c>
      <c r="I41" s="218"/>
      <c r="J41" s="79"/>
      <c r="K41" s="81"/>
      <c r="L41" s="121">
        <v>1.2314131267307035E-2</v>
      </c>
      <c r="M41" s="121">
        <v>1.2226770157736058E-2</v>
      </c>
      <c r="N41" s="121">
        <v>1.2050747665993566E-2</v>
      </c>
      <c r="O41" s="121">
        <v>1.2197216363678888E-2</v>
      </c>
      <c r="P41" s="71">
        <v>1.2158244729136172E-2</v>
      </c>
    </row>
    <row r="42" spans="1:16" x14ac:dyDescent="0.3">
      <c r="B42" s="15" t="s">
        <v>103</v>
      </c>
      <c r="F42" s="121">
        <v>2.0814220401039592E-2</v>
      </c>
      <c r="G42" s="121">
        <v>1.874173232496245E-2</v>
      </c>
      <c r="H42" s="121">
        <v>1.9751015695163153E-2</v>
      </c>
      <c r="I42" s="218"/>
      <c r="J42" s="79"/>
      <c r="K42" s="81"/>
      <c r="L42" s="121">
        <v>1.9768989473721733E-2</v>
      </c>
      <c r="M42" s="121">
        <v>1.9768989473721733E-2</v>
      </c>
      <c r="N42" s="121">
        <v>1.9768989473721733E-2</v>
      </c>
      <c r="O42" s="121">
        <v>1.9768989473721733E-2</v>
      </c>
      <c r="P42" s="71">
        <v>1.9768989473721733E-2</v>
      </c>
    </row>
    <row r="43" spans="1:16" x14ac:dyDescent="0.3">
      <c r="B43" s="15"/>
      <c r="F43" s="2"/>
      <c r="G43" s="2"/>
      <c r="H43" s="2"/>
      <c r="I43" s="15"/>
      <c r="J43" s="2"/>
      <c r="K43" s="11"/>
      <c r="L43" s="2"/>
      <c r="M43" s="2"/>
      <c r="N43" s="2"/>
      <c r="O43" s="2"/>
      <c r="P43" s="11"/>
    </row>
    <row r="44" spans="1:16" x14ac:dyDescent="0.3">
      <c r="B44" s="13" t="s">
        <v>113</v>
      </c>
      <c r="F44" s="2"/>
      <c r="G44" s="2"/>
      <c r="H44" s="2"/>
      <c r="I44" s="15"/>
      <c r="J44" s="2"/>
      <c r="K44" s="11"/>
      <c r="L44" s="2"/>
      <c r="M44" s="2"/>
      <c r="N44" s="2"/>
      <c r="O44" s="2"/>
      <c r="P44" s="11"/>
    </row>
    <row r="45" spans="1:16" x14ac:dyDescent="0.3">
      <c r="B45" s="15" t="s">
        <v>266</v>
      </c>
      <c r="F45" s="121">
        <v>0.59277812565226451</v>
      </c>
      <c r="G45" s="121">
        <v>0.62830674215131144</v>
      </c>
      <c r="H45" s="121">
        <v>0.65897410057442296</v>
      </c>
      <c r="I45" s="218"/>
      <c r="J45" s="79"/>
      <c r="K45" s="81"/>
      <c r="L45" s="77">
        <v>0.09</v>
      </c>
      <c r="M45" s="80">
        <v>0.09</v>
      </c>
      <c r="N45" s="80">
        <v>0.09</v>
      </c>
      <c r="O45" s="80">
        <v>0.09</v>
      </c>
      <c r="P45" s="83">
        <v>0.09</v>
      </c>
    </row>
    <row r="46" spans="1:16" x14ac:dyDescent="0.3">
      <c r="A46" t="s">
        <v>101</v>
      </c>
      <c r="B46" s="24" t="s">
        <v>110</v>
      </c>
      <c r="C46" s="61"/>
      <c r="D46" s="61"/>
      <c r="E46" s="61"/>
      <c r="F46" s="124">
        <v>3.0580691669986528E-2</v>
      </c>
      <c r="G46" s="124">
        <v>3.6443648053967159E-2</v>
      </c>
      <c r="H46" s="124">
        <v>3.4503699268699478E-2</v>
      </c>
      <c r="I46" s="220"/>
      <c r="J46" s="221"/>
      <c r="K46" s="222"/>
      <c r="L46" s="124">
        <v>3.4503699268699478E-2</v>
      </c>
      <c r="M46" s="124">
        <v>3.4503699268699478E-2</v>
      </c>
      <c r="N46" s="124">
        <v>3.4503699268699478E-2</v>
      </c>
      <c r="O46" s="124">
        <v>3.4503699268699478E-2</v>
      </c>
      <c r="P46" s="125">
        <v>3.4503699268699478E-2</v>
      </c>
    </row>
    <row r="47" spans="1:16" x14ac:dyDescent="0.3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3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7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7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7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7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7" x14ac:dyDescent="0.3">
      <c r="A53" t="s">
        <v>101</v>
      </c>
      <c r="B53" s="1" t="s">
        <v>16</v>
      </c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7"/>
    </row>
    <row r="54" spans="1:17" x14ac:dyDescent="0.3">
      <c r="B54" s="127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108"/>
    </row>
    <row r="55" spans="1:17" x14ac:dyDescent="0.3">
      <c r="B55" s="31"/>
      <c r="C55" s="32"/>
      <c r="D55" s="32"/>
      <c r="E55" s="32"/>
      <c r="F55" s="321" t="s">
        <v>1</v>
      </c>
      <c r="G55" s="321"/>
      <c r="H55" s="322"/>
      <c r="I55" s="323" t="s">
        <v>115</v>
      </c>
      <c r="J55" s="321"/>
      <c r="K55" s="322"/>
      <c r="L55" s="321" t="s">
        <v>2</v>
      </c>
      <c r="M55" s="321"/>
      <c r="N55" s="321"/>
      <c r="O55" s="321"/>
      <c r="P55" s="322"/>
    </row>
    <row r="56" spans="1:17" x14ac:dyDescent="0.3">
      <c r="B56" s="15"/>
      <c r="C56" s="2"/>
      <c r="D56" s="2"/>
      <c r="E56" s="2"/>
      <c r="F56" s="21" t="str">
        <f>F11</f>
        <v>LTM 2011</v>
      </c>
      <c r="G56" s="21" t="str">
        <f>G11</f>
        <v>LTM 2012</v>
      </c>
      <c r="H56" s="22" t="str">
        <f>H11</f>
        <v>LTM 2013</v>
      </c>
      <c r="I56" s="75" t="s">
        <v>195</v>
      </c>
      <c r="J56" s="75" t="s">
        <v>196</v>
      </c>
      <c r="K56" s="20" t="s">
        <v>116</v>
      </c>
      <c r="L56" s="21" t="str">
        <f>L11</f>
        <v>NTM 2014E</v>
      </c>
      <c r="M56" s="21" t="str">
        <f>M11</f>
        <v>NTM 2015E</v>
      </c>
      <c r="N56" s="21" t="str">
        <f>N11</f>
        <v>NTM 2016E</v>
      </c>
      <c r="O56" s="21" t="str">
        <f>O11</f>
        <v>NTM 2017E</v>
      </c>
      <c r="P56" s="22" t="str">
        <f>P11</f>
        <v>NTM 2018E</v>
      </c>
    </row>
    <row r="57" spans="1:17" x14ac:dyDescent="0.3">
      <c r="B57" s="15"/>
      <c r="C57" s="2"/>
      <c r="D57" s="2"/>
      <c r="E57" s="2"/>
      <c r="F57" s="2"/>
      <c r="G57" s="2"/>
      <c r="H57" s="23"/>
      <c r="I57" s="69"/>
      <c r="J57" s="69"/>
      <c r="K57" s="70"/>
      <c r="L57" s="2"/>
      <c r="M57" s="2"/>
      <c r="N57" s="2"/>
      <c r="O57" s="2"/>
      <c r="P57" s="23"/>
    </row>
    <row r="58" spans="1:17" x14ac:dyDescent="0.3">
      <c r="B58" s="13" t="s">
        <v>17</v>
      </c>
      <c r="C58" s="2"/>
      <c r="D58" s="2"/>
      <c r="E58" s="2"/>
      <c r="F58" s="66">
        <v>10542.6</v>
      </c>
      <c r="G58" s="66">
        <v>11384.7</v>
      </c>
      <c r="H58" s="68">
        <v>11691.5</v>
      </c>
      <c r="I58" s="90"/>
      <c r="J58" s="90"/>
      <c r="K58" s="91"/>
      <c r="L58" s="41">
        <f>H58*(1+L13)</f>
        <v>12205.03319634436</v>
      </c>
      <c r="M58" s="41">
        <f>L58*(1+M13)</f>
        <v>12741.122638144621</v>
      </c>
      <c r="N58" s="41">
        <f t="shared" ref="N58:P58" si="0">M58*(1+N13)</f>
        <v>13300.759077727387</v>
      </c>
      <c r="O58" s="41">
        <f t="shared" si="0"/>
        <v>13884.976784864335</v>
      </c>
      <c r="P58" s="42">
        <f t="shared" si="0"/>
        <v>14494.855458216654</v>
      </c>
      <c r="Q58" s="41"/>
    </row>
    <row r="59" spans="1:17" x14ac:dyDescent="0.3">
      <c r="B59" s="15" t="s">
        <v>18</v>
      </c>
      <c r="C59" s="2"/>
      <c r="D59" s="2"/>
      <c r="E59" s="2"/>
      <c r="F59" s="55">
        <v>6659.2</v>
      </c>
      <c r="G59" s="55">
        <v>7269.9</v>
      </c>
      <c r="H59" s="64">
        <v>7495.8</v>
      </c>
      <c r="I59" s="48"/>
      <c r="J59" s="48"/>
      <c r="K59" s="49"/>
      <c r="L59" s="17">
        <f>L58*L14</f>
        <v>7825.0427946078826</v>
      </c>
      <c r="M59" s="17">
        <f t="shared" ref="M59:P59" si="1">M58*M14</f>
        <v>8168.7471300521283</v>
      </c>
      <c r="N59" s="17">
        <f t="shared" si="1"/>
        <v>8527.5482097959157</v>
      </c>
      <c r="O59" s="17">
        <f t="shared" si="1"/>
        <v>8902.1091377484572</v>
      </c>
      <c r="P59" s="39">
        <f t="shared" si="1"/>
        <v>9293.1221437540444</v>
      </c>
    </row>
    <row r="60" spans="1:17" x14ac:dyDescent="0.3">
      <c r="B60" s="13" t="s">
        <v>19</v>
      </c>
      <c r="C60" s="2"/>
      <c r="D60" s="2"/>
      <c r="E60" s="2"/>
      <c r="F60" s="41">
        <f>F58-F59</f>
        <v>3883.4000000000005</v>
      </c>
      <c r="G60" s="41">
        <f>G58-G59</f>
        <v>4114.8000000000011</v>
      </c>
      <c r="H60" s="42">
        <f>H58-H59</f>
        <v>4195.7</v>
      </c>
      <c r="I60" s="90"/>
      <c r="J60" s="90"/>
      <c r="K60" s="91"/>
      <c r="L60" s="41">
        <f>L58-L59</f>
        <v>4379.9904017364779</v>
      </c>
      <c r="M60" s="41">
        <f t="shared" ref="M60:P60" si="2">M58-M59</f>
        <v>4572.375508092493</v>
      </c>
      <c r="N60" s="41">
        <f t="shared" si="2"/>
        <v>4773.2108679314715</v>
      </c>
      <c r="O60" s="41">
        <f t="shared" si="2"/>
        <v>4982.8676471158778</v>
      </c>
      <c r="P60" s="42">
        <f t="shared" si="2"/>
        <v>5201.73331446261</v>
      </c>
    </row>
    <row r="61" spans="1:17" x14ac:dyDescent="0.3">
      <c r="B61" s="15" t="s">
        <v>20</v>
      </c>
      <c r="C61" s="2"/>
      <c r="D61" s="2"/>
      <c r="E61" s="2"/>
      <c r="F61" s="2"/>
      <c r="G61" s="2"/>
      <c r="H61" s="11"/>
      <c r="I61" s="2"/>
      <c r="J61" s="2"/>
      <c r="K61" s="11"/>
      <c r="L61" s="48"/>
      <c r="M61" s="2"/>
      <c r="N61" s="2"/>
      <c r="O61" s="2"/>
      <c r="P61" s="11"/>
    </row>
    <row r="62" spans="1:17" x14ac:dyDescent="0.3">
      <c r="B62" s="15" t="s">
        <v>21</v>
      </c>
      <c r="C62" s="2"/>
      <c r="D62" s="2"/>
      <c r="E62" s="2"/>
      <c r="F62" s="55">
        <v>0</v>
      </c>
      <c r="G62" s="55">
        <v>0</v>
      </c>
      <c r="H62" s="64">
        <v>0</v>
      </c>
      <c r="I62" s="48"/>
      <c r="J62" s="48"/>
      <c r="K62" s="49"/>
      <c r="L62" s="17">
        <v>0</v>
      </c>
      <c r="M62" s="17">
        <v>0</v>
      </c>
      <c r="N62" s="17">
        <v>0</v>
      </c>
      <c r="O62" s="17">
        <v>0</v>
      </c>
      <c r="P62" s="39">
        <v>0</v>
      </c>
    </row>
    <row r="63" spans="1:17" x14ac:dyDescent="0.3">
      <c r="B63" s="24" t="s">
        <v>22</v>
      </c>
      <c r="C63" s="7"/>
      <c r="D63" s="7"/>
      <c r="E63" s="7"/>
      <c r="F63" s="62">
        <v>1903.0000000000002</v>
      </c>
      <c r="G63" s="62">
        <v>2044.9999999999995</v>
      </c>
      <c r="H63" s="65">
        <v>2108.1</v>
      </c>
      <c r="I63" s="48"/>
      <c r="J63" s="48"/>
      <c r="K63" s="49"/>
      <c r="L63" s="53">
        <f>L58*L16</f>
        <v>2200.6954181425431</v>
      </c>
      <c r="M63" s="53">
        <f t="shared" ref="M63:P63" si="3">M58*M16</f>
        <v>2297.3579637747657</v>
      </c>
      <c r="N63" s="53">
        <f t="shared" si="3"/>
        <v>2398.2662799261943</v>
      </c>
      <c r="O63" s="53">
        <f t="shared" si="3"/>
        <v>2503.6068562778519</v>
      </c>
      <c r="P63" s="285">
        <f t="shared" si="3"/>
        <v>2613.574373815723</v>
      </c>
    </row>
    <row r="64" spans="1:17" x14ac:dyDescent="0.3">
      <c r="B64" s="13" t="s">
        <v>23</v>
      </c>
      <c r="C64" s="2"/>
      <c r="D64" s="2"/>
      <c r="E64" s="2"/>
      <c r="F64" s="41">
        <f>SUM(F62:F63)</f>
        <v>1903.0000000000002</v>
      </c>
      <c r="G64" s="41">
        <f>SUM(G62:G63)</f>
        <v>2044.9999999999995</v>
      </c>
      <c r="H64" s="42">
        <f>SUM(H62:H63)</f>
        <v>2108.1</v>
      </c>
      <c r="I64" s="90"/>
      <c r="J64" s="90"/>
      <c r="K64" s="91"/>
      <c r="L64" s="41">
        <f>L62+L63</f>
        <v>2200.6954181425431</v>
      </c>
      <c r="M64" s="41">
        <f t="shared" ref="M64:O64" si="4">M62+M63</f>
        <v>2297.3579637747657</v>
      </c>
      <c r="N64" s="41">
        <f t="shared" si="4"/>
        <v>2398.2662799261943</v>
      </c>
      <c r="O64" s="41">
        <f t="shared" si="4"/>
        <v>2503.6068562778519</v>
      </c>
      <c r="P64" s="42">
        <f>P62+P63</f>
        <v>2613.574373815723</v>
      </c>
    </row>
    <row r="65" spans="1:16" x14ac:dyDescent="0.3">
      <c r="B65" s="15"/>
      <c r="C65" s="2"/>
      <c r="D65" s="2"/>
      <c r="E65" s="2"/>
      <c r="F65" s="2"/>
      <c r="G65" s="2"/>
      <c r="H65" s="11"/>
      <c r="I65" s="2"/>
      <c r="J65" s="2"/>
      <c r="K65" s="11"/>
      <c r="L65" s="48"/>
      <c r="M65" s="2"/>
      <c r="N65" s="2"/>
      <c r="O65" s="2"/>
      <c r="P65" s="11"/>
    </row>
    <row r="66" spans="1:16" x14ac:dyDescent="0.3">
      <c r="B66" s="15" t="s">
        <v>24</v>
      </c>
      <c r="C66" s="2"/>
      <c r="D66" s="2"/>
      <c r="E66" s="2"/>
      <c r="F66" s="55">
        <v>251.6</v>
      </c>
      <c r="G66" s="55">
        <v>291.8</v>
      </c>
      <c r="H66" s="64">
        <v>299.60000000000002</v>
      </c>
      <c r="I66" s="48"/>
      <c r="J66" s="48"/>
      <c r="K66" s="49"/>
      <c r="L66" s="17">
        <f>L58*L18</f>
        <v>312.75952150064325</v>
      </c>
      <c r="M66" s="17">
        <f t="shared" ref="M66:P66" si="5">M58*M18</f>
        <v>326.49705704042498</v>
      </c>
      <c r="N66" s="17">
        <f t="shared" si="5"/>
        <v>340.83799509790236</v>
      </c>
      <c r="O66" s="17">
        <f t="shared" si="5"/>
        <v>355.80883930593637</v>
      </c>
      <c r="P66" s="39">
        <f t="shared" si="5"/>
        <v>371.43725743332419</v>
      </c>
    </row>
    <row r="67" spans="1:16" x14ac:dyDescent="0.3">
      <c r="B67" s="15" t="s">
        <v>224</v>
      </c>
      <c r="C67" s="2"/>
      <c r="D67" s="2"/>
      <c r="E67" s="2"/>
      <c r="F67" s="48"/>
      <c r="G67" s="48"/>
      <c r="H67" s="49"/>
      <c r="I67" s="48"/>
      <c r="J67" s="48"/>
      <c r="K67" s="49"/>
      <c r="L67" s="16">
        <f>'LBO Transaction Inputs'!$J$66/'LBO Transaction Inputs'!$J$67</f>
        <v>30.352500000000006</v>
      </c>
      <c r="M67" s="16">
        <f>'LBO Transaction Inputs'!$J$66/'LBO Transaction Inputs'!$J$67</f>
        <v>30.352500000000006</v>
      </c>
      <c r="N67" s="16">
        <f>'LBO Transaction Inputs'!$J$66/'LBO Transaction Inputs'!$J$67</f>
        <v>30.352500000000006</v>
      </c>
      <c r="O67" s="16">
        <f>'LBO Transaction Inputs'!$J$66/'LBO Transaction Inputs'!$J$67</f>
        <v>30.352500000000006</v>
      </c>
      <c r="P67" s="16">
        <f>'LBO Transaction Inputs'!$J$66/'LBO Transaction Inputs'!$J$67</f>
        <v>30.352500000000006</v>
      </c>
    </row>
    <row r="68" spans="1:16" x14ac:dyDescent="0.3">
      <c r="B68" s="15" t="s">
        <v>219</v>
      </c>
      <c r="C68" s="2"/>
      <c r="D68" s="2"/>
      <c r="E68" s="2"/>
      <c r="F68" s="48"/>
      <c r="G68" s="48"/>
      <c r="H68" s="49"/>
      <c r="I68" s="48"/>
      <c r="J68" s="48"/>
      <c r="K68" s="49"/>
      <c r="L68" s="16">
        <f>'LBO Transaction Inputs'!$J$72/'LBO Transaction Inputs'!$J$73</f>
        <v>933.4173436399999</v>
      </c>
      <c r="M68" s="16">
        <f>'LBO Transaction Inputs'!$J$72/'LBO Transaction Inputs'!$J$73</f>
        <v>933.4173436399999</v>
      </c>
      <c r="N68" s="16">
        <f>'LBO Transaction Inputs'!$J$72/'LBO Transaction Inputs'!$J$73</f>
        <v>933.4173436399999</v>
      </c>
      <c r="O68" s="16">
        <f>'LBO Transaction Inputs'!$J$72/'LBO Transaction Inputs'!$J$73</f>
        <v>933.4173436399999</v>
      </c>
      <c r="P68" s="16">
        <f>'LBO Transaction Inputs'!$J$72/'LBO Transaction Inputs'!$J$73</f>
        <v>933.4173436399999</v>
      </c>
    </row>
    <row r="69" spans="1:16" x14ac:dyDescent="0.3">
      <c r="B69" s="15" t="s">
        <v>220</v>
      </c>
      <c r="C69" s="2"/>
      <c r="D69" s="2"/>
      <c r="E69" s="2"/>
      <c r="F69" s="48"/>
      <c r="G69" s="48"/>
      <c r="H69" s="49"/>
      <c r="I69" s="48"/>
      <c r="J69" s="48"/>
      <c r="K69" s="49"/>
      <c r="L69" s="55">
        <f>'LBO Transaction Inputs'!$J$54/5</f>
        <v>11.3</v>
      </c>
      <c r="M69" s="55">
        <f>'LBO Transaction Inputs'!$J$54/5</f>
        <v>11.3</v>
      </c>
      <c r="N69" s="55">
        <f>'LBO Transaction Inputs'!$J$54/5</f>
        <v>11.3</v>
      </c>
      <c r="O69" s="55">
        <f>'LBO Transaction Inputs'!$J$54/5</f>
        <v>11.3</v>
      </c>
      <c r="P69" s="55">
        <f>'LBO Transaction Inputs'!$J$54/5</f>
        <v>11.3</v>
      </c>
    </row>
    <row r="70" spans="1:16" x14ac:dyDescent="0.3">
      <c r="B70" s="15" t="s">
        <v>25</v>
      </c>
      <c r="C70" s="2"/>
      <c r="D70" s="2"/>
      <c r="E70" s="2"/>
      <c r="F70" s="55">
        <v>44.2</v>
      </c>
      <c r="G70" s="55">
        <v>46</v>
      </c>
      <c r="H70" s="64">
        <v>48</v>
      </c>
      <c r="I70" s="48"/>
      <c r="J70" s="48"/>
      <c r="K70" s="49"/>
      <c r="L70" s="17">
        <f>L19</f>
        <v>31</v>
      </c>
      <c r="M70" s="17">
        <f t="shared" ref="M70:P70" si="6">M19</f>
        <v>31</v>
      </c>
      <c r="N70" s="17">
        <f t="shared" si="6"/>
        <v>31</v>
      </c>
      <c r="O70" s="17">
        <f t="shared" si="6"/>
        <v>31</v>
      </c>
      <c r="P70" s="39">
        <f t="shared" si="6"/>
        <v>31</v>
      </c>
    </row>
    <row r="71" spans="1:16" x14ac:dyDescent="0.3">
      <c r="B71" s="15" t="s">
        <v>26</v>
      </c>
      <c r="C71" s="2"/>
      <c r="D71" s="2"/>
      <c r="E71" s="2"/>
      <c r="F71" s="55">
        <v>56.5</v>
      </c>
      <c r="G71" s="55">
        <v>52.4</v>
      </c>
      <c r="H71" s="64">
        <v>53.5</v>
      </c>
      <c r="I71" s="48"/>
      <c r="J71" s="48"/>
      <c r="K71" s="49"/>
      <c r="L71" s="17">
        <f>L58*L17</f>
        <v>55.84991455368629</v>
      </c>
      <c r="M71" s="17">
        <f t="shared" ref="M71:P71" si="7">M58*M17</f>
        <v>58.303045900075887</v>
      </c>
      <c r="N71" s="17">
        <f t="shared" si="7"/>
        <v>60.863927696053985</v>
      </c>
      <c r="O71" s="17">
        <f t="shared" si="7"/>
        <v>63.537292733202918</v>
      </c>
      <c r="P71" s="39">
        <f t="shared" si="7"/>
        <v>66.328081684522175</v>
      </c>
    </row>
    <row r="72" spans="1:16" x14ac:dyDescent="0.3">
      <c r="B72" s="15"/>
      <c r="C72" s="2"/>
      <c r="D72" s="2"/>
      <c r="E72" s="2"/>
      <c r="F72" s="2"/>
      <c r="G72" s="2"/>
      <c r="H72" s="11"/>
      <c r="I72" s="2"/>
      <c r="J72" s="2"/>
      <c r="K72" s="11"/>
      <c r="L72" s="48"/>
      <c r="M72" s="2"/>
      <c r="N72" s="2"/>
      <c r="O72" s="2"/>
      <c r="P72" s="11"/>
    </row>
    <row r="73" spans="1:16" x14ac:dyDescent="0.3">
      <c r="B73" s="13" t="s">
        <v>27</v>
      </c>
      <c r="C73" s="2"/>
      <c r="D73" s="2"/>
      <c r="E73" s="2"/>
      <c r="F73" s="41">
        <f>F60-F64-F66-F70-F71</f>
        <v>1628.1000000000004</v>
      </c>
      <c r="G73" s="41">
        <f>G60-G64-G66-G70-G71</f>
        <v>1679.6000000000015</v>
      </c>
      <c r="H73" s="42">
        <f>H60-H64-H66-H70-H71</f>
        <v>1686.5</v>
      </c>
      <c r="I73" s="41"/>
      <c r="J73" s="41"/>
      <c r="K73" s="42"/>
      <c r="L73" s="286">
        <f>L60-L64-SUM(L66:L71)</f>
        <v>804.61570389960525</v>
      </c>
      <c r="M73" s="286">
        <f t="shared" ref="M73:P73" si="8">M60-M64-SUM(M66:M71)</f>
        <v>884.14759773722653</v>
      </c>
      <c r="N73" s="286">
        <f t="shared" si="8"/>
        <v>967.17282157132104</v>
      </c>
      <c r="O73" s="286">
        <f t="shared" si="8"/>
        <v>1053.8448151588868</v>
      </c>
      <c r="P73" s="286">
        <f t="shared" si="8"/>
        <v>1144.3237578890407</v>
      </c>
    </row>
    <row r="74" spans="1:16" x14ac:dyDescent="0.3">
      <c r="B74" s="15" t="s">
        <v>29</v>
      </c>
      <c r="C74" s="2"/>
      <c r="D74" s="2"/>
      <c r="E74" s="2"/>
      <c r="F74" s="55">
        <v>-272.5</v>
      </c>
      <c r="G74" s="55">
        <v>-290.10000000000002</v>
      </c>
      <c r="H74" s="64">
        <v>-289.10000000000002</v>
      </c>
      <c r="I74" s="48"/>
      <c r="J74" s="48"/>
      <c r="K74" s="49"/>
      <c r="L74" s="16"/>
      <c r="M74" s="17"/>
      <c r="N74" s="17"/>
      <c r="O74" s="17"/>
      <c r="P74" s="39"/>
    </row>
    <row r="75" spans="1:16" x14ac:dyDescent="0.3">
      <c r="A75" s="59"/>
      <c r="B75" t="s">
        <v>123</v>
      </c>
      <c r="F75" s="2"/>
      <c r="G75" s="2"/>
      <c r="H75" s="11"/>
      <c r="I75" s="2"/>
      <c r="J75" s="2"/>
      <c r="K75" s="11"/>
      <c r="L75" s="291">
        <f>-'LBO Transaction Inputs'!F107</f>
        <v>-19.25</v>
      </c>
      <c r="M75" s="291">
        <f ca="1">-'LBO Transaction Inputs'!G107</f>
        <v>-17.728521038999837</v>
      </c>
      <c r="N75" s="291">
        <f ca="1">-'LBO Transaction Inputs'!H107</f>
        <v>-13.178968654493335</v>
      </c>
      <c r="O75" s="291">
        <f ca="1">-'LBO Transaction Inputs'!I107</f>
        <v>-7.1804255078825552</v>
      </c>
      <c r="P75" s="293">
        <f ca="1">-'LBO Transaction Inputs'!J107</f>
        <v>-4</v>
      </c>
    </row>
    <row r="76" spans="1:16" x14ac:dyDescent="0.3">
      <c r="A76" s="59"/>
      <c r="B76" t="s">
        <v>126</v>
      </c>
      <c r="F76" s="2"/>
      <c r="G76" s="2"/>
      <c r="H76" s="11"/>
      <c r="I76" s="2"/>
      <c r="J76" s="2"/>
      <c r="K76" s="11"/>
      <c r="L76" s="291">
        <f>-'LBO Transaction Inputs'!F116</f>
        <v>-95.39562500000001</v>
      </c>
      <c r="M76" s="291">
        <f>-'LBO Transaction Inputs'!G116</f>
        <v>-94.436875000000001</v>
      </c>
      <c r="N76" s="291">
        <f>-'LBO Transaction Inputs'!H116</f>
        <v>-93.478125000000006</v>
      </c>
      <c r="O76" s="291">
        <f ca="1">-'LBO Transaction Inputs'!I116</f>
        <v>-91.597276534697656</v>
      </c>
      <c r="P76" s="293">
        <f ca="1">-'LBO Transaction Inputs'!J116</f>
        <v>-84.779335444505023</v>
      </c>
    </row>
    <row r="77" spans="1:16" x14ac:dyDescent="0.3">
      <c r="A77" s="59"/>
      <c r="B77" t="s">
        <v>125</v>
      </c>
      <c r="F77" s="2"/>
      <c r="G77" s="2"/>
      <c r="H77" s="11"/>
      <c r="I77" s="2"/>
      <c r="J77" s="2"/>
      <c r="K77" s="11"/>
      <c r="L77" s="291">
        <f>-'LBO Transaction Inputs'!F126</f>
        <v>-228.10375000000002</v>
      </c>
      <c r="M77" s="291">
        <f>-'LBO Transaction Inputs'!G126</f>
        <v>-225.81125000000003</v>
      </c>
      <c r="N77" s="291">
        <f>-'LBO Transaction Inputs'!H126</f>
        <v>-223.51875000000001</v>
      </c>
      <c r="O77" s="291">
        <f>-'LBO Transaction Inputs'!I126</f>
        <v>-221.22625000000002</v>
      </c>
      <c r="P77" s="293">
        <f>-'LBO Transaction Inputs'!J126</f>
        <v>-218.93375000000003</v>
      </c>
    </row>
    <row r="78" spans="1:16" x14ac:dyDescent="0.3">
      <c r="A78" s="59"/>
      <c r="B78" t="s">
        <v>124</v>
      </c>
      <c r="F78" s="2"/>
      <c r="G78" s="2"/>
      <c r="H78" s="11"/>
      <c r="I78" s="2"/>
      <c r="J78" s="2"/>
      <c r="K78" s="11"/>
      <c r="L78" s="291">
        <f>-'LBO Transaction Inputs'!F135</f>
        <v>-131.75</v>
      </c>
      <c r="M78" s="291">
        <f>-'LBO Transaction Inputs'!G135</f>
        <v>-131.75</v>
      </c>
      <c r="N78" s="291">
        <f>-'LBO Transaction Inputs'!H135</f>
        <v>-131.75</v>
      </c>
      <c r="O78" s="291">
        <f>-'LBO Transaction Inputs'!I135</f>
        <v>-131.75</v>
      </c>
      <c r="P78" s="293">
        <f>-'LBO Transaction Inputs'!J135</f>
        <v>-131.75</v>
      </c>
    </row>
    <row r="79" spans="1:16" x14ac:dyDescent="0.3">
      <c r="A79" s="59"/>
      <c r="B79" s="86" t="s">
        <v>283</v>
      </c>
      <c r="C79" s="86"/>
      <c r="D79" s="86"/>
      <c r="E79" s="86"/>
      <c r="F79" s="118"/>
      <c r="G79" s="118"/>
      <c r="H79" s="123"/>
      <c r="I79" s="118"/>
      <c r="J79" s="118"/>
      <c r="K79" s="123"/>
      <c r="L79" s="292">
        <f ca="1">-'LBO Transaction Inputs'!F143-'LBO Transaction Inputs'!F151</f>
        <v>-280.91370558375633</v>
      </c>
      <c r="M79" s="292">
        <f ca="1">-'LBO Transaction Inputs'!G143-'LBO Transaction Inputs'!G151</f>
        <v>-282.76894534772862</v>
      </c>
      <c r="N79" s="292">
        <f ca="1">-'LBO Transaction Inputs'!H143-'LBO Transaction Inputs'!H151</f>
        <v>-284.68068987608581</v>
      </c>
      <c r="O79" s="292">
        <f ca="1">-'LBO Transaction Inputs'!I143-'LBO Transaction Inputs'!I151</f>
        <v>-286.65066012611891</v>
      </c>
      <c r="P79" s="294">
        <f ca="1">-'LBO Transaction Inputs'!J143-'LBO Transaction Inputs'!J151</f>
        <v>-288.6806294700616</v>
      </c>
    </row>
    <row r="80" spans="1:16" x14ac:dyDescent="0.3">
      <c r="A80" s="59"/>
      <c r="B80" s="2" t="s">
        <v>28</v>
      </c>
      <c r="C80" s="2"/>
      <c r="D80" s="2"/>
      <c r="E80" s="2"/>
      <c r="F80" s="55">
        <v>19.8</v>
      </c>
      <c r="G80" s="55">
        <v>33.200000000000003</v>
      </c>
      <c r="H80" s="64">
        <v>31.3</v>
      </c>
      <c r="I80" s="48"/>
      <c r="J80" s="48"/>
      <c r="K80" s="49"/>
      <c r="L80" s="17">
        <f>L20*(L98+L99)</f>
        <v>3.8264999999999998</v>
      </c>
      <c r="M80" s="17">
        <f t="shared" ref="M80:P80" si="9">M20*(M98+M99)</f>
        <v>3.8264999999999998</v>
      </c>
      <c r="N80" s="17">
        <f t="shared" si="9"/>
        <v>3.8264999999999998</v>
      </c>
      <c r="O80" s="17">
        <f t="shared" si="9"/>
        <v>3.8264999999999998</v>
      </c>
      <c r="P80" s="17">
        <f t="shared" si="9"/>
        <v>3.8264999999999998</v>
      </c>
    </row>
    <row r="81" spans="1:19" x14ac:dyDescent="0.3">
      <c r="B81" s="15" t="s">
        <v>30</v>
      </c>
      <c r="C81" s="2"/>
      <c r="D81" s="2"/>
      <c r="E81" s="2"/>
      <c r="F81" s="55">
        <v>-41.900000000000006</v>
      </c>
      <c r="G81" s="55">
        <v>-147.79999999999998</v>
      </c>
      <c r="H81" s="64">
        <v>-200.5</v>
      </c>
      <c r="I81" s="48"/>
      <c r="J81" s="48"/>
      <c r="K81" s="49"/>
      <c r="L81" s="17">
        <f>L58*L27</f>
        <v>-183.07549794516541</v>
      </c>
      <c r="M81" s="17">
        <f t="shared" ref="M81:P81" si="10">M58*M27</f>
        <v>-191.11683957216931</v>
      </c>
      <c r="N81" s="17">
        <f t="shared" si="10"/>
        <v>-199.51138616591081</v>
      </c>
      <c r="O81" s="17">
        <f t="shared" si="10"/>
        <v>-208.27465177296503</v>
      </c>
      <c r="P81" s="39">
        <f t="shared" si="10"/>
        <v>-217.42283187324981</v>
      </c>
    </row>
    <row r="82" spans="1:19" x14ac:dyDescent="0.3">
      <c r="B82" s="24" t="s">
        <v>92</v>
      </c>
      <c r="C82" s="7"/>
      <c r="D82" s="7"/>
      <c r="E82" s="7"/>
      <c r="F82" s="62">
        <v>-15.8</v>
      </c>
      <c r="G82" s="62">
        <v>-17.5</v>
      </c>
      <c r="H82" s="65">
        <v>-14.3</v>
      </c>
      <c r="I82" s="48"/>
      <c r="J82" s="48"/>
      <c r="K82" s="49"/>
      <c r="L82" s="53"/>
      <c r="M82" s="18"/>
      <c r="N82" s="18"/>
      <c r="O82" s="18"/>
      <c r="P82" s="40"/>
    </row>
    <row r="83" spans="1:19" x14ac:dyDescent="0.3">
      <c r="B83" s="13" t="s">
        <v>31</v>
      </c>
      <c r="C83" s="2"/>
      <c r="D83" s="2"/>
      <c r="E83" s="2"/>
      <c r="F83" s="41">
        <f>SUM(F73:F82)</f>
        <v>1317.7000000000003</v>
      </c>
      <c r="G83" s="41">
        <f>SUM(G73:G82)</f>
        <v>1257.4000000000015</v>
      </c>
      <c r="H83" s="42">
        <f>SUM(H73:H82)</f>
        <v>1213.9000000000001</v>
      </c>
      <c r="I83" s="90"/>
      <c r="J83" s="90"/>
      <c r="K83" s="91"/>
      <c r="L83" s="295">
        <f ca="1">SUM(L73:L82)</f>
        <v>-130.04637462931646</v>
      </c>
      <c r="M83" s="295">
        <f t="shared" ref="M83:P83" ca="1" si="11">SUM(M73:M82)</f>
        <v>-55.638333221671274</v>
      </c>
      <c r="N83" s="295">
        <f t="shared" ca="1" si="11"/>
        <v>24.881401874831141</v>
      </c>
      <c r="O83" s="295">
        <f t="shared" ca="1" si="11"/>
        <v>110.99205121722261</v>
      </c>
      <c r="P83" s="295">
        <f t="shared" ca="1" si="11"/>
        <v>202.58371110122428</v>
      </c>
    </row>
    <row r="84" spans="1:19" x14ac:dyDescent="0.3">
      <c r="B84" s="15" t="s">
        <v>32</v>
      </c>
      <c r="C84" s="2"/>
      <c r="D84" s="2"/>
      <c r="E84" s="2"/>
      <c r="F84" s="55">
        <v>-359.5</v>
      </c>
      <c r="G84" s="55">
        <v>-285.89999999999998</v>
      </c>
      <c r="H84" s="64">
        <v>-221.6</v>
      </c>
      <c r="I84" s="48"/>
      <c r="J84" s="48" t="s">
        <v>127</v>
      </c>
      <c r="K84" s="49"/>
      <c r="L84" s="291">
        <f ca="1">-L83*L28</f>
        <v>52.01854985172659</v>
      </c>
      <c r="M84" s="55">
        <f t="shared" ref="M84:P84" ca="1" si="12">-M83*M28</f>
        <v>22.25533328866851</v>
      </c>
      <c r="N84" s="55">
        <f t="shared" ca="1" si="12"/>
        <v>-9.9525607499324575</v>
      </c>
      <c r="O84" s="55">
        <f t="shared" ca="1" si="12"/>
        <v>-44.396820486889048</v>
      </c>
      <c r="P84" s="64">
        <f t="shared" ca="1" si="12"/>
        <v>-81.033484440489715</v>
      </c>
    </row>
    <row r="85" spans="1:19" x14ac:dyDescent="0.3">
      <c r="B85" s="13" t="s">
        <v>33</v>
      </c>
      <c r="C85" s="2"/>
      <c r="D85" s="2"/>
      <c r="E85" s="2"/>
      <c r="F85" s="41">
        <f>F83+F84</f>
        <v>958.20000000000027</v>
      </c>
      <c r="G85" s="41">
        <f>G83+G84</f>
        <v>971.50000000000148</v>
      </c>
      <c r="H85" s="42">
        <f>H83+H84</f>
        <v>992.30000000000007</v>
      </c>
      <c r="I85" s="90"/>
      <c r="J85" s="90"/>
      <c r="K85" s="91"/>
      <c r="L85" s="297">
        <f ca="1">L83+L84</f>
        <v>-78.027824777589871</v>
      </c>
      <c r="M85" s="41">
        <f t="shared" ref="M85:O85" ca="1" si="13">M83+M84</f>
        <v>-33.382999933002765</v>
      </c>
      <c r="N85" s="41">
        <f t="shared" ca="1" si="13"/>
        <v>14.928841124898684</v>
      </c>
      <c r="O85" s="41">
        <f t="shared" ca="1" si="13"/>
        <v>66.595230730333554</v>
      </c>
      <c r="P85" s="42">
        <f ca="1">P83+P84</f>
        <v>121.55022666073457</v>
      </c>
    </row>
    <row r="86" spans="1:19" x14ac:dyDescent="0.3">
      <c r="B86" s="13" t="s">
        <v>136</v>
      </c>
      <c r="C86" s="2"/>
      <c r="D86" s="2"/>
      <c r="E86" s="2"/>
      <c r="F86" s="41">
        <f>F73+F71+F66+F70</f>
        <v>1980.4000000000003</v>
      </c>
      <c r="G86" s="41">
        <f>G73+G71+G66+G70</f>
        <v>2069.8000000000015</v>
      </c>
      <c r="H86" s="42">
        <f>H73+H71+H66+H70</f>
        <v>2087.6</v>
      </c>
      <c r="I86" s="2"/>
      <c r="J86" s="2"/>
      <c r="K86" s="11"/>
      <c r="L86" s="41">
        <f>L60-L64</f>
        <v>2179.2949835939348</v>
      </c>
      <c r="M86" s="41">
        <f t="shared" ref="M86:P86" si="14">M60-M64</f>
        <v>2275.0175443177272</v>
      </c>
      <c r="N86" s="41">
        <f t="shared" si="14"/>
        <v>2374.9445880052772</v>
      </c>
      <c r="O86" s="41">
        <f t="shared" si="14"/>
        <v>2479.260790838026</v>
      </c>
      <c r="P86" s="42">
        <f t="shared" si="14"/>
        <v>2588.158940646887</v>
      </c>
    </row>
    <row r="87" spans="1:19" x14ac:dyDescent="0.3">
      <c r="B87" s="13"/>
      <c r="C87" s="2"/>
      <c r="D87" s="2"/>
      <c r="E87" s="2"/>
      <c r="F87" s="2"/>
      <c r="G87" s="2"/>
      <c r="H87" s="11"/>
      <c r="I87" s="2"/>
      <c r="J87" s="2"/>
      <c r="K87" s="11"/>
      <c r="L87" s="2" t="s">
        <v>114</v>
      </c>
      <c r="M87" s="2"/>
      <c r="N87" s="2"/>
      <c r="O87" s="2"/>
      <c r="P87" s="11"/>
    </row>
    <row r="88" spans="1:19" x14ac:dyDescent="0.3">
      <c r="B88" s="24"/>
      <c r="C88" s="7"/>
      <c r="D88" s="7"/>
      <c r="E88" s="7"/>
      <c r="F88" s="7"/>
      <c r="G88" s="7"/>
      <c r="H88" s="25"/>
      <c r="I88" s="7"/>
      <c r="J88" s="7"/>
      <c r="K88" s="25"/>
      <c r="L88" s="7"/>
      <c r="M88" s="7"/>
      <c r="N88" s="7"/>
      <c r="O88" s="7"/>
      <c r="P88" s="25"/>
    </row>
    <row r="89" spans="1:19" x14ac:dyDescent="0.3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9" x14ac:dyDescent="0.3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9" x14ac:dyDescent="0.3">
      <c r="A91" t="s">
        <v>101</v>
      </c>
      <c r="B91" s="1" t="s">
        <v>34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7"/>
      <c r="S91" s="93"/>
    </row>
    <row r="92" spans="1:19" x14ac:dyDescent="0.3">
      <c r="B92" s="127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108"/>
    </row>
    <row r="93" spans="1:19" x14ac:dyDescent="0.3">
      <c r="B93" s="31"/>
      <c r="C93" s="32"/>
      <c r="D93" s="32"/>
      <c r="E93" s="32"/>
      <c r="F93" s="321" t="s">
        <v>1</v>
      </c>
      <c r="G93" s="321"/>
      <c r="H93" s="322"/>
      <c r="I93" s="321" t="s">
        <v>115</v>
      </c>
      <c r="J93" s="321"/>
      <c r="K93" s="322"/>
      <c r="L93" s="321" t="s">
        <v>2</v>
      </c>
      <c r="M93" s="321"/>
      <c r="N93" s="321"/>
      <c r="O93" s="321"/>
      <c r="P93" s="322"/>
    </row>
    <row r="94" spans="1:19" x14ac:dyDescent="0.3">
      <c r="B94" s="15"/>
      <c r="C94" s="2"/>
      <c r="D94" s="2"/>
      <c r="E94" s="2"/>
      <c r="F94" s="29" t="str">
        <f>F11</f>
        <v>LTM 2011</v>
      </c>
      <c r="G94" s="29" t="str">
        <f>G11</f>
        <v>LTM 2012</v>
      </c>
      <c r="H94" s="30" t="str">
        <f>H11</f>
        <v>LTM 2013</v>
      </c>
      <c r="I94" s="6" t="s">
        <v>195</v>
      </c>
      <c r="J94" s="6" t="s">
        <v>196</v>
      </c>
      <c r="K94" s="225" t="s">
        <v>116</v>
      </c>
      <c r="L94" s="29" t="str">
        <f>L11</f>
        <v>NTM 2014E</v>
      </c>
      <c r="M94" s="29" t="str">
        <f>M11</f>
        <v>NTM 2015E</v>
      </c>
      <c r="N94" s="29" t="str">
        <f>N11</f>
        <v>NTM 2016E</v>
      </c>
      <c r="O94" s="29" t="str">
        <f>O11</f>
        <v>NTM 2017E</v>
      </c>
      <c r="P94" s="30" t="str">
        <f>P11</f>
        <v>NTM 2018E</v>
      </c>
    </row>
    <row r="95" spans="1:19" x14ac:dyDescent="0.3">
      <c r="B95" s="58"/>
      <c r="F95" s="2"/>
      <c r="G95" s="2"/>
      <c r="H95" s="11"/>
      <c r="I95" s="48"/>
      <c r="J95" s="48"/>
      <c r="K95" s="23"/>
      <c r="L95" s="2"/>
      <c r="M95" s="2"/>
      <c r="N95" s="2"/>
      <c r="O95" s="2"/>
      <c r="P95" s="23"/>
    </row>
    <row r="96" spans="1:19" x14ac:dyDescent="0.3">
      <c r="B96" s="13" t="s">
        <v>47</v>
      </c>
      <c r="F96" s="2"/>
      <c r="G96" s="2"/>
      <c r="H96" s="11"/>
      <c r="I96" s="48"/>
      <c r="J96" s="48"/>
      <c r="K96" s="11"/>
      <c r="L96" s="2"/>
      <c r="M96" s="2"/>
      <c r="N96" s="2"/>
      <c r="O96" s="2"/>
      <c r="P96" s="11"/>
    </row>
    <row r="97" spans="1:19" x14ac:dyDescent="0.3">
      <c r="B97" s="13" t="s">
        <v>46</v>
      </c>
      <c r="F97" s="2"/>
      <c r="G97" s="2"/>
      <c r="H97" s="11"/>
      <c r="I97" s="48"/>
      <c r="J97" s="48"/>
      <c r="K97" s="11"/>
      <c r="L97" s="2"/>
      <c r="M97" s="2"/>
      <c r="N97" s="2"/>
      <c r="O97" s="2"/>
      <c r="P97" s="11"/>
    </row>
    <row r="98" spans="1:19" x14ac:dyDescent="0.3">
      <c r="B98" s="15" t="s">
        <v>36</v>
      </c>
      <c r="F98" s="60">
        <v>1052</v>
      </c>
      <c r="G98" s="60">
        <v>848.9</v>
      </c>
      <c r="H98" s="63">
        <v>1108.6470000000004</v>
      </c>
      <c r="I98" s="16"/>
      <c r="J98" s="299">
        <f>'LBO Transaction Inputs'!E50</f>
        <v>858.64700000000039</v>
      </c>
      <c r="K98" s="298">
        <f>H98+I98-J98</f>
        <v>250</v>
      </c>
      <c r="L98" s="300">
        <f>K98</f>
        <v>250</v>
      </c>
      <c r="M98" s="300">
        <f t="shared" ref="M98:N98" si="15">L98</f>
        <v>250</v>
      </c>
      <c r="N98" s="300">
        <f t="shared" si="15"/>
        <v>250</v>
      </c>
      <c r="O98" s="300">
        <f t="shared" ref="O98:P98" si="16">L98+M98-N98</f>
        <v>250</v>
      </c>
      <c r="P98" s="298">
        <f t="shared" si="16"/>
        <v>250</v>
      </c>
      <c r="S98" s="50"/>
    </row>
    <row r="99" spans="1:19" x14ac:dyDescent="0.3">
      <c r="B99" s="15" t="s">
        <v>35</v>
      </c>
      <c r="F99" s="55">
        <v>51.8</v>
      </c>
      <c r="G99" s="55">
        <v>34</v>
      </c>
      <c r="H99" s="64">
        <v>5.0999999999999996</v>
      </c>
      <c r="I99" s="48"/>
      <c r="J99" s="48"/>
      <c r="K99" s="39">
        <f>H99</f>
        <v>5.0999999999999996</v>
      </c>
      <c r="L99" s="17">
        <f>K99</f>
        <v>5.0999999999999996</v>
      </c>
      <c r="M99" s="17">
        <f t="shared" ref="M99:P99" si="17">L99</f>
        <v>5.0999999999999996</v>
      </c>
      <c r="N99" s="17">
        <f t="shared" si="17"/>
        <v>5.0999999999999996</v>
      </c>
      <c r="O99" s="17">
        <f t="shared" si="17"/>
        <v>5.0999999999999996</v>
      </c>
      <c r="P99" s="39">
        <f t="shared" si="17"/>
        <v>5.0999999999999996</v>
      </c>
    </row>
    <row r="100" spans="1:19" x14ac:dyDescent="0.3">
      <c r="B100" s="15" t="s">
        <v>39</v>
      </c>
      <c r="F100" s="55">
        <v>943.5</v>
      </c>
      <c r="G100" s="55">
        <v>1057.8</v>
      </c>
      <c r="H100" s="64">
        <v>1066.5</v>
      </c>
      <c r="I100" s="48"/>
      <c r="J100" s="48"/>
      <c r="K100" s="39">
        <f t="shared" ref="K100:K103" si="18">H100</f>
        <v>1066.5</v>
      </c>
      <c r="L100" s="17">
        <f>L31*L58</f>
        <v>1113.2143413362492</v>
      </c>
      <c r="M100" s="17">
        <f t="shared" ref="M100:P100" si="19">M31*M58</f>
        <v>1162.1107634311716</v>
      </c>
      <c r="N100" s="17">
        <f t="shared" si="19"/>
        <v>1213.1548941971978</v>
      </c>
      <c r="O100" s="17">
        <f t="shared" si="19"/>
        <v>1266.4410688093428</v>
      </c>
      <c r="P100" s="39">
        <f t="shared" si="19"/>
        <v>1322.0677659865596</v>
      </c>
    </row>
    <row r="101" spans="1:19" x14ac:dyDescent="0.3">
      <c r="B101" s="15" t="s">
        <v>37</v>
      </c>
      <c r="F101" s="55">
        <v>1399.6</v>
      </c>
      <c r="G101" s="55">
        <v>1516.4</v>
      </c>
      <c r="H101" s="64">
        <v>1448.4</v>
      </c>
      <c r="I101" s="48"/>
      <c r="J101" s="48"/>
      <c r="K101" s="39">
        <f t="shared" si="18"/>
        <v>1448.4</v>
      </c>
      <c r="L101" s="17">
        <f>L33*L59</f>
        <v>1596.281843466933</v>
      </c>
      <c r="M101" s="17">
        <f t="shared" ref="M101:P101" si="20">M33*M59</f>
        <v>1666.3963469388607</v>
      </c>
      <c r="N101" s="17">
        <f t="shared" si="20"/>
        <v>1739.5905343758943</v>
      </c>
      <c r="O101" s="17">
        <f t="shared" si="20"/>
        <v>1815.9996766971062</v>
      </c>
      <c r="P101" s="39">
        <f t="shared" si="20"/>
        <v>1895.7649864122493</v>
      </c>
    </row>
    <row r="102" spans="1:19" x14ac:dyDescent="0.3">
      <c r="B102" s="15" t="s">
        <v>40</v>
      </c>
      <c r="E102" s="2"/>
      <c r="F102" s="55">
        <v>149</v>
      </c>
      <c r="G102" s="55">
        <v>175.4</v>
      </c>
      <c r="H102" s="64">
        <v>173</v>
      </c>
      <c r="I102" s="48"/>
      <c r="J102" s="48"/>
      <c r="K102" s="39">
        <f t="shared" si="18"/>
        <v>173</v>
      </c>
      <c r="L102" s="17">
        <f>L34*L58</f>
        <v>180.59878911752764</v>
      </c>
      <c r="M102" s="17">
        <f t="shared" ref="M102:P102" si="21">M34*M58</f>
        <v>188.5313446862267</v>
      </c>
      <c r="N102" s="17">
        <f t="shared" si="21"/>
        <v>196.8123269423802</v>
      </c>
      <c r="O102" s="17">
        <f t="shared" si="21"/>
        <v>205.45704005316082</v>
      </c>
      <c r="P102" s="39">
        <f t="shared" si="21"/>
        <v>214.48146040041749</v>
      </c>
    </row>
    <row r="103" spans="1:19" x14ac:dyDescent="0.3">
      <c r="B103" s="24" t="s">
        <v>38</v>
      </c>
      <c r="C103" s="61"/>
      <c r="D103" s="61"/>
      <c r="E103" s="61"/>
      <c r="F103" s="62">
        <v>122</v>
      </c>
      <c r="G103" s="62">
        <v>85.7</v>
      </c>
      <c r="H103" s="65">
        <v>115.2</v>
      </c>
      <c r="I103" s="226"/>
      <c r="J103" s="226"/>
      <c r="K103" s="39">
        <f t="shared" si="18"/>
        <v>115.2</v>
      </c>
      <c r="L103" s="17">
        <f>L35*L58</f>
        <v>117.79100708563539</v>
      </c>
      <c r="M103" s="17">
        <f t="shared" ref="M103:P103" si="22">M35*M58</f>
        <v>122.9648164658952</v>
      </c>
      <c r="N103" s="17">
        <f t="shared" si="22"/>
        <v>128.36587836878439</v>
      </c>
      <c r="O103" s="17">
        <f t="shared" si="22"/>
        <v>134.0041745515046</v>
      </c>
      <c r="P103" s="39">
        <f t="shared" si="22"/>
        <v>139.89012520633261</v>
      </c>
    </row>
    <row r="104" spans="1:19" x14ac:dyDescent="0.3">
      <c r="B104" s="13" t="s">
        <v>45</v>
      </c>
      <c r="F104" s="41">
        <f>SUM(F98:F103)</f>
        <v>3717.8999999999996</v>
      </c>
      <c r="G104" s="41">
        <f>SUM(G98:G103)</f>
        <v>3718.2</v>
      </c>
      <c r="H104" s="42">
        <f>SUM(H98:H103)</f>
        <v>3916.8470000000002</v>
      </c>
      <c r="I104" s="227"/>
      <c r="J104" s="227"/>
      <c r="K104" s="247">
        <f>SUM(K98:K103)</f>
        <v>3058.2</v>
      </c>
      <c r="L104" s="295">
        <f>SUM(L98:L103)</f>
        <v>3262.9859810063454</v>
      </c>
      <c r="M104" s="296">
        <f t="shared" ref="M104:P104" si="23">SUM(M98:M103)</f>
        <v>3395.103271522154</v>
      </c>
      <c r="N104" s="296">
        <f t="shared" si="23"/>
        <v>3533.0236338842569</v>
      </c>
      <c r="O104" s="296">
        <f t="shared" si="23"/>
        <v>3677.0019601111139</v>
      </c>
      <c r="P104" s="284">
        <f t="shared" si="23"/>
        <v>3827.3043380055583</v>
      </c>
    </row>
    <row r="105" spans="1:19" x14ac:dyDescent="0.3">
      <c r="B105" s="15"/>
      <c r="F105" s="2"/>
      <c r="G105" s="2"/>
      <c r="H105" s="11"/>
      <c r="I105" s="48"/>
      <c r="J105" s="48"/>
      <c r="K105" s="11"/>
      <c r="L105" s="2"/>
      <c r="M105" s="2"/>
      <c r="N105" s="2"/>
      <c r="O105" s="2"/>
      <c r="P105" s="11"/>
    </row>
    <row r="106" spans="1:19" x14ac:dyDescent="0.3">
      <c r="B106" s="13" t="s">
        <v>41</v>
      </c>
      <c r="F106" s="2"/>
      <c r="G106" s="2"/>
      <c r="H106" s="11"/>
      <c r="I106" s="48"/>
      <c r="J106" s="48"/>
      <c r="K106" s="11"/>
      <c r="L106" s="2"/>
      <c r="M106" s="2"/>
      <c r="N106" s="2"/>
      <c r="O106" s="2"/>
      <c r="P106" s="11"/>
    </row>
    <row r="107" spans="1:19" x14ac:dyDescent="0.3">
      <c r="B107" s="15" t="s">
        <v>44</v>
      </c>
      <c r="F107" s="60">
        <v>4791.8</v>
      </c>
      <c r="G107" s="60">
        <v>5180</v>
      </c>
      <c r="H107" s="63">
        <v>5319.3</v>
      </c>
      <c r="I107" s="55">
        <f>'LBO Transaction Inputs'!J66</f>
        <v>242.82000000000005</v>
      </c>
      <c r="J107" s="48"/>
      <c r="K107" s="43">
        <f>H107+I107+J107</f>
        <v>5562.12</v>
      </c>
      <c r="L107" s="36">
        <f>K107+(L46*L58)</f>
        <v>5983.2387949711592</v>
      </c>
      <c r="M107" s="36">
        <f t="shared" ref="M107:P107" si="24">L107+(M46*M58)</f>
        <v>6422.8546588233203</v>
      </c>
      <c r="N107" s="36">
        <f t="shared" si="24"/>
        <v>6881.7800500866506</v>
      </c>
      <c r="O107" s="36">
        <f t="shared" si="24"/>
        <v>7360.8631134244833</v>
      </c>
      <c r="P107" s="43">
        <f t="shared" si="24"/>
        <v>7860.9892470980576</v>
      </c>
    </row>
    <row r="108" spans="1:19" x14ac:dyDescent="0.3">
      <c r="B108" s="24" t="s">
        <v>43</v>
      </c>
      <c r="C108" s="61"/>
      <c r="D108" s="61"/>
      <c r="E108" s="61"/>
      <c r="F108" s="62">
        <v>-2582.4</v>
      </c>
      <c r="G108" s="62">
        <v>-2771.3</v>
      </c>
      <c r="H108" s="65">
        <v>-2891.1</v>
      </c>
      <c r="I108" s="226"/>
      <c r="J108" s="226"/>
      <c r="K108" s="40">
        <f>H108</f>
        <v>-2891.1</v>
      </c>
      <c r="L108" s="18">
        <f>K108-L66-L67</f>
        <v>-3234.212021500643</v>
      </c>
      <c r="M108" s="18">
        <f t="shared" ref="M108:P108" si="25">L108-M66-M67</f>
        <v>-3591.0615785410678</v>
      </c>
      <c r="N108" s="18">
        <f t="shared" si="25"/>
        <v>-3962.2520736389702</v>
      </c>
      <c r="O108" s="18">
        <f t="shared" si="25"/>
        <v>-4348.4134129449067</v>
      </c>
      <c r="P108" s="40">
        <f t="shared" si="25"/>
        <v>-4750.2031703782304</v>
      </c>
    </row>
    <row r="109" spans="1:19" x14ac:dyDescent="0.3">
      <c r="B109" s="15" t="s">
        <v>42</v>
      </c>
      <c r="F109" s="17">
        <f>SUM(F107:F108)</f>
        <v>2209.4</v>
      </c>
      <c r="G109" s="17">
        <f>SUM(G107:G108)</f>
        <v>2408.6999999999998</v>
      </c>
      <c r="H109" s="39">
        <f>SUM(H107:H108)</f>
        <v>2428.2000000000003</v>
      </c>
      <c r="I109" s="48"/>
      <c r="J109" s="48"/>
      <c r="K109" s="39">
        <f>SUM(K107:K108)</f>
        <v>2671.02</v>
      </c>
      <c r="L109" s="17">
        <f>SUM(L107:L108)</f>
        <v>2749.0267734705162</v>
      </c>
      <c r="M109" s="17">
        <f t="shared" ref="M109:P109" si="26">SUM(M107:M108)</f>
        <v>2831.7930802822525</v>
      </c>
      <c r="N109" s="17">
        <f t="shared" si="26"/>
        <v>2919.5279764476804</v>
      </c>
      <c r="O109" s="17">
        <f t="shared" si="26"/>
        <v>3012.4497004795767</v>
      </c>
      <c r="P109" s="39">
        <f t="shared" si="26"/>
        <v>3110.7860767198272</v>
      </c>
    </row>
    <row r="110" spans="1:19" x14ac:dyDescent="0.3">
      <c r="A110" t="s">
        <v>101</v>
      </c>
      <c r="B110" s="15" t="s">
        <v>48</v>
      </c>
      <c r="F110" s="55">
        <v>34</v>
      </c>
      <c r="G110" s="55">
        <v>41.2</v>
      </c>
      <c r="H110" s="64">
        <v>27.8</v>
      </c>
      <c r="I110" s="48"/>
      <c r="J110" s="48"/>
      <c r="K110" s="39">
        <f>H110</f>
        <v>27.8</v>
      </c>
      <c r="L110" s="17">
        <f>K110</f>
        <v>27.8</v>
      </c>
      <c r="M110" s="17">
        <f t="shared" ref="M110:P110" si="27">L110</f>
        <v>27.8</v>
      </c>
      <c r="N110" s="17">
        <f t="shared" si="27"/>
        <v>27.8</v>
      </c>
      <c r="O110" s="17">
        <f t="shared" si="27"/>
        <v>27.8</v>
      </c>
      <c r="P110" s="39">
        <f t="shared" si="27"/>
        <v>27.8</v>
      </c>
    </row>
    <row r="111" spans="1:19" x14ac:dyDescent="0.3">
      <c r="B111" s="15" t="s">
        <v>49</v>
      </c>
      <c r="F111" s="55">
        <v>2921.3</v>
      </c>
      <c r="G111" s="55">
        <v>3148.3</v>
      </c>
      <c r="H111" s="64">
        <v>3104.5</v>
      </c>
      <c r="I111" s="55">
        <f>'LBO Transaction Inputs'!E74</f>
        <v>19612.829560079997</v>
      </c>
      <c r="J111" s="17">
        <f>-'LBO Transaction Inputs'!E67</f>
        <v>-3104.5</v>
      </c>
      <c r="K111" s="39">
        <f>H111+I111+J111</f>
        <v>19612.829560079997</v>
      </c>
      <c r="L111" s="17">
        <f>K111</f>
        <v>19612.829560079997</v>
      </c>
      <c r="M111" s="17">
        <f t="shared" ref="M111:P111" si="28">L111</f>
        <v>19612.829560079997</v>
      </c>
      <c r="N111" s="17">
        <f t="shared" si="28"/>
        <v>19612.829560079997</v>
      </c>
      <c r="O111" s="17">
        <f t="shared" si="28"/>
        <v>19612.829560079997</v>
      </c>
      <c r="P111" s="17">
        <f t="shared" si="28"/>
        <v>19612.829560079997</v>
      </c>
    </row>
    <row r="112" spans="1:19" x14ac:dyDescent="0.3">
      <c r="B112" s="15" t="s">
        <v>50</v>
      </c>
      <c r="F112" s="55">
        <v>1388.3</v>
      </c>
      <c r="G112" s="55">
        <v>1488.3</v>
      </c>
      <c r="H112" s="64">
        <v>1433.9</v>
      </c>
      <c r="I112" s="55">
        <f>'LBO Transaction Inputs'!J72</f>
        <v>4667.0867181999993</v>
      </c>
      <c r="J112" s="48"/>
      <c r="K112" s="39">
        <f>H112+I112+J112</f>
        <v>6100.9867181999998</v>
      </c>
      <c r="L112" s="17">
        <f>K112-L68-L70</f>
        <v>5136.5693745600001</v>
      </c>
      <c r="M112" s="17">
        <f t="shared" ref="M112:P112" si="29">L112-M68-M70</f>
        <v>4172.1520309200005</v>
      </c>
      <c r="N112" s="17">
        <f t="shared" si="29"/>
        <v>3207.7346872800008</v>
      </c>
      <c r="O112" s="17">
        <f t="shared" si="29"/>
        <v>2243.3173436400011</v>
      </c>
      <c r="P112" s="17">
        <f t="shared" si="29"/>
        <v>1278.9000000000012</v>
      </c>
      <c r="R112" s="249"/>
    </row>
    <row r="113" spans="2:18" x14ac:dyDescent="0.3">
      <c r="B113" s="15" t="s">
        <v>218</v>
      </c>
      <c r="F113" s="48"/>
      <c r="G113" s="48"/>
      <c r="H113" s="49"/>
      <c r="I113" s="55">
        <f>'LBO Transaction Inputs'!J54</f>
        <v>56.5</v>
      </c>
      <c r="J113" s="48"/>
      <c r="K113" s="39">
        <f>I113</f>
        <v>56.5</v>
      </c>
      <c r="L113" s="17">
        <f>K113-L69</f>
        <v>45.2</v>
      </c>
      <c r="M113" s="17">
        <f t="shared" ref="M113:P113" si="30">L113-M69</f>
        <v>33.900000000000006</v>
      </c>
      <c r="N113" s="17">
        <f t="shared" si="30"/>
        <v>22.600000000000005</v>
      </c>
      <c r="O113" s="17">
        <f t="shared" si="30"/>
        <v>11.300000000000004</v>
      </c>
      <c r="P113" s="39">
        <f t="shared" si="30"/>
        <v>0</v>
      </c>
      <c r="R113" s="249"/>
    </row>
    <row r="114" spans="2:18" x14ac:dyDescent="0.3">
      <c r="B114" s="24" t="s">
        <v>51</v>
      </c>
      <c r="C114" s="61"/>
      <c r="D114" s="61"/>
      <c r="E114" s="61"/>
      <c r="F114" s="62">
        <v>822.1</v>
      </c>
      <c r="G114" s="62">
        <v>1156.8150000000001</v>
      </c>
      <c r="H114" s="65">
        <v>1025.9000000000001</v>
      </c>
      <c r="I114" s="226"/>
      <c r="J114" s="226"/>
      <c r="K114" s="40">
        <f>H114</f>
        <v>1025.9000000000001</v>
      </c>
      <c r="L114" s="18">
        <f>K114</f>
        <v>1025.9000000000001</v>
      </c>
      <c r="M114" s="18">
        <f t="shared" ref="M114:P114" si="31">L114</f>
        <v>1025.9000000000001</v>
      </c>
      <c r="N114" s="18">
        <f t="shared" si="31"/>
        <v>1025.9000000000001</v>
      </c>
      <c r="O114" s="18">
        <f t="shared" si="31"/>
        <v>1025.9000000000001</v>
      </c>
      <c r="P114" s="40">
        <f t="shared" si="31"/>
        <v>1025.9000000000001</v>
      </c>
    </row>
    <row r="115" spans="2:18" x14ac:dyDescent="0.3">
      <c r="B115" s="13" t="s">
        <v>52</v>
      </c>
      <c r="F115" s="41">
        <f>F109+F110+F111+F112+F114+F104</f>
        <v>11093</v>
      </c>
      <c r="G115" s="41">
        <f>G109+G110+G111+G112+G114+G104</f>
        <v>11961.514999999999</v>
      </c>
      <c r="H115" s="42">
        <f>H109+H110+H111+H112+H114+H104</f>
        <v>11937.146999999999</v>
      </c>
      <c r="I115" s="227"/>
      <c r="J115" s="227"/>
      <c r="K115" s="42">
        <f>SUM(K109:K114)+K104</f>
        <v>32553.236278280001</v>
      </c>
      <c r="L115" s="42">
        <f>SUM(L109:L114)+L104</f>
        <v>31860.311689116861</v>
      </c>
      <c r="M115" s="42">
        <f t="shared" ref="M115:P115" si="32">SUM(M109:M114)+M104</f>
        <v>31099.477942804409</v>
      </c>
      <c r="N115" s="42">
        <f t="shared" si="32"/>
        <v>30349.415857691936</v>
      </c>
      <c r="O115" s="42">
        <f t="shared" si="32"/>
        <v>29610.598564310687</v>
      </c>
      <c r="P115" s="42">
        <f t="shared" si="32"/>
        <v>28883.519974805386</v>
      </c>
    </row>
    <row r="116" spans="2:18" x14ac:dyDescent="0.3">
      <c r="B116" s="15"/>
      <c r="F116" s="2"/>
      <c r="G116" s="2"/>
      <c r="H116" s="11"/>
      <c r="I116" s="48"/>
      <c r="J116" s="48"/>
      <c r="K116" s="11"/>
      <c r="L116" s="2"/>
      <c r="M116" s="2"/>
      <c r="N116" s="2"/>
      <c r="O116" s="2"/>
      <c r="P116" s="11"/>
    </row>
    <row r="117" spans="2:18" x14ac:dyDescent="0.3">
      <c r="B117" s="13" t="s">
        <v>53</v>
      </c>
      <c r="F117" s="2"/>
      <c r="G117" s="2"/>
      <c r="H117" s="11"/>
      <c r="I117" s="48"/>
      <c r="J117" s="48"/>
      <c r="K117" s="11"/>
      <c r="L117" s="2"/>
      <c r="M117" s="2"/>
      <c r="N117" s="2"/>
      <c r="O117" s="2"/>
      <c r="P117" s="11"/>
    </row>
    <row r="118" spans="2:18" x14ac:dyDescent="0.3">
      <c r="B118" s="13" t="s">
        <v>54</v>
      </c>
      <c r="F118" s="2"/>
      <c r="G118" s="2"/>
      <c r="H118" s="11"/>
      <c r="I118" s="48"/>
      <c r="J118" s="48"/>
      <c r="K118" s="11"/>
      <c r="L118" s="2"/>
      <c r="M118" s="2"/>
      <c r="N118" s="2"/>
      <c r="O118" s="2"/>
      <c r="P118" s="11"/>
    </row>
    <row r="119" spans="2:18" x14ac:dyDescent="0.3">
      <c r="B119" s="15" t="s">
        <v>55</v>
      </c>
      <c r="F119" s="60">
        <v>1076.4000000000001</v>
      </c>
      <c r="G119" s="60">
        <v>1096.7</v>
      </c>
      <c r="H119" s="63">
        <v>1129.7</v>
      </c>
      <c r="I119" s="48"/>
      <c r="J119" s="48"/>
      <c r="K119" s="43">
        <f>LBO!H119</f>
        <v>1129.7</v>
      </c>
      <c r="L119" s="36">
        <f>L37*L59</f>
        <v>1179.3205321738205</v>
      </c>
      <c r="M119" s="36">
        <f t="shared" ref="M119:P119" si="33">M37*M59</f>
        <v>1231.1205785666491</v>
      </c>
      <c r="N119" s="36">
        <f t="shared" si="33"/>
        <v>1285.1958713688259</v>
      </c>
      <c r="O119" s="36">
        <f t="shared" si="33"/>
        <v>1341.6463476766232</v>
      </c>
      <c r="P119" s="43">
        <f t="shared" si="33"/>
        <v>1400.5763341870038</v>
      </c>
    </row>
    <row r="120" spans="2:18" x14ac:dyDescent="0.3">
      <c r="B120" s="15" t="s">
        <v>56</v>
      </c>
      <c r="F120" s="55">
        <v>935.10699999999997</v>
      </c>
      <c r="G120" s="55">
        <v>893.11099999999999</v>
      </c>
      <c r="H120" s="64">
        <v>944.01400000000001</v>
      </c>
      <c r="I120" s="48"/>
      <c r="J120" s="48"/>
      <c r="K120" s="39">
        <f>H120</f>
        <v>944.01400000000001</v>
      </c>
      <c r="L120" s="17">
        <f>L39*L64</f>
        <v>1009.3255067894814</v>
      </c>
      <c r="M120" s="17">
        <f t="shared" ref="M120:P120" si="34">M39*M64</f>
        <v>1053.6587534775449</v>
      </c>
      <c r="N120" s="17">
        <f t="shared" si="34"/>
        <v>1099.9392775787755</v>
      </c>
      <c r="O120" s="17">
        <f t="shared" si="34"/>
        <v>1148.2526105984684</v>
      </c>
      <c r="P120" s="39">
        <f t="shared" si="34"/>
        <v>1198.688040896667</v>
      </c>
    </row>
    <row r="121" spans="2:18" x14ac:dyDescent="0.3">
      <c r="B121" s="15" t="s">
        <v>57</v>
      </c>
      <c r="F121" s="55">
        <v>68.656999999999996</v>
      </c>
      <c r="G121" s="55">
        <v>31.361000000000001</v>
      </c>
      <c r="H121" s="64">
        <v>14.747</v>
      </c>
      <c r="I121" s="48"/>
      <c r="J121" s="17">
        <f>-H121</f>
        <v>-14.747</v>
      </c>
      <c r="K121" s="39">
        <v>0</v>
      </c>
      <c r="L121" s="17"/>
      <c r="M121" s="17"/>
      <c r="N121" s="17"/>
      <c r="O121" s="17"/>
      <c r="P121" s="39"/>
    </row>
    <row r="122" spans="2:18" x14ac:dyDescent="0.3">
      <c r="B122" s="15" t="s">
        <v>58</v>
      </c>
      <c r="F122" s="55">
        <v>831.726</v>
      </c>
      <c r="G122" s="55">
        <v>818.88</v>
      </c>
      <c r="H122" s="64">
        <v>1060.9000000000001</v>
      </c>
      <c r="I122" s="48"/>
      <c r="J122" s="17">
        <f>-H122</f>
        <v>-1060.9000000000001</v>
      </c>
      <c r="K122" s="39">
        <v>0</v>
      </c>
      <c r="L122" s="17"/>
      <c r="M122" s="17"/>
      <c r="N122" s="17"/>
      <c r="O122" s="17"/>
      <c r="P122" s="39"/>
    </row>
    <row r="123" spans="2:18" x14ac:dyDescent="0.3">
      <c r="B123" s="15" t="s">
        <v>119</v>
      </c>
      <c r="F123" s="48"/>
      <c r="G123" s="48"/>
      <c r="H123" s="49"/>
      <c r="I123" s="55"/>
      <c r="J123" s="48"/>
      <c r="K123" s="39">
        <v>0</v>
      </c>
      <c r="L123" s="17">
        <f>'LBO Transaction Inputs'!F102</f>
        <v>500</v>
      </c>
      <c r="M123" s="17">
        <f ca="1">'LBO Transaction Inputs'!G102</f>
        <v>393.22954659647962</v>
      </c>
      <c r="N123" s="17">
        <f ca="1">'LBO Transaction Inputs'!H102</f>
        <v>195.71849279302091</v>
      </c>
      <c r="O123" s="17">
        <f ca="1">'LBO Transaction Inputs'!I102</f>
        <v>0</v>
      </c>
      <c r="P123" s="39">
        <f ca="1">'LBO Transaction Inputs'!J102</f>
        <v>0</v>
      </c>
    </row>
    <row r="124" spans="2:18" x14ac:dyDescent="0.3">
      <c r="B124" s="15" t="s">
        <v>59</v>
      </c>
      <c r="F124" s="55">
        <v>92.128</v>
      </c>
      <c r="G124" s="55">
        <v>127.51</v>
      </c>
      <c r="H124" s="64">
        <v>91.283000000000001</v>
      </c>
      <c r="I124" s="48"/>
      <c r="J124" s="48"/>
      <c r="K124" s="39">
        <f>H124</f>
        <v>91.283000000000001</v>
      </c>
      <c r="L124" s="17">
        <f ca="1">L40*L83</f>
        <v>-9.7792431133436803</v>
      </c>
      <c r="M124" s="17">
        <f t="shared" ref="M124:P124" ca="1" si="35">M40*M83</f>
        <v>-4.1838981559220851</v>
      </c>
      <c r="N124" s="17">
        <f t="shared" ca="1" si="35"/>
        <v>1.8710346876515453</v>
      </c>
      <c r="O124" s="17">
        <f t="shared" ca="1" si="35"/>
        <v>8.3463937814166993</v>
      </c>
      <c r="P124" s="39">
        <f t="shared" ca="1" si="35"/>
        <v>15.233914573237545</v>
      </c>
      <c r="R124" s="76"/>
    </row>
    <row r="125" spans="2:18" x14ac:dyDescent="0.3">
      <c r="B125" s="24" t="s">
        <v>60</v>
      </c>
      <c r="C125" s="61"/>
      <c r="D125" s="61"/>
      <c r="E125" s="61"/>
      <c r="F125" s="62">
        <v>132.58600000000001</v>
      </c>
      <c r="G125" s="62">
        <v>145.21</v>
      </c>
      <c r="H125" s="65">
        <v>135.75399999999999</v>
      </c>
      <c r="I125" s="226"/>
      <c r="J125" s="226"/>
      <c r="K125" s="40">
        <f>H125</f>
        <v>135.75399999999999</v>
      </c>
      <c r="L125" s="18">
        <f>L41*L58</f>
        <v>150.29438090162441</v>
      </c>
      <c r="M125" s="18">
        <f t="shared" ref="M125:P125" si="36">M41*M58</f>
        <v>155.78277804812197</v>
      </c>
      <c r="N125" s="18">
        <f t="shared" si="36"/>
        <v>160.28409141186606</v>
      </c>
      <c r="O125" s="18">
        <f t="shared" si="36"/>
        <v>169.35806604964873</v>
      </c>
      <c r="P125" s="40">
        <f t="shared" si="36"/>
        <v>176.23199997445332</v>
      </c>
    </row>
    <row r="126" spans="2:18" x14ac:dyDescent="0.3">
      <c r="B126" s="13" t="s">
        <v>61</v>
      </c>
      <c r="F126" s="41">
        <f>SUM(F119:F125)</f>
        <v>3136.6040000000003</v>
      </c>
      <c r="G126" s="41">
        <f>SUM(G119:G125)</f>
        <v>3112.7720000000004</v>
      </c>
      <c r="H126" s="42">
        <f>SUM(H119:H125)</f>
        <v>3376.3979999999997</v>
      </c>
      <c r="I126" s="227"/>
      <c r="J126" s="227"/>
      <c r="K126" s="42">
        <f>SUM(K119:K125)</f>
        <v>2300.7509999999997</v>
      </c>
      <c r="L126" s="42">
        <f ca="1">SUM(L119:L125)</f>
        <v>2829.1611767515828</v>
      </c>
      <c r="M126" s="42">
        <f t="shared" ref="M126:P126" ca="1" si="37">SUM(M119:M125)</f>
        <v>2829.607758532874</v>
      </c>
      <c r="N126" s="42">
        <f t="shared" ca="1" si="37"/>
        <v>2743.0087678401396</v>
      </c>
      <c r="O126" s="42">
        <f t="shared" ca="1" si="37"/>
        <v>2667.6034181061573</v>
      </c>
      <c r="P126" s="42">
        <f t="shared" ca="1" si="37"/>
        <v>2790.7302896313613</v>
      </c>
    </row>
    <row r="127" spans="2:18" x14ac:dyDescent="0.3">
      <c r="B127" s="15"/>
      <c r="F127" s="2"/>
      <c r="G127" s="2"/>
      <c r="H127" s="11"/>
      <c r="I127" s="48"/>
      <c r="J127" s="48"/>
      <c r="K127" s="11"/>
      <c r="L127" s="2"/>
      <c r="M127" s="2"/>
      <c r="N127" s="2"/>
      <c r="O127" s="2"/>
      <c r="P127" s="11"/>
    </row>
    <row r="128" spans="2:18" x14ac:dyDescent="0.3">
      <c r="B128" s="13" t="s">
        <v>62</v>
      </c>
      <c r="F128" s="2"/>
      <c r="G128" s="2"/>
      <c r="H128" s="11"/>
      <c r="I128" s="48"/>
      <c r="J128" s="48"/>
      <c r="K128" s="11"/>
      <c r="L128" s="2"/>
      <c r="M128" s="2"/>
      <c r="N128" s="2"/>
      <c r="O128" s="2"/>
      <c r="P128" s="11"/>
    </row>
    <row r="129" spans="2:16" x14ac:dyDescent="0.3">
      <c r="B129" s="15" t="s">
        <v>63</v>
      </c>
      <c r="F129" s="60">
        <v>3749.9630000000002</v>
      </c>
      <c r="G129" s="60">
        <v>4177.902</v>
      </c>
      <c r="H129" s="63">
        <v>3955.866</v>
      </c>
      <c r="I129" s="48" t="s">
        <v>114</v>
      </c>
      <c r="J129" s="17">
        <f>-H129</f>
        <v>-3955.866</v>
      </c>
      <c r="K129" s="43">
        <f>H129+J129</f>
        <v>0</v>
      </c>
      <c r="L129" s="36"/>
      <c r="M129" s="36"/>
      <c r="N129" s="36"/>
      <c r="O129" s="36"/>
      <c r="P129" s="43"/>
    </row>
    <row r="130" spans="2:16" x14ac:dyDescent="0.3">
      <c r="B130" s="15" t="s">
        <v>120</v>
      </c>
      <c r="F130" s="51"/>
      <c r="G130" s="51"/>
      <c r="H130" s="114"/>
      <c r="I130" s="55">
        <f>'LBO Transaction Inputs'!E52</f>
        <v>2950</v>
      </c>
      <c r="J130" s="48"/>
      <c r="K130" s="43">
        <f>I130</f>
        <v>2950</v>
      </c>
      <c r="L130" s="301">
        <f>'LBO Transaction Inputs'!F113</f>
        <v>2920.5</v>
      </c>
      <c r="M130" s="36">
        <f>'LBO Transaction Inputs'!G113</f>
        <v>2891</v>
      </c>
      <c r="N130" s="36">
        <f>'LBO Transaction Inputs'!H113</f>
        <v>2861.5</v>
      </c>
      <c r="O130" s="36">
        <f ca="1">'LBO Transaction Inputs'!I113</f>
        <v>2775.2554790583172</v>
      </c>
      <c r="P130" s="43">
        <f ca="1">'LBO Transaction Inputs'!J113</f>
        <v>2441.9343945889509</v>
      </c>
    </row>
    <row r="131" spans="2:16" x14ac:dyDescent="0.3">
      <c r="B131" s="15" t="s">
        <v>121</v>
      </c>
      <c r="F131" s="51"/>
      <c r="G131" s="51"/>
      <c r="H131" s="114"/>
      <c r="I131" s="55">
        <f>'LBO Transaction Inputs'!E53</f>
        <v>6550</v>
      </c>
      <c r="J131" s="48"/>
      <c r="K131" s="43">
        <f>I131</f>
        <v>6550</v>
      </c>
      <c r="L131" s="301">
        <f>'LBO Transaction Inputs'!F123</f>
        <v>6484.5</v>
      </c>
      <c r="M131" s="36">
        <f>'LBO Transaction Inputs'!G123</f>
        <v>6419</v>
      </c>
      <c r="N131" s="36">
        <f>'LBO Transaction Inputs'!H123</f>
        <v>6353.5</v>
      </c>
      <c r="O131" s="36">
        <f>'LBO Transaction Inputs'!I123</f>
        <v>6288</v>
      </c>
      <c r="P131" s="43">
        <f>'LBO Transaction Inputs'!J123</f>
        <v>6222.5</v>
      </c>
    </row>
    <row r="132" spans="2:16" x14ac:dyDescent="0.3">
      <c r="B132" s="15" t="s">
        <v>122</v>
      </c>
      <c r="F132" s="51"/>
      <c r="G132" s="51"/>
      <c r="H132" s="114"/>
      <c r="I132" s="55">
        <f>'LBO Transaction Inputs'!E54</f>
        <v>3100</v>
      </c>
      <c r="J132" s="48"/>
      <c r="K132" s="43">
        <f>I132</f>
        <v>3100</v>
      </c>
      <c r="L132" s="301">
        <f>'LBO Transaction Inputs'!F132</f>
        <v>3100</v>
      </c>
      <c r="M132" s="36">
        <f>'LBO Transaction Inputs'!G132</f>
        <v>3100</v>
      </c>
      <c r="N132" s="36">
        <f>'LBO Transaction Inputs'!H132</f>
        <v>3100</v>
      </c>
      <c r="O132" s="36">
        <f>'LBO Transaction Inputs'!I132</f>
        <v>3100</v>
      </c>
      <c r="P132" s="43">
        <f>'LBO Transaction Inputs'!J132</f>
        <v>3100</v>
      </c>
    </row>
    <row r="133" spans="2:16" x14ac:dyDescent="0.3">
      <c r="B133" s="85" t="s">
        <v>279</v>
      </c>
      <c r="C133" s="86"/>
      <c r="D133" s="86"/>
      <c r="E133" s="86"/>
      <c r="F133" s="228"/>
      <c r="G133" s="228"/>
      <c r="H133" s="229"/>
      <c r="I133" s="251">
        <f>'LBO Transaction Inputs'!E56</f>
        <v>2000</v>
      </c>
      <c r="J133" s="223"/>
      <c r="K133" s="88">
        <f>I133</f>
        <v>2000</v>
      </c>
      <c r="L133" s="302">
        <f ca="1">'LBO Transaction Inputs'!F148</f>
        <v>2060.9137055837564</v>
      </c>
      <c r="M133" s="303">
        <f ca="1">'LBO Transaction Inputs'!G148</f>
        <v>2123.6826509314851</v>
      </c>
      <c r="N133" s="303">
        <f ca="1">'LBO Transaction Inputs'!H148</f>
        <v>2188.3633408075711</v>
      </c>
      <c r="O133" s="303">
        <f ca="1">'LBO Transaction Inputs'!I148</f>
        <v>2255.0140009336901</v>
      </c>
      <c r="P133" s="88">
        <f ca="1">'LBO Transaction Inputs'!J148</f>
        <v>2323.6946304037519</v>
      </c>
    </row>
    <row r="134" spans="2:16" x14ac:dyDescent="0.3">
      <c r="B134" s="15" t="s">
        <v>64</v>
      </c>
      <c r="F134" s="55">
        <v>219.43600000000001</v>
      </c>
      <c r="G134" s="55">
        <v>213.369</v>
      </c>
      <c r="H134" s="64">
        <v>230.91900000000001</v>
      </c>
      <c r="I134" s="48"/>
      <c r="J134" s="48"/>
      <c r="K134" s="39">
        <f>H134</f>
        <v>230.91900000000001</v>
      </c>
      <c r="L134" s="17">
        <f>L42*L58</f>
        <v>241.28117278495597</v>
      </c>
      <c r="M134" s="17">
        <f t="shared" ref="M134:P134" si="38">M42*M58</f>
        <v>251.8791193168787</v>
      </c>
      <c r="N134" s="17">
        <f t="shared" si="38"/>
        <v>262.94256620010151</v>
      </c>
      <c r="O134" s="17">
        <f t="shared" si="38"/>
        <v>274.49195990285369</v>
      </c>
      <c r="P134" s="39">
        <f t="shared" si="38"/>
        <v>286.54864497660304</v>
      </c>
    </row>
    <row r="135" spans="2:16" x14ac:dyDescent="0.3">
      <c r="B135" s="15" t="s">
        <v>66</v>
      </c>
      <c r="F135" s="55">
        <v>745.61800000000005</v>
      </c>
      <c r="G135" s="55">
        <v>912.91200000000003</v>
      </c>
      <c r="H135" s="64">
        <v>776.66</v>
      </c>
      <c r="I135" s="48">
        <f>'LBO Transaction Inputs'!J76</f>
        <v>1963.9626872799997</v>
      </c>
      <c r="J135" s="48">
        <f>-H135</f>
        <v>-776.66</v>
      </c>
      <c r="K135" s="39">
        <f>H135+I135+J135</f>
        <v>1963.96268728</v>
      </c>
      <c r="L135" s="17">
        <f>K135</f>
        <v>1963.96268728</v>
      </c>
      <c r="M135" s="17">
        <f t="shared" ref="M135:P135" si="39">L135</f>
        <v>1963.96268728</v>
      </c>
      <c r="N135" s="17">
        <f t="shared" si="39"/>
        <v>1963.96268728</v>
      </c>
      <c r="O135" s="17">
        <f t="shared" si="39"/>
        <v>1963.96268728</v>
      </c>
      <c r="P135" s="39">
        <f t="shared" si="39"/>
        <v>1963.96268728</v>
      </c>
    </row>
    <row r="136" spans="2:16" x14ac:dyDescent="0.3">
      <c r="B136" s="24" t="s">
        <v>65</v>
      </c>
      <c r="C136" s="61"/>
      <c r="D136" s="61"/>
      <c r="E136" s="61"/>
      <c r="F136" s="62">
        <v>529.346</v>
      </c>
      <c r="G136" s="62">
        <v>529.02300000000002</v>
      </c>
      <c r="H136" s="65">
        <v>479.48599999999999</v>
      </c>
      <c r="I136" s="226"/>
      <c r="J136" s="226"/>
      <c r="K136" s="40">
        <f>H136</f>
        <v>479.48599999999999</v>
      </c>
      <c r="L136" s="18">
        <f>K136</f>
        <v>479.48599999999999</v>
      </c>
      <c r="M136" s="18">
        <f t="shared" ref="M136:P136" si="40">L136</f>
        <v>479.48599999999999</v>
      </c>
      <c r="N136" s="18">
        <f t="shared" si="40"/>
        <v>479.48599999999999</v>
      </c>
      <c r="O136" s="18">
        <f t="shared" si="40"/>
        <v>479.48599999999999</v>
      </c>
      <c r="P136" s="40">
        <f t="shared" si="40"/>
        <v>479.48599999999999</v>
      </c>
    </row>
    <row r="137" spans="2:16" x14ac:dyDescent="0.3">
      <c r="B137" s="13" t="s">
        <v>67</v>
      </c>
      <c r="F137" s="41">
        <f>SUM(F129:F136)+F126</f>
        <v>8380.9670000000006</v>
      </c>
      <c r="G137" s="41">
        <f>SUM(G129:G136)+G126</f>
        <v>8945.978000000001</v>
      </c>
      <c r="H137" s="42">
        <f>SUM(H129:H136)+H126</f>
        <v>8819.3289999999997</v>
      </c>
      <c r="I137" s="227"/>
      <c r="J137" s="227"/>
      <c r="K137" s="42">
        <f>SUM(K126:K136)</f>
        <v>19575.118687280003</v>
      </c>
      <c r="L137" s="42">
        <f ca="1">SUM(L126:L136)</f>
        <v>20079.804742400294</v>
      </c>
      <c r="M137" s="42">
        <f t="shared" ref="M137:P137" ca="1" si="41">SUM(M126:M136)</f>
        <v>20058.618216061241</v>
      </c>
      <c r="N137" s="42">
        <f t="shared" ca="1" si="41"/>
        <v>19952.763362127811</v>
      </c>
      <c r="O137" s="42">
        <f t="shared" ca="1" si="41"/>
        <v>19803.81354528102</v>
      </c>
      <c r="P137" s="42">
        <f t="shared" ca="1" si="41"/>
        <v>19608.856646880668</v>
      </c>
    </row>
    <row r="138" spans="2:16" x14ac:dyDescent="0.3">
      <c r="B138" s="15"/>
      <c r="F138" s="2"/>
      <c r="G138" s="2"/>
      <c r="H138" s="11"/>
      <c r="I138" s="48"/>
      <c r="J138" s="48"/>
      <c r="K138" s="11"/>
      <c r="L138" s="2"/>
      <c r="M138" s="2"/>
      <c r="N138" s="2"/>
      <c r="O138" s="2"/>
      <c r="P138" s="11"/>
    </row>
    <row r="139" spans="2:16" x14ac:dyDescent="0.3">
      <c r="B139" s="15" t="s">
        <v>69</v>
      </c>
      <c r="F139" s="60">
        <v>107.84399999999999</v>
      </c>
      <c r="G139" s="60">
        <v>107.83499999999999</v>
      </c>
      <c r="H139" s="63">
        <v>107.834</v>
      </c>
      <c r="I139" s="48"/>
      <c r="J139" s="17">
        <f>-H139</f>
        <v>-107.834</v>
      </c>
      <c r="K139" s="43">
        <f>H139+I139+J139</f>
        <v>0</v>
      </c>
      <c r="L139" s="36"/>
      <c r="M139" s="36"/>
      <c r="N139" s="36"/>
      <c r="O139" s="36"/>
      <c r="P139" s="43"/>
    </row>
    <row r="140" spans="2:16" x14ac:dyDescent="0.3">
      <c r="B140" s="15" t="s">
        <v>68</v>
      </c>
      <c r="F140" s="55">
        <v>628.00599999999997</v>
      </c>
      <c r="G140" s="55">
        <v>587.59799999999996</v>
      </c>
      <c r="H140" s="64">
        <v>608.82000000000005</v>
      </c>
      <c r="I140" s="48"/>
      <c r="J140" s="17">
        <f>-H140</f>
        <v>-608.82000000000005</v>
      </c>
      <c r="K140" s="43">
        <f t="shared" ref="K140:K146" si="42">H140+I140+J140</f>
        <v>0</v>
      </c>
      <c r="L140" s="17">
        <f>K140+L165</f>
        <v>55.84991455368629</v>
      </c>
      <c r="M140" s="17">
        <f t="shared" ref="M140:P140" si="43">L140+M165</f>
        <v>114.15296045376218</v>
      </c>
      <c r="N140" s="17">
        <f t="shared" si="43"/>
        <v>175.01688814981617</v>
      </c>
      <c r="O140" s="17">
        <f t="shared" si="43"/>
        <v>238.55418088301909</v>
      </c>
      <c r="P140" s="17">
        <f t="shared" si="43"/>
        <v>304.88226256754126</v>
      </c>
    </row>
    <row r="141" spans="2:16" x14ac:dyDescent="0.3">
      <c r="B141" s="15" t="s">
        <v>70</v>
      </c>
      <c r="F141" s="55">
        <v>7186.7430000000004</v>
      </c>
      <c r="G141" s="55">
        <v>7547.0209999999997</v>
      </c>
      <c r="H141" s="64">
        <v>7885.4210000000003</v>
      </c>
      <c r="I141" s="48"/>
      <c r="J141" s="17">
        <f>-H141</f>
        <v>-7885.4210000000003</v>
      </c>
      <c r="K141" s="43">
        <f t="shared" si="42"/>
        <v>0</v>
      </c>
      <c r="L141" s="17">
        <f ca="1">K141+L85+L181</f>
        <v>-753.46055883712017</v>
      </c>
      <c r="M141" s="17">
        <f t="shared" ref="M141:P141" ca="1" si="44">L141+M85+M181</f>
        <v>-1551.4108247105928</v>
      </c>
      <c r="N141" s="17">
        <f t="shared" ca="1" si="44"/>
        <v>-2256.4819835856943</v>
      </c>
      <c r="O141" s="17">
        <f t="shared" ca="1" si="44"/>
        <v>-2909.8867528553606</v>
      </c>
      <c r="P141" s="17">
        <f t="shared" ca="1" si="44"/>
        <v>-3508.336526194626</v>
      </c>
    </row>
    <row r="142" spans="2:16" x14ac:dyDescent="0.3">
      <c r="B142" s="15" t="s">
        <v>71</v>
      </c>
      <c r="F142" s="55">
        <v>-4561.3</v>
      </c>
      <c r="G142" s="55">
        <v>-4681.8999999999996</v>
      </c>
      <c r="H142" s="64">
        <v>-4675.8</v>
      </c>
      <c r="I142" s="17">
        <f>-H142</f>
        <v>4675.8</v>
      </c>
      <c r="J142" s="48"/>
      <c r="K142" s="43">
        <f>H142+I142</f>
        <v>0</v>
      </c>
      <c r="L142" s="17"/>
      <c r="M142" s="17"/>
      <c r="N142" s="17"/>
      <c r="O142" s="17"/>
      <c r="P142" s="39"/>
    </row>
    <row r="143" spans="2:16" s="2" customFormat="1" x14ac:dyDescent="0.3">
      <c r="B143" s="15" t="s">
        <v>225</v>
      </c>
      <c r="F143" s="48"/>
      <c r="G143" s="48"/>
      <c r="H143" s="49"/>
      <c r="I143" s="55">
        <f>'LBO Transaction Inputs'!E58-'LBO Transaction Inputs'!J53-'LBO Transaction Inputs'!J55</f>
        <v>4478.1175909999974</v>
      </c>
      <c r="J143" s="48"/>
      <c r="K143" s="43">
        <f t="shared" si="42"/>
        <v>4478.1175909999974</v>
      </c>
      <c r="L143" s="17">
        <f>K143</f>
        <v>4478.1175909999974</v>
      </c>
      <c r="M143" s="17">
        <f t="shared" ref="M143:P143" si="45">L143</f>
        <v>4478.1175909999974</v>
      </c>
      <c r="N143" s="17">
        <f t="shared" si="45"/>
        <v>4478.1175909999974</v>
      </c>
      <c r="O143" s="17">
        <f t="shared" si="45"/>
        <v>4478.1175909999974</v>
      </c>
      <c r="P143" s="17">
        <f t="shared" si="45"/>
        <v>4478.1175909999974</v>
      </c>
    </row>
    <row r="144" spans="2:16" s="2" customFormat="1" x14ac:dyDescent="0.3">
      <c r="B144" s="15" t="s">
        <v>226</v>
      </c>
      <c r="F144" s="48"/>
      <c r="G144" s="48"/>
      <c r="H144" s="49"/>
      <c r="I144" s="55">
        <f>'LBO Transaction Inputs'!E55</f>
        <v>8000</v>
      </c>
      <c r="J144" s="48"/>
      <c r="K144" s="43">
        <f t="shared" si="42"/>
        <v>8000</v>
      </c>
      <c r="L144" s="17">
        <f>K144</f>
        <v>8000</v>
      </c>
      <c r="M144" s="17">
        <f t="shared" ref="M144:P144" si="46">L144</f>
        <v>8000</v>
      </c>
      <c r="N144" s="17">
        <f t="shared" si="46"/>
        <v>8000</v>
      </c>
      <c r="O144" s="17">
        <f t="shared" si="46"/>
        <v>8000</v>
      </c>
      <c r="P144" s="17">
        <f t="shared" si="46"/>
        <v>8000</v>
      </c>
    </row>
    <row r="145" spans="1:22" x14ac:dyDescent="0.3">
      <c r="B145" s="15" t="s">
        <v>72</v>
      </c>
      <c r="E145" s="2" t="s">
        <v>114</v>
      </c>
      <c r="F145" s="55">
        <v>-718.3</v>
      </c>
      <c r="G145" s="55">
        <v>-710.3</v>
      </c>
      <c r="H145" s="64">
        <v>-887.7</v>
      </c>
      <c r="I145" s="17">
        <f>-H145</f>
        <v>887.7</v>
      </c>
      <c r="J145" s="48"/>
      <c r="K145" s="43">
        <f t="shared" si="42"/>
        <v>0</v>
      </c>
      <c r="L145" s="17"/>
      <c r="M145" s="17"/>
      <c r="N145" s="17"/>
      <c r="O145" s="17"/>
      <c r="P145" s="39"/>
    </row>
    <row r="146" spans="1:22" x14ac:dyDescent="0.3">
      <c r="B146" s="24" t="s">
        <v>73</v>
      </c>
      <c r="C146" s="61"/>
      <c r="D146" s="61"/>
      <c r="E146" s="61"/>
      <c r="F146" s="62">
        <v>69.040000000000006</v>
      </c>
      <c r="G146" s="62">
        <v>165.28299999999999</v>
      </c>
      <c r="H146" s="65">
        <v>79.242999999999995</v>
      </c>
      <c r="I146" s="226"/>
      <c r="J146" s="226">
        <f>-H146</f>
        <v>-79.242999999999995</v>
      </c>
      <c r="K146" s="43">
        <f t="shared" si="42"/>
        <v>0</v>
      </c>
      <c r="L146" s="18"/>
      <c r="M146" s="18"/>
      <c r="N146" s="18"/>
      <c r="O146" s="18"/>
      <c r="P146" s="40"/>
    </row>
    <row r="147" spans="1:22" x14ac:dyDescent="0.3">
      <c r="B147" s="13" t="s">
        <v>74</v>
      </c>
      <c r="F147" s="41">
        <f>SUM(F139:F146)</f>
        <v>2712.0330000000004</v>
      </c>
      <c r="G147" s="41">
        <f>SUM(G139:G146)</f>
        <v>3015.5369999999998</v>
      </c>
      <c r="H147" s="42">
        <f>SUM(H139:H146)</f>
        <v>3117.8180000000007</v>
      </c>
      <c r="I147" s="90"/>
      <c r="J147" s="90"/>
      <c r="K147" s="284">
        <f>SUM(K139:K146)</f>
        <v>12478.117590999998</v>
      </c>
      <c r="L147" s="284">
        <f ca="1">SUM(L139:L146)</f>
        <v>11780.506946716563</v>
      </c>
      <c r="M147" s="284">
        <f t="shared" ref="M147:P147" ca="1" si="47">SUM(M139:M146)</f>
        <v>11040.859726743167</v>
      </c>
      <c r="N147" s="284">
        <f t="shared" ca="1" si="47"/>
        <v>10396.65249556412</v>
      </c>
      <c r="O147" s="284">
        <f t="shared" ca="1" si="47"/>
        <v>9806.7850190276549</v>
      </c>
      <c r="P147" s="284">
        <f t="shared" ca="1" si="47"/>
        <v>9274.663327372913</v>
      </c>
    </row>
    <row r="148" spans="1:22" x14ac:dyDescent="0.3">
      <c r="B148" s="15"/>
      <c r="F148" s="2"/>
      <c r="G148" s="2"/>
      <c r="H148" s="11"/>
      <c r="I148" s="2"/>
      <c r="J148" s="2"/>
      <c r="K148" s="11"/>
      <c r="L148" s="2"/>
      <c r="M148" s="2"/>
      <c r="N148" s="2"/>
      <c r="O148" s="2"/>
      <c r="P148" s="11"/>
    </row>
    <row r="149" spans="1:22" x14ac:dyDescent="0.3">
      <c r="A149" t="s">
        <v>101</v>
      </c>
      <c r="B149" s="34" t="s">
        <v>75</v>
      </c>
      <c r="C149" s="61"/>
      <c r="D149" s="61"/>
      <c r="E149" s="61"/>
      <c r="F149" s="44">
        <f>F137+F147</f>
        <v>11093</v>
      </c>
      <c r="G149" s="44">
        <f t="shared" ref="G149:H149" si="48">G137+G147</f>
        <v>11961.515000000001</v>
      </c>
      <c r="H149" s="45">
        <f t="shared" si="48"/>
        <v>11937.147000000001</v>
      </c>
      <c r="I149" s="201"/>
      <c r="J149" s="201"/>
      <c r="K149" s="45">
        <f>SUM(K137,K147)</f>
        <v>32053.236278280001</v>
      </c>
      <c r="L149" s="45">
        <f ca="1">SUM(L137,L147)</f>
        <v>31860.311689116857</v>
      </c>
      <c r="M149" s="45">
        <f t="shared" ref="M149:P149" ca="1" si="49">SUM(M137,M147)</f>
        <v>31099.477942804406</v>
      </c>
      <c r="N149" s="45">
        <f t="shared" ca="1" si="49"/>
        <v>30349.415857691929</v>
      </c>
      <c r="O149" s="45">
        <f t="shared" ca="1" si="49"/>
        <v>29610.598564308675</v>
      </c>
      <c r="P149" s="45">
        <f t="shared" ca="1" si="49"/>
        <v>28883.519974253581</v>
      </c>
    </row>
    <row r="150" spans="1:22" x14ac:dyDescent="0.3">
      <c r="B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22" x14ac:dyDescent="0.3">
      <c r="B151" s="3" t="s">
        <v>99</v>
      </c>
      <c r="F151" s="52">
        <f>F115-F149</f>
        <v>0</v>
      </c>
      <c r="G151" s="52">
        <f>G115-G149</f>
        <v>0</v>
      </c>
      <c r="H151" s="52">
        <f>H115-H149</f>
        <v>0</v>
      </c>
      <c r="I151" s="230"/>
      <c r="J151" s="230"/>
      <c r="K151" s="52">
        <f>K115-K149</f>
        <v>500</v>
      </c>
      <c r="L151" s="52">
        <f ca="1">L115-L149</f>
        <v>0</v>
      </c>
      <c r="M151" s="52">
        <f t="shared" ref="M151:P151" ca="1" si="50">M115-M149</f>
        <v>0</v>
      </c>
      <c r="N151" s="52">
        <f t="shared" ca="1" si="50"/>
        <v>0</v>
      </c>
      <c r="O151" s="52">
        <f t="shared" ca="1" si="50"/>
        <v>2.0118022803217173E-9</v>
      </c>
      <c r="P151" s="52">
        <f t="shared" ca="1" si="50"/>
        <v>5.5180498748086393E-7</v>
      </c>
      <c r="R151" s="119"/>
      <c r="S151" s="119"/>
      <c r="T151" s="119"/>
      <c r="U151" s="119"/>
      <c r="V151" s="119"/>
    </row>
    <row r="152" spans="1:22" x14ac:dyDescent="0.3">
      <c r="B152" s="7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S152">
        <f ca="1">L151/0.6</f>
        <v>0</v>
      </c>
    </row>
    <row r="153" spans="1:22" x14ac:dyDescent="0.3">
      <c r="B153" s="1" t="s">
        <v>76</v>
      </c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7"/>
    </row>
    <row r="154" spans="1:22" x14ac:dyDescent="0.3">
      <c r="B154" s="128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108"/>
    </row>
    <row r="155" spans="1:22" x14ac:dyDescent="0.3">
      <c r="B155" s="35"/>
      <c r="C155" s="32"/>
      <c r="D155" s="32"/>
      <c r="E155" s="32"/>
      <c r="F155" s="321" t="s">
        <v>1</v>
      </c>
      <c r="G155" s="321"/>
      <c r="H155" s="322"/>
      <c r="I155" s="323" t="s">
        <v>115</v>
      </c>
      <c r="J155" s="321"/>
      <c r="K155" s="322"/>
      <c r="L155" s="321" t="s">
        <v>2</v>
      </c>
      <c r="M155" s="321"/>
      <c r="N155" s="321"/>
      <c r="O155" s="321"/>
      <c r="P155" s="322"/>
    </row>
    <row r="156" spans="1:22" x14ac:dyDescent="0.3">
      <c r="B156" s="15"/>
      <c r="F156" s="29" t="str">
        <f>F11</f>
        <v>LTM 2011</v>
      </c>
      <c r="G156" s="29" t="str">
        <f>G11</f>
        <v>LTM 2012</v>
      </c>
      <c r="H156" s="30" t="str">
        <f>H11</f>
        <v>LTM 2013</v>
      </c>
      <c r="I156" s="75" t="s">
        <v>195</v>
      </c>
      <c r="J156" s="75" t="s">
        <v>196</v>
      </c>
      <c r="K156" s="20" t="s">
        <v>116</v>
      </c>
      <c r="L156" s="29" t="str">
        <f>L11</f>
        <v>NTM 2014E</v>
      </c>
      <c r="M156" s="29" t="str">
        <f>M11</f>
        <v>NTM 2015E</v>
      </c>
      <c r="N156" s="29" t="str">
        <f>N11</f>
        <v>NTM 2016E</v>
      </c>
      <c r="O156" s="29" t="str">
        <f>O11</f>
        <v>NTM 2017E</v>
      </c>
      <c r="P156" s="30" t="str">
        <f>P11</f>
        <v>NTM 2018E</v>
      </c>
    </row>
    <row r="157" spans="1:22" x14ac:dyDescent="0.3">
      <c r="B157" s="13" t="s">
        <v>77</v>
      </c>
      <c r="H157" s="67"/>
      <c r="K157" s="67"/>
      <c r="P157" s="59"/>
    </row>
    <row r="158" spans="1:22" x14ac:dyDescent="0.3">
      <c r="B158" s="15" t="s">
        <v>83</v>
      </c>
      <c r="F158" s="66">
        <v>958.01300000000003</v>
      </c>
      <c r="G158" s="66">
        <v>971.68</v>
      </c>
      <c r="H158" s="68">
        <v>992.30000000000007</v>
      </c>
      <c r="I158" s="90"/>
      <c r="J158" s="90"/>
      <c r="K158" s="91"/>
      <c r="L158" s="41">
        <f ca="1">L85</f>
        <v>-78.027824777589871</v>
      </c>
      <c r="M158" s="41">
        <f t="shared" ref="M158:P158" ca="1" si="51">M85</f>
        <v>-33.382999933002765</v>
      </c>
      <c r="N158" s="41">
        <f t="shared" ca="1" si="51"/>
        <v>14.928841124898684</v>
      </c>
      <c r="O158" s="41">
        <f ca="1">O85</f>
        <v>66.595230730333554</v>
      </c>
      <c r="P158" s="42">
        <f t="shared" ca="1" si="51"/>
        <v>121.55022666073457</v>
      </c>
    </row>
    <row r="159" spans="1:22" x14ac:dyDescent="0.3">
      <c r="B159" s="15" t="s">
        <v>82</v>
      </c>
      <c r="F159" s="55">
        <v>251.61799999999999</v>
      </c>
      <c r="G159" s="55">
        <v>291.84500000000003</v>
      </c>
      <c r="H159" s="64">
        <v>299.60000000000002</v>
      </c>
      <c r="I159" s="48"/>
      <c r="J159" s="48"/>
      <c r="K159" s="49"/>
      <c r="L159" s="17">
        <f>+L66</f>
        <v>312.75952150064325</v>
      </c>
      <c r="M159" s="17">
        <f t="shared" ref="M159:P159" si="52">+M66</f>
        <v>326.49705704042498</v>
      </c>
      <c r="N159" s="17">
        <f t="shared" si="52"/>
        <v>340.83799509790236</v>
      </c>
      <c r="O159" s="17">
        <f t="shared" si="52"/>
        <v>355.80883930593637</v>
      </c>
      <c r="P159" s="39">
        <f t="shared" si="52"/>
        <v>371.43725743332419</v>
      </c>
    </row>
    <row r="160" spans="1:22" x14ac:dyDescent="0.3">
      <c r="B160" s="15" t="s">
        <v>243</v>
      </c>
      <c r="F160" s="48"/>
      <c r="G160" s="48"/>
      <c r="H160" s="49"/>
      <c r="I160" s="48"/>
      <c r="J160" s="48"/>
      <c r="K160" s="49"/>
      <c r="L160" s="17">
        <f>L67</f>
        <v>30.352500000000006</v>
      </c>
      <c r="M160" s="17">
        <f t="shared" ref="M160:P160" si="53">M67</f>
        <v>30.352500000000006</v>
      </c>
      <c r="N160" s="17">
        <f t="shared" si="53"/>
        <v>30.352500000000006</v>
      </c>
      <c r="O160" s="17">
        <f t="shared" si="53"/>
        <v>30.352500000000006</v>
      </c>
      <c r="P160" s="39">
        <f t="shared" si="53"/>
        <v>30.352500000000006</v>
      </c>
    </row>
    <row r="161" spans="2:18" x14ac:dyDescent="0.3">
      <c r="B161" s="15" t="s">
        <v>219</v>
      </c>
      <c r="F161" s="48"/>
      <c r="G161" s="48"/>
      <c r="H161" s="49"/>
      <c r="I161" s="48"/>
      <c r="J161" s="48"/>
      <c r="K161" s="49"/>
      <c r="L161" s="41">
        <f>L68</f>
        <v>933.4173436399999</v>
      </c>
      <c r="M161" s="41">
        <f t="shared" ref="M161:P161" si="54">M68</f>
        <v>933.4173436399999</v>
      </c>
      <c r="N161" s="41">
        <f t="shared" si="54"/>
        <v>933.4173436399999</v>
      </c>
      <c r="O161" s="41">
        <f t="shared" si="54"/>
        <v>933.4173436399999</v>
      </c>
      <c r="P161" s="42">
        <f t="shared" si="54"/>
        <v>933.4173436399999</v>
      </c>
    </row>
    <row r="162" spans="2:18" x14ac:dyDescent="0.3">
      <c r="B162" s="15" t="s">
        <v>244</v>
      </c>
      <c r="F162" s="48"/>
      <c r="G162" s="48"/>
      <c r="H162" s="49"/>
      <c r="I162" s="48"/>
      <c r="J162" s="48"/>
      <c r="K162" s="49"/>
      <c r="L162" s="17">
        <f>+L69</f>
        <v>11.3</v>
      </c>
      <c r="M162" s="17">
        <f t="shared" ref="M162:P162" si="55">+M69</f>
        <v>11.3</v>
      </c>
      <c r="N162" s="17">
        <f t="shared" si="55"/>
        <v>11.3</v>
      </c>
      <c r="O162" s="17">
        <f t="shared" si="55"/>
        <v>11.3</v>
      </c>
      <c r="P162" s="39">
        <f t="shared" si="55"/>
        <v>11.3</v>
      </c>
    </row>
    <row r="163" spans="2:18" x14ac:dyDescent="0.3">
      <c r="B163" s="85" t="s">
        <v>282</v>
      </c>
      <c r="C163" s="86"/>
      <c r="D163" s="86"/>
      <c r="E163" s="86"/>
      <c r="F163" s="223"/>
      <c r="G163" s="223"/>
      <c r="H163" s="224"/>
      <c r="I163" s="223"/>
      <c r="J163" s="223"/>
      <c r="K163" s="224"/>
      <c r="L163" s="305">
        <f ca="1">'LBO Transaction Inputs'!F151</f>
        <v>60.913705583756347</v>
      </c>
      <c r="M163" s="306">
        <f ca="1">'LBO Transaction Inputs'!G151</f>
        <v>62.768945347728618</v>
      </c>
      <c r="N163" s="306">
        <f ca="1">'LBO Transaction Inputs'!H151</f>
        <v>64.680689876085836</v>
      </c>
      <c r="O163" s="306">
        <f ca="1">'LBO Transaction Inputs'!I151</f>
        <v>66.650660126118922</v>
      </c>
      <c r="P163" s="84">
        <f ca="1">'LBO Transaction Inputs'!J151</f>
        <v>68.680629470061632</v>
      </c>
    </row>
    <row r="164" spans="2:18" x14ac:dyDescent="0.3">
      <c r="B164" s="15" t="s">
        <v>81</v>
      </c>
      <c r="F164" s="55">
        <v>44.155000000000001</v>
      </c>
      <c r="G164" s="55">
        <v>46.027000000000001</v>
      </c>
      <c r="H164" s="64">
        <v>48</v>
      </c>
      <c r="I164" s="48"/>
      <c r="J164" s="48"/>
      <c r="K164" s="49"/>
      <c r="L164" s="17">
        <f>L70</f>
        <v>31</v>
      </c>
      <c r="M164" s="17">
        <f t="shared" ref="M164:P164" si="56">M70</f>
        <v>31</v>
      </c>
      <c r="N164" s="17">
        <f t="shared" si="56"/>
        <v>31</v>
      </c>
      <c r="O164" s="17">
        <f t="shared" si="56"/>
        <v>31</v>
      </c>
      <c r="P164" s="39">
        <f t="shared" si="56"/>
        <v>31</v>
      </c>
    </row>
    <row r="165" spans="2:18" x14ac:dyDescent="0.3">
      <c r="B165" s="15" t="s">
        <v>102</v>
      </c>
      <c r="F165" s="55">
        <v>56.5</v>
      </c>
      <c r="G165" s="55">
        <v>52.4</v>
      </c>
      <c r="H165" s="64">
        <v>53.5</v>
      </c>
      <c r="I165" s="48"/>
      <c r="J165" s="48"/>
      <c r="K165" s="49"/>
      <c r="L165" s="17">
        <f>L71</f>
        <v>55.84991455368629</v>
      </c>
      <c r="M165" s="17">
        <f t="shared" ref="M165:P165" si="57">M71</f>
        <v>58.303045900075887</v>
      </c>
      <c r="N165" s="17">
        <f t="shared" si="57"/>
        <v>60.863927696053985</v>
      </c>
      <c r="O165" s="17">
        <f t="shared" si="57"/>
        <v>63.537292733202918</v>
      </c>
      <c r="P165" s="39">
        <f t="shared" si="57"/>
        <v>66.328081684522175</v>
      </c>
    </row>
    <row r="166" spans="2:18" x14ac:dyDescent="0.3">
      <c r="B166" s="15" t="s">
        <v>111</v>
      </c>
      <c r="F166" s="55">
        <v>-3.5</v>
      </c>
      <c r="G166" s="55">
        <v>-6.0670000000000073</v>
      </c>
      <c r="H166" s="64">
        <v>17.550000000000011</v>
      </c>
      <c r="I166" s="48"/>
      <c r="J166" s="48"/>
      <c r="K166" s="49"/>
      <c r="L166" s="17">
        <f>L134-K134</f>
        <v>10.362172784955959</v>
      </c>
      <c r="M166" s="17">
        <f t="shared" ref="M166:P166" si="58">M134-L134</f>
        <v>10.59794653192273</v>
      </c>
      <c r="N166" s="17">
        <f t="shared" si="58"/>
        <v>11.063446883222809</v>
      </c>
      <c r="O166" s="17">
        <f t="shared" si="58"/>
        <v>11.549393702752184</v>
      </c>
      <c r="P166" s="39">
        <f t="shared" si="58"/>
        <v>12.05668507374935</v>
      </c>
    </row>
    <row r="167" spans="2:18" x14ac:dyDescent="0.3">
      <c r="B167" s="15" t="s">
        <v>80</v>
      </c>
      <c r="F167" s="55">
        <v>44.86</v>
      </c>
      <c r="G167" s="55">
        <v>0</v>
      </c>
      <c r="H167" s="64">
        <v>19.765000000000001</v>
      </c>
      <c r="I167" s="48"/>
      <c r="J167" s="48"/>
      <c r="K167" s="49"/>
      <c r="L167" s="16"/>
      <c r="M167" s="16"/>
      <c r="N167" s="16"/>
      <c r="O167" s="16"/>
      <c r="P167" s="37"/>
    </row>
    <row r="168" spans="2:18" x14ac:dyDescent="0.3">
      <c r="B168" s="15" t="s">
        <v>79</v>
      </c>
      <c r="F168" s="55">
        <v>0</v>
      </c>
      <c r="G168" s="55">
        <v>0</v>
      </c>
      <c r="H168" s="64">
        <v>71.73</v>
      </c>
      <c r="I168" s="48"/>
      <c r="J168" s="48"/>
      <c r="K168" s="49"/>
      <c r="L168" s="16"/>
      <c r="M168" s="16"/>
      <c r="N168" s="16"/>
      <c r="O168" s="16"/>
      <c r="P168" s="37"/>
    </row>
    <row r="169" spans="2:18" x14ac:dyDescent="0.3">
      <c r="B169" s="15" t="s">
        <v>78</v>
      </c>
      <c r="F169" s="55">
        <v>0</v>
      </c>
      <c r="G169" s="55">
        <v>0</v>
      </c>
      <c r="H169" s="64">
        <v>0</v>
      </c>
      <c r="I169" s="48"/>
      <c r="J169" s="48"/>
      <c r="K169" s="49"/>
      <c r="L169" s="16"/>
      <c r="M169" s="16"/>
      <c r="N169" s="16"/>
      <c r="O169" s="16"/>
      <c r="P169" s="37"/>
    </row>
    <row r="170" spans="2:18" x14ac:dyDescent="0.3">
      <c r="B170" s="15" t="s">
        <v>91</v>
      </c>
      <c r="F170" s="55">
        <v>-133.5</v>
      </c>
      <c r="G170" s="55">
        <v>69.739999999999995</v>
      </c>
      <c r="H170" s="64">
        <v>-190.88399999999999</v>
      </c>
      <c r="I170" s="48"/>
      <c r="J170" s="48"/>
      <c r="K170" s="49"/>
      <c r="L170" s="16"/>
      <c r="M170" s="16"/>
      <c r="N170" s="16"/>
      <c r="O170" s="16"/>
      <c r="P170" s="37"/>
    </row>
    <row r="171" spans="2:18" x14ac:dyDescent="0.3">
      <c r="B171" s="13" t="s">
        <v>85</v>
      </c>
      <c r="F171" s="48"/>
      <c r="G171" s="48"/>
      <c r="H171" s="49"/>
      <c r="I171" s="48"/>
      <c r="J171" s="48"/>
      <c r="K171" s="49"/>
      <c r="L171" s="2"/>
      <c r="M171" s="2"/>
      <c r="N171" s="2"/>
      <c r="O171" s="2"/>
      <c r="P171" s="11"/>
    </row>
    <row r="172" spans="2:18" x14ac:dyDescent="0.3">
      <c r="B172" s="15" t="s">
        <v>86</v>
      </c>
      <c r="F172" s="55">
        <v>20.79</v>
      </c>
      <c r="G172" s="55">
        <v>-102.2</v>
      </c>
      <c r="H172" s="64">
        <v>-8.7000000000000455</v>
      </c>
      <c r="I172" s="48"/>
      <c r="J172" s="48"/>
      <c r="K172" s="49"/>
      <c r="L172" s="46">
        <f>-(L100-K100)</f>
        <v>-46.714341336249163</v>
      </c>
      <c r="M172" s="46">
        <f t="shared" ref="M172:P172" si="59">-(M100-L100)</f>
        <v>-48.8964220949224</v>
      </c>
      <c r="N172" s="46">
        <f t="shared" si="59"/>
        <v>-51.044130766026228</v>
      </c>
      <c r="O172" s="46">
        <f t="shared" si="59"/>
        <v>-53.286174612145032</v>
      </c>
      <c r="P172" s="304">
        <f t="shared" si="59"/>
        <v>-55.626697177216784</v>
      </c>
    </row>
    <row r="173" spans="2:18" x14ac:dyDescent="0.3">
      <c r="B173" s="15" t="s">
        <v>87</v>
      </c>
      <c r="F173" s="55">
        <v>24.24</v>
      </c>
      <c r="G173" s="55">
        <v>-102</v>
      </c>
      <c r="H173" s="64">
        <v>68</v>
      </c>
      <c r="I173" s="48"/>
      <c r="J173" s="48"/>
      <c r="K173" s="49"/>
      <c r="L173" s="46">
        <f>-(L101-K101)</f>
        <v>-147.88184346693288</v>
      </c>
      <c r="M173" s="46">
        <f t="shared" ref="M173:P173" si="60">-(M101-L101)</f>
        <v>-70.114503471927719</v>
      </c>
      <c r="N173" s="46">
        <f t="shared" si="60"/>
        <v>-73.194187437033634</v>
      </c>
      <c r="O173" s="46">
        <f t="shared" si="60"/>
        <v>-76.409142321211903</v>
      </c>
      <c r="P173" s="304">
        <f t="shared" si="60"/>
        <v>-79.765309715143076</v>
      </c>
      <c r="R173" s="51"/>
    </row>
    <row r="174" spans="2:18" x14ac:dyDescent="0.3">
      <c r="B174" s="15" t="s">
        <v>88</v>
      </c>
      <c r="F174" s="55">
        <v>144.77500000000001</v>
      </c>
      <c r="G174" s="55">
        <v>15.938000000000001</v>
      </c>
      <c r="H174" s="64">
        <v>33</v>
      </c>
      <c r="I174" s="48"/>
      <c r="J174" s="48"/>
      <c r="K174" s="49"/>
      <c r="L174" s="46">
        <f>L119-K119</f>
        <v>49.620532173820493</v>
      </c>
      <c r="M174" s="46">
        <f t="shared" ref="M174:P174" si="61">M119-L119</f>
        <v>51.800046392828563</v>
      </c>
      <c r="N174" s="46">
        <f t="shared" si="61"/>
        <v>54.075292802176818</v>
      </c>
      <c r="O174" s="46">
        <f t="shared" si="61"/>
        <v>56.450476307797317</v>
      </c>
      <c r="P174" s="304">
        <f t="shared" si="61"/>
        <v>58.929986510380559</v>
      </c>
    </row>
    <row r="175" spans="2:18" x14ac:dyDescent="0.3">
      <c r="B175" s="15" t="s">
        <v>89</v>
      </c>
      <c r="F175" s="55">
        <v>101.351</v>
      </c>
      <c r="G175" s="55">
        <v>71.53</v>
      </c>
      <c r="H175" s="64">
        <v>-36.227000000000004</v>
      </c>
      <c r="I175" s="48"/>
      <c r="J175" s="48"/>
      <c r="K175" s="49"/>
      <c r="L175" s="46">
        <f ca="1">L124-K124</f>
        <v>-101.06224311334368</v>
      </c>
      <c r="M175" s="46">
        <f t="shared" ref="M175:P175" ca="1" si="62">M124-L124</f>
        <v>5.5953449574215952</v>
      </c>
      <c r="N175" s="46">
        <f t="shared" ca="1" si="62"/>
        <v>6.0549328435736305</v>
      </c>
      <c r="O175" s="46">
        <f t="shared" ca="1" si="62"/>
        <v>6.475359093765154</v>
      </c>
      <c r="P175" s="304">
        <f t="shared" ca="1" si="62"/>
        <v>6.8875207918208456</v>
      </c>
    </row>
    <row r="176" spans="2:18" x14ac:dyDescent="0.3">
      <c r="B176" s="15" t="s">
        <v>90</v>
      </c>
      <c r="F176" s="55">
        <v>-51.2</v>
      </c>
      <c r="G176" s="55">
        <v>-70.900000000000006</v>
      </c>
      <c r="H176" s="64">
        <v>14.347000000000008</v>
      </c>
      <c r="I176" s="48"/>
      <c r="J176" s="48"/>
      <c r="K176" s="49"/>
      <c r="L176" s="46">
        <f>-(L102-K102)-(L103-K103)+(L120-K120)+(L125-K125)</f>
        <v>69.662091487942817</v>
      </c>
      <c r="M176" s="46">
        <f t="shared" ref="M176:P176" si="63">-(M102-L102)-(M103-L103)+(M120-L120)+(M125-L125)</f>
        <v>36.71527888560216</v>
      </c>
      <c r="N176" s="46">
        <f t="shared" si="63"/>
        <v>37.099793305932039</v>
      </c>
      <c r="O176" s="46">
        <f t="shared" si="63"/>
        <v>43.104298363974721</v>
      </c>
      <c r="P176" s="304">
        <f t="shared" si="63"/>
        <v>42.398993220918442</v>
      </c>
    </row>
    <row r="177" spans="1:16" x14ac:dyDescent="0.3">
      <c r="B177" s="13" t="s">
        <v>84</v>
      </c>
      <c r="F177" s="41">
        <f>SUM(F158:F176)</f>
        <v>1458.1020000000001</v>
      </c>
      <c r="G177" s="41">
        <f>SUM(G158:G176)</f>
        <v>1237.9930000000002</v>
      </c>
      <c r="H177" s="42">
        <f>SUM(H158:H176)</f>
        <v>1381.981</v>
      </c>
      <c r="I177" s="90"/>
      <c r="J177" s="90"/>
      <c r="K177" s="91"/>
      <c r="L177" s="41">
        <f ca="1">SUM(L158:L176)</f>
        <v>1191.5515290306896</v>
      </c>
      <c r="M177" s="41">
        <f t="shared" ref="M177:O177" ca="1" si="64">SUM(M158:M176)</f>
        <v>1405.9535831961512</v>
      </c>
      <c r="N177" s="41">
        <f t="shared" ca="1" si="64"/>
        <v>1471.4364450667861</v>
      </c>
      <c r="O177" s="41">
        <f t="shared" ca="1" si="64"/>
        <v>1546.5460770705242</v>
      </c>
      <c r="P177" s="42">
        <f ca="1">SUM(P158:P176)</f>
        <v>1618.9472175931519</v>
      </c>
    </row>
    <row r="178" spans="1:16" s="2" customFormat="1" x14ac:dyDescent="0.3">
      <c r="B178" s="15" t="s">
        <v>231</v>
      </c>
      <c r="F178" s="90"/>
      <c r="G178" s="90"/>
      <c r="H178" s="91"/>
      <c r="I178" s="90"/>
      <c r="J178" s="90"/>
      <c r="K178" s="91"/>
      <c r="L178" s="117">
        <f>-(L107-K107)</f>
        <v>-421.11879497115933</v>
      </c>
      <c r="M178" s="117">
        <f t="shared" ref="M178:P178" si="65">-(M107-L107)</f>
        <v>-439.61586385216106</v>
      </c>
      <c r="N178" s="117">
        <f t="shared" si="65"/>
        <v>-458.92539126333031</v>
      </c>
      <c r="O178" s="117">
        <f t="shared" si="65"/>
        <v>-479.08306333783275</v>
      </c>
      <c r="P178" s="307">
        <f t="shared" si="65"/>
        <v>-500.12613367357426</v>
      </c>
    </row>
    <row r="179" spans="1:16" s="2" customFormat="1" x14ac:dyDescent="0.3">
      <c r="B179" s="13" t="s">
        <v>229</v>
      </c>
      <c r="F179" s="90"/>
      <c r="G179" s="90"/>
      <c r="H179" s="91"/>
      <c r="I179" s="90"/>
      <c r="J179" s="90"/>
      <c r="K179" s="91"/>
      <c r="L179" s="41">
        <f ca="1">L177+L178</f>
        <v>770.43273405953028</v>
      </c>
      <c r="M179" s="41">
        <f t="shared" ref="M179:P179" ca="1" si="66">M177+M178</f>
        <v>966.3377193439901</v>
      </c>
      <c r="N179" s="41">
        <f t="shared" ca="1" si="66"/>
        <v>1012.5110538034558</v>
      </c>
      <c r="O179" s="41">
        <f t="shared" ca="1" si="66"/>
        <v>1067.4630137326915</v>
      </c>
      <c r="P179" s="42">
        <f t="shared" ca="1" si="66"/>
        <v>1118.8210839195776</v>
      </c>
    </row>
    <row r="180" spans="1:16" s="2" customFormat="1" x14ac:dyDescent="0.3">
      <c r="B180" s="15" t="s">
        <v>182</v>
      </c>
      <c r="F180" s="90"/>
      <c r="G180" s="90"/>
      <c r="H180" s="91"/>
      <c r="I180" s="90"/>
      <c r="J180" s="90"/>
      <c r="K180" s="91"/>
      <c r="L180" s="60">
        <f>'LBO Transaction Inputs'!F111+'LBO Transaction Inputs'!F121</f>
        <v>-95</v>
      </c>
      <c r="M180" s="60">
        <f>'LBO Transaction Inputs'!G111+'LBO Transaction Inputs'!G121</f>
        <v>-95</v>
      </c>
      <c r="N180" s="60">
        <f>'LBO Transaction Inputs'!H111+'LBO Transaction Inputs'!H121</f>
        <v>-95</v>
      </c>
      <c r="O180" s="60">
        <f>'LBO Transaction Inputs'!I111+'LBO Transaction Inputs'!I121</f>
        <v>-95</v>
      </c>
      <c r="P180" s="63">
        <f>'LBO Transaction Inputs'!J111+'LBO Transaction Inputs'!J121</f>
        <v>-95</v>
      </c>
    </row>
    <row r="181" spans="1:16" s="2" customFormat="1" x14ac:dyDescent="0.3">
      <c r="B181" s="15" t="s">
        <v>267</v>
      </c>
      <c r="F181" s="90"/>
      <c r="G181" s="90"/>
      <c r="H181" s="91"/>
      <c r="I181" s="90"/>
      <c r="J181" s="90"/>
      <c r="K181" s="91"/>
      <c r="L181" s="60">
        <f ca="1">-MIN('LBO Transaction Inputs'!$O$97+K182,L179+L180)</f>
        <v>-675.43273405953028</v>
      </c>
      <c r="M181" s="60">
        <f ca="1">-MIN('LBO Transaction Inputs'!$O$97+L182,M179+M180)</f>
        <v>-764.56726594046972</v>
      </c>
      <c r="N181" s="60">
        <f ca="1">-MIN('LBO Transaction Inputs'!$O$97+M182,N179+N180)</f>
        <v>-720</v>
      </c>
      <c r="O181" s="60">
        <f ca="1">-MIN('LBO Transaction Inputs'!$O$97+N182,O179+O180)</f>
        <v>-720</v>
      </c>
      <c r="P181" s="63">
        <f ca="1">-MIN('LBO Transaction Inputs'!$O$97+O182,P179+P180)</f>
        <v>-720</v>
      </c>
    </row>
    <row r="182" spans="1:16" s="2" customFormat="1" x14ac:dyDescent="0.3">
      <c r="B182" s="15" t="s">
        <v>273</v>
      </c>
      <c r="F182" s="90"/>
      <c r="G182" s="90"/>
      <c r="H182" s="91"/>
      <c r="I182" s="90"/>
      <c r="J182" s="90"/>
      <c r="K182" s="91">
        <v>0</v>
      </c>
      <c r="L182" s="60">
        <f ca="1">K182+'LBO Transaction Inputs'!$O$97+LBO!L181</f>
        <v>44.567265940469724</v>
      </c>
      <c r="M182" s="60">
        <f ca="1">L182+'LBO Transaction Inputs'!$O$97+LBO!M181</f>
        <v>0</v>
      </c>
      <c r="N182" s="60">
        <f ca="1">M182+'LBO Transaction Inputs'!$O$97+LBO!N181</f>
        <v>0</v>
      </c>
      <c r="O182" s="60">
        <f ca="1">N182+'LBO Transaction Inputs'!$O$97+LBO!O181</f>
        <v>0</v>
      </c>
      <c r="P182" s="63">
        <f ca="1">O182+'LBO Transaction Inputs'!$O$97+LBO!P181</f>
        <v>0</v>
      </c>
    </row>
    <row r="183" spans="1:16" s="2" customFormat="1" x14ac:dyDescent="0.3">
      <c r="A183" s="2" t="s">
        <v>101</v>
      </c>
      <c r="B183" s="15"/>
      <c r="F183" s="90"/>
      <c r="G183" s="90"/>
      <c r="H183" s="91"/>
      <c r="I183" s="90"/>
      <c r="J183" s="90"/>
      <c r="K183" s="91"/>
      <c r="L183" s="51"/>
      <c r="M183" s="51"/>
      <c r="N183" s="51"/>
      <c r="O183" s="51"/>
      <c r="P183" s="114"/>
    </row>
    <row r="184" spans="1:16" s="2" customFormat="1" x14ac:dyDescent="0.3">
      <c r="B184" s="13" t="s">
        <v>230</v>
      </c>
      <c r="F184" s="90"/>
      <c r="G184" s="90"/>
      <c r="H184" s="91"/>
      <c r="I184" s="90"/>
      <c r="J184" s="90"/>
      <c r="K184" s="91"/>
      <c r="L184" s="41">
        <f ca="1">L179+L180+L181</f>
        <v>0</v>
      </c>
      <c r="M184" s="41">
        <f t="shared" ref="M184:P184" ca="1" si="67">M179+M180+M181</f>
        <v>106.77045340352038</v>
      </c>
      <c r="N184" s="41">
        <f t="shared" ca="1" si="67"/>
        <v>197.51105380345575</v>
      </c>
      <c r="O184" s="41">
        <f t="shared" ca="1" si="67"/>
        <v>252.46301373269148</v>
      </c>
      <c r="P184" s="42">
        <f t="shared" ca="1" si="67"/>
        <v>303.82108391957763</v>
      </c>
    </row>
    <row r="185" spans="1:16" s="2" customFormat="1" x14ac:dyDescent="0.3">
      <c r="B185" s="13"/>
      <c r="F185" s="90"/>
      <c r="G185" s="90"/>
      <c r="H185" s="91"/>
      <c r="I185" s="90"/>
      <c r="J185" s="90"/>
      <c r="K185" s="91"/>
      <c r="L185" s="90"/>
      <c r="M185" s="90"/>
      <c r="N185" s="90"/>
      <c r="O185" s="90"/>
      <c r="P185" s="91"/>
    </row>
    <row r="186" spans="1:16" s="2" customFormat="1" x14ac:dyDescent="0.3">
      <c r="B186" s="13" t="s">
        <v>233</v>
      </c>
      <c r="F186" s="90"/>
      <c r="G186" s="90"/>
      <c r="H186" s="91"/>
      <c r="I186" s="90"/>
      <c r="J186" s="90"/>
      <c r="K186" s="91"/>
      <c r="L186" s="90"/>
      <c r="M186" s="90"/>
      <c r="N186" s="90"/>
      <c r="O186" s="90"/>
      <c r="P186" s="91"/>
    </row>
    <row r="187" spans="1:16" s="2" customFormat="1" x14ac:dyDescent="0.3">
      <c r="B187" s="15" t="s">
        <v>234</v>
      </c>
      <c r="F187" s="90"/>
      <c r="G187" s="90"/>
      <c r="H187" s="91"/>
      <c r="I187" s="90"/>
      <c r="J187" s="90"/>
      <c r="K187" s="91"/>
      <c r="L187" s="60"/>
      <c r="M187" s="60"/>
      <c r="N187" s="60"/>
      <c r="O187" s="60"/>
      <c r="P187" s="63"/>
    </row>
    <row r="188" spans="1:16" s="2" customFormat="1" x14ac:dyDescent="0.3">
      <c r="B188" s="15" t="s">
        <v>235</v>
      </c>
      <c r="F188" s="90"/>
      <c r="G188" s="90"/>
      <c r="H188" s="91"/>
      <c r="I188" s="90"/>
      <c r="J188" s="90"/>
      <c r="K188" s="91"/>
      <c r="L188" s="60"/>
      <c r="M188" s="60"/>
      <c r="N188" s="60"/>
      <c r="O188" s="60"/>
      <c r="P188" s="63"/>
    </row>
    <row r="189" spans="1:16" s="2" customFormat="1" x14ac:dyDescent="0.3">
      <c r="B189" s="15" t="s">
        <v>236</v>
      </c>
      <c r="F189" s="90"/>
      <c r="G189" s="90"/>
      <c r="H189" s="91"/>
      <c r="I189" s="90"/>
      <c r="J189" s="90"/>
      <c r="K189" s="91"/>
      <c r="L189" s="60"/>
      <c r="M189" s="60"/>
      <c r="N189" s="60"/>
      <c r="O189" s="60"/>
      <c r="P189" s="63"/>
    </row>
    <row r="190" spans="1:16" s="2" customFormat="1" x14ac:dyDescent="0.3">
      <c r="B190" s="15" t="s">
        <v>237</v>
      </c>
      <c r="F190" s="90"/>
      <c r="G190" s="90"/>
      <c r="H190" s="91"/>
      <c r="I190" s="90"/>
      <c r="J190" s="90"/>
      <c r="K190" s="91"/>
      <c r="L190" s="60"/>
      <c r="M190" s="60"/>
      <c r="N190" s="60"/>
      <c r="O190" s="60"/>
      <c r="P190" s="63"/>
    </row>
    <row r="191" spans="1:16" s="2" customFormat="1" x14ac:dyDescent="0.3">
      <c r="B191" s="85" t="s">
        <v>279</v>
      </c>
      <c r="C191" s="86"/>
      <c r="D191" s="86"/>
      <c r="E191" s="86"/>
      <c r="F191" s="86"/>
      <c r="G191" s="86"/>
      <c r="H191" s="254"/>
      <c r="I191" s="86"/>
      <c r="J191" s="86"/>
      <c r="K191" s="254"/>
      <c r="L191" s="250"/>
      <c r="M191" s="250"/>
      <c r="N191" s="250"/>
      <c r="O191" s="250"/>
      <c r="P191" s="252"/>
    </row>
    <row r="192" spans="1:16" s="2" customFormat="1" x14ac:dyDescent="0.3">
      <c r="B192" s="13" t="s">
        <v>238</v>
      </c>
      <c r="F192" s="90"/>
      <c r="G192" s="90"/>
      <c r="H192" s="91"/>
      <c r="I192" s="90"/>
      <c r="J192" s="90"/>
      <c r="K192" s="91"/>
      <c r="L192" s="41">
        <f>SUM(L187:L191)</f>
        <v>0</v>
      </c>
      <c r="M192" s="41">
        <f>SUM(M187:M190)</f>
        <v>0</v>
      </c>
      <c r="N192" s="41">
        <f>SUM(N187:N190)</f>
        <v>0</v>
      </c>
      <c r="O192" s="41">
        <f>SUM(O187:O190)</f>
        <v>0</v>
      </c>
      <c r="P192" s="42">
        <f>SUM(P187:P190)</f>
        <v>0</v>
      </c>
    </row>
    <row r="193" spans="1:16" s="2" customFormat="1" x14ac:dyDescent="0.3">
      <c r="B193" s="13"/>
      <c r="F193" s="90"/>
      <c r="G193" s="90"/>
      <c r="H193" s="91"/>
      <c r="I193" s="90"/>
      <c r="J193" s="90"/>
      <c r="K193" s="91"/>
      <c r="L193" s="90"/>
      <c r="M193" s="90"/>
      <c r="N193" s="90"/>
      <c r="O193" s="90"/>
      <c r="P193" s="91"/>
    </row>
    <row r="194" spans="1:16" s="2" customFormat="1" x14ac:dyDescent="0.3">
      <c r="B194" s="13" t="s">
        <v>239</v>
      </c>
      <c r="F194" s="90"/>
      <c r="G194" s="90"/>
      <c r="H194" s="91"/>
      <c r="I194" s="90"/>
      <c r="J194" s="90"/>
      <c r="K194" s="91"/>
      <c r="L194" s="41">
        <f ca="1">IF((L184+L192)&gt;0,(L184+L192),0)</f>
        <v>0</v>
      </c>
      <c r="M194" s="41">
        <f ca="1">IF((M184+M192)&gt;0,(M184+M192),0)</f>
        <v>106.77045340352038</v>
      </c>
      <c r="N194" s="41">
        <f ca="1">IF((N184+N192)&gt;0,(N184+N192),0)</f>
        <v>197.51105380345575</v>
      </c>
      <c r="O194" s="41">
        <f ca="1">IF((O184+O192)&gt;0,(O184+O192),0)</f>
        <v>252.46301373269148</v>
      </c>
      <c r="P194" s="42">
        <f ca="1">IF((P184+P192)&gt;0,(P184+P192),0)</f>
        <v>303.82108391957763</v>
      </c>
    </row>
    <row r="195" spans="1:16" s="2" customFormat="1" x14ac:dyDescent="0.3">
      <c r="B195" s="13"/>
      <c r="F195" s="90"/>
      <c r="G195" s="90"/>
      <c r="H195" s="91"/>
      <c r="I195" s="90"/>
      <c r="J195" s="90"/>
      <c r="K195" s="91"/>
      <c r="L195" s="90"/>
      <c r="M195" s="90"/>
      <c r="N195" s="90"/>
      <c r="O195" s="90"/>
      <c r="P195" s="91"/>
    </row>
    <row r="196" spans="1:16" s="2" customFormat="1" x14ac:dyDescent="0.3">
      <c r="B196" s="15" t="s">
        <v>240</v>
      </c>
      <c r="F196" s="90"/>
      <c r="G196" s="90"/>
      <c r="H196" s="91"/>
      <c r="I196" s="90"/>
      <c r="J196" s="90"/>
      <c r="K196" s="91"/>
      <c r="L196" s="41">
        <f>K98</f>
        <v>250</v>
      </c>
      <c r="M196" s="41">
        <f>L196</f>
        <v>250</v>
      </c>
      <c r="N196" s="41">
        <f>M196</f>
        <v>250</v>
      </c>
      <c r="O196" s="41">
        <f>N196</f>
        <v>250</v>
      </c>
      <c r="P196" s="42">
        <f>O196</f>
        <v>250</v>
      </c>
    </row>
    <row r="197" spans="1:16" s="2" customFormat="1" x14ac:dyDescent="0.3">
      <c r="B197" s="13" t="s">
        <v>241</v>
      </c>
      <c r="F197" s="90"/>
      <c r="G197" s="90"/>
      <c r="H197" s="91"/>
      <c r="I197" s="90"/>
      <c r="J197" s="90"/>
      <c r="K197" s="91"/>
      <c r="L197" s="41">
        <f ca="1">L194+L196</f>
        <v>250</v>
      </c>
      <c r="M197" s="41">
        <f ca="1">M194+M196</f>
        <v>356.77045340352038</v>
      </c>
      <c r="N197" s="41">
        <f ca="1">N194+N196</f>
        <v>447.51105380345575</v>
      </c>
      <c r="O197" s="41">
        <f ca="1">O194+O196</f>
        <v>502.46301373269148</v>
      </c>
      <c r="P197" s="42">
        <f ca="1">P194+P196</f>
        <v>553.82108391957763</v>
      </c>
    </row>
    <row r="198" spans="1:16" x14ac:dyDescent="0.3">
      <c r="B198" s="15" t="s">
        <v>127</v>
      </c>
      <c r="F198" s="2"/>
      <c r="G198" s="2"/>
      <c r="H198" s="11"/>
      <c r="I198" s="2"/>
      <c r="J198" s="2"/>
      <c r="K198" s="11"/>
      <c r="L198" s="2"/>
      <c r="M198" s="2"/>
      <c r="N198" s="2"/>
      <c r="O198" s="2"/>
      <c r="P198" s="11"/>
    </row>
    <row r="199" spans="1:16" x14ac:dyDescent="0.3">
      <c r="A199" t="s">
        <v>101</v>
      </c>
      <c r="B199" s="34"/>
      <c r="C199" s="61"/>
      <c r="D199" s="61"/>
      <c r="E199" s="61"/>
      <c r="F199" s="47"/>
      <c r="G199" s="44"/>
      <c r="H199" s="45"/>
      <c r="I199" s="44"/>
      <c r="J199" s="44"/>
      <c r="K199" s="45"/>
      <c r="L199" s="44"/>
      <c r="M199" s="44"/>
      <c r="N199" s="44"/>
      <c r="O199" s="44"/>
      <c r="P199" s="45"/>
    </row>
  </sheetData>
  <mergeCells count="12">
    <mergeCell ref="I93:K93"/>
    <mergeCell ref="F93:H93"/>
    <mergeCell ref="L93:P93"/>
    <mergeCell ref="F155:H155"/>
    <mergeCell ref="I155:K155"/>
    <mergeCell ref="L155:P155"/>
    <mergeCell ref="F9:H9"/>
    <mergeCell ref="L9:P9"/>
    <mergeCell ref="I9:K9"/>
    <mergeCell ref="F55:H55"/>
    <mergeCell ref="L55:P55"/>
    <mergeCell ref="I55:K55"/>
  </mergeCells>
  <pageMargins left="0.7" right="0.7" top="0.75" bottom="0.75" header="0.3" footer="0.3"/>
  <pageSetup orientation="portrait" r:id="rId1"/>
  <ignoredErrors>
    <ignoredError sqref="L98 K13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LBO Transaction Inputs</vt:lpstr>
      <vt:lpstr>LBO</vt:lpstr>
      <vt:lpstr>offer_premium</vt:lpstr>
      <vt:lpstr>offer_price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hgwaller</dc:creator>
  <cp:lastModifiedBy>harshitha js</cp:lastModifiedBy>
  <dcterms:created xsi:type="dcterms:W3CDTF">2014-09-02T20:31:43Z</dcterms:created>
  <dcterms:modified xsi:type="dcterms:W3CDTF">2023-11-06T15:20:47Z</dcterms:modified>
</cp:coreProperties>
</file>