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harsh\OneDrive\Desktop\CASES\casesinfm\"/>
    </mc:Choice>
  </mc:AlternateContent>
  <xr:revisionPtr revIDLastSave="0" documentId="13_ncr:1_{3C127D4D-1C3D-4EB4-80EE-F7EAAE3D8F06}" xr6:coauthVersionLast="47" xr6:coauthVersionMax="47" xr10:uidLastSave="{00000000-0000-0000-0000-000000000000}"/>
  <bookViews>
    <workbookView xWindow="-108" yWindow="-108" windowWidth="23256" windowHeight="12456" activeTab="1" xr2:uid="{00000000-000D-0000-FFFF-FFFF00000000}"/>
  </bookViews>
  <sheets>
    <sheet name="1.2.Comps,Transtn" sheetId="12" r:id="rId1"/>
    <sheet name="DCF" sheetId="9" r:id="rId2"/>
    <sheet name="WACC" sheetId="10" r:id="rId3"/>
    <sheet name="Copyright" sheetId="8" r:id="rId4"/>
    <sheet name="Exhibit 4 (IS)" sheetId="1" r:id="rId5"/>
    <sheet name="Exhibit 5 (BS)" sheetId="2" r:id="rId6"/>
    <sheet name="Exhibit 6 (CF)" sheetId="3" r:id="rId7"/>
    <sheet name="Exhibit 7 (Segments)" sheetId="4" r:id="rId8"/>
    <sheet name="Exhibit 9 (Comps)" sheetId="5" r:id="rId9"/>
    <sheet name="Exhibit 10 (Forecasts)" sheetId="6" r:id="rId10"/>
    <sheet name="tesla_wacc" sheetId="11" r:id="rId11"/>
  </sheets>
  <definedNames>
    <definedName name="_ftn1" localSheetId="9">'Exhibit 10 (Forecasts)'!$A$16</definedName>
    <definedName name="_ftn2" localSheetId="9">'Exhibit 10 (Forecasts)'!$A$17</definedName>
    <definedName name="_ftnref1" localSheetId="9">'Exhibit 10 (Forecasts)'!$B$2</definedName>
    <definedName name="_ftnref2" localSheetId="9">'Exhibit 10 (Forecasts)'!$C$2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7" i="9" l="1"/>
  <c r="Q8" i="12"/>
  <c r="Q9" i="12"/>
  <c r="Q10" i="12"/>
  <c r="Q11" i="12"/>
  <c r="Q12" i="12"/>
  <c r="Q7" i="12"/>
  <c r="D74" i="12" l="1"/>
  <c r="C74" i="12"/>
  <c r="B74" i="12"/>
  <c r="D72" i="12"/>
  <c r="C72" i="12"/>
  <c r="B72" i="12"/>
  <c r="D70" i="12"/>
  <c r="C70" i="12"/>
  <c r="B70" i="12"/>
  <c r="H52" i="12"/>
  <c r="H53" i="12"/>
  <c r="H57" i="12" s="1"/>
  <c r="H51" i="12"/>
  <c r="H55" i="12" s="1"/>
  <c r="H56" i="12"/>
  <c r="L7" i="12"/>
  <c r="H43" i="12" s="1"/>
  <c r="O8" i="12"/>
  <c r="R8" i="12" s="1"/>
  <c r="O9" i="12"/>
  <c r="R9" i="12" s="1"/>
  <c r="O10" i="12"/>
  <c r="R10" i="12" s="1"/>
  <c r="O11" i="12"/>
  <c r="R11" i="12" s="1"/>
  <c r="O12" i="12"/>
  <c r="R12" i="12" s="1"/>
  <c r="O13" i="12"/>
  <c r="O14" i="12"/>
  <c r="O15" i="12"/>
  <c r="O16" i="12"/>
  <c r="O17" i="12"/>
  <c r="O18" i="12"/>
  <c r="O7" i="12"/>
  <c r="R7" i="12" s="1"/>
  <c r="F20" i="9"/>
  <c r="F21" i="9" s="1"/>
  <c r="F22" i="9" s="1"/>
  <c r="G20" i="9"/>
  <c r="F17" i="9"/>
  <c r="O17" i="9"/>
  <c r="P15" i="9"/>
  <c r="F15" i="9"/>
  <c r="P16" i="9"/>
  <c r="O15" i="9"/>
  <c r="A55" i="12"/>
  <c r="B54" i="12"/>
  <c r="H44" i="12" l="1"/>
  <c r="H48" i="12" s="1"/>
  <c r="H45" i="12"/>
  <c r="H49" i="12" s="1"/>
  <c r="H47" i="12"/>
  <c r="D54" i="12"/>
  <c r="E36" i="12" l="1"/>
  <c r="N34" i="12"/>
  <c r="O34" i="12" s="1"/>
  <c r="P34" i="12" s="1"/>
  <c r="N29" i="12"/>
  <c r="N24" i="12"/>
  <c r="O24" i="12" s="1"/>
  <c r="P24" i="12" s="1"/>
  <c r="N18" i="12"/>
  <c r="M18" i="12"/>
  <c r="N17" i="12"/>
  <c r="M17" i="12"/>
  <c r="N16" i="12"/>
  <c r="M16" i="12"/>
  <c r="N15" i="12"/>
  <c r="M15" i="12"/>
  <c r="N14" i="12"/>
  <c r="M14" i="12"/>
  <c r="N13" i="12"/>
  <c r="M13" i="12"/>
  <c r="N12" i="12"/>
  <c r="M12" i="12"/>
  <c r="N11" i="12"/>
  <c r="M11" i="12"/>
  <c r="N10" i="12"/>
  <c r="M10" i="12"/>
  <c r="N9" i="12"/>
  <c r="M9" i="12"/>
  <c r="N8" i="12"/>
  <c r="M8" i="12"/>
  <c r="N7" i="12"/>
  <c r="M7" i="12"/>
  <c r="D44" i="12" s="1"/>
  <c r="D48" i="12" s="1"/>
  <c r="D52" i="12" s="1"/>
  <c r="D56" i="12" s="1"/>
  <c r="M5" i="5"/>
  <c r="M6" i="5"/>
  <c r="M7" i="5"/>
  <c r="M8" i="5"/>
  <c r="M9" i="5"/>
  <c r="M10" i="5"/>
  <c r="M11" i="5"/>
  <c r="M12" i="5"/>
  <c r="M13" i="5"/>
  <c r="M14" i="5"/>
  <c r="M15" i="5"/>
  <c r="M16" i="5"/>
  <c r="L6" i="5"/>
  <c r="L7" i="5"/>
  <c r="L8" i="5"/>
  <c r="L9" i="5"/>
  <c r="L10" i="5"/>
  <c r="L11" i="5"/>
  <c r="L12" i="5"/>
  <c r="L13" i="5"/>
  <c r="L14" i="5"/>
  <c r="L15" i="5"/>
  <c r="L16" i="5"/>
  <c r="L5" i="5"/>
  <c r="D45" i="12" l="1"/>
  <c r="D49" i="12" s="1"/>
  <c r="D53" i="12" s="1"/>
  <c r="D57" i="12" s="1"/>
  <c r="D43" i="12"/>
  <c r="D47" i="12" s="1"/>
  <c r="D51" i="12" s="1"/>
  <c r="D55" i="12" s="1"/>
  <c r="F45" i="12"/>
  <c r="F49" i="12" s="1"/>
  <c r="F53" i="12" s="1"/>
  <c r="F57" i="12" s="1"/>
  <c r="F44" i="12"/>
  <c r="F48" i="12" s="1"/>
  <c r="F52" i="12" s="1"/>
  <c r="F56" i="12" s="1"/>
  <c r="F43" i="12"/>
  <c r="F47" i="12" s="1"/>
  <c r="F51" i="12" s="1"/>
  <c r="F55" i="12" s="1"/>
  <c r="O29" i="12"/>
  <c r="P29" i="12" s="1"/>
  <c r="M22" i="5" l="1"/>
  <c r="E34" i="5"/>
  <c r="C24" i="9"/>
  <c r="C9" i="11"/>
  <c r="C8" i="11"/>
  <c r="L7" i="11"/>
  <c r="C5" i="11" s="1"/>
  <c r="O7" i="11"/>
  <c r="O6" i="11"/>
  <c r="G7" i="11"/>
  <c r="C4" i="11"/>
  <c r="C7" i="11"/>
  <c r="C32" i="9"/>
  <c r="E11" i="10"/>
  <c r="C10" i="10" s="1"/>
  <c r="C12" i="10" s="1"/>
  <c r="C25" i="9" s="1"/>
  <c r="M32" i="5"/>
  <c r="M27" i="5"/>
  <c r="N27" i="5" s="1"/>
  <c r="O27" i="5" s="1"/>
  <c r="C6" i="10"/>
  <c r="E8" i="9"/>
  <c r="F16" i="9"/>
  <c r="D12" i="9"/>
  <c r="E12" i="9"/>
  <c r="C12" i="9"/>
  <c r="D52" i="2"/>
  <c r="E52" i="2"/>
  <c r="C52" i="2"/>
  <c r="D10" i="9"/>
  <c r="E10" i="9"/>
  <c r="C10" i="9"/>
  <c r="D8" i="9"/>
  <c r="C8" i="9"/>
  <c r="E6" i="9"/>
  <c r="D6" i="9"/>
  <c r="E42" i="4"/>
  <c r="D42" i="4"/>
  <c r="C42" i="4"/>
  <c r="E34" i="4"/>
  <c r="D34" i="4"/>
  <c r="C34" i="4"/>
  <c r="E19" i="4"/>
  <c r="E13" i="4"/>
  <c r="D13" i="4"/>
  <c r="C13" i="4"/>
  <c r="E7" i="4"/>
  <c r="D7" i="4"/>
  <c r="C7" i="4"/>
  <c r="E56" i="3"/>
  <c r="D56" i="3"/>
  <c r="C56" i="3"/>
  <c r="E50" i="3"/>
  <c r="D50" i="3"/>
  <c r="C50" i="3"/>
  <c r="E40" i="3"/>
  <c r="D40" i="3"/>
  <c r="C40" i="3"/>
  <c r="E28" i="3"/>
  <c r="D28" i="3"/>
  <c r="C28" i="3"/>
  <c r="E48" i="2"/>
  <c r="D48" i="2"/>
  <c r="C48" i="2"/>
  <c r="E39" i="2"/>
  <c r="D39" i="2"/>
  <c r="D49" i="2" s="1"/>
  <c r="C39" i="2"/>
  <c r="E32" i="2"/>
  <c r="D32" i="2"/>
  <c r="C32" i="2"/>
  <c r="E23" i="2"/>
  <c r="D23" i="2"/>
  <c r="C23" i="2"/>
  <c r="E15" i="2"/>
  <c r="E24" i="2" s="1"/>
  <c r="D15" i="2"/>
  <c r="C15" i="2"/>
  <c r="N22" i="5" l="1"/>
  <c r="O22" i="5" s="1"/>
  <c r="O26" i="9"/>
  <c r="H12" i="9"/>
  <c r="G10" i="9"/>
  <c r="J10" i="9"/>
  <c r="H10" i="9"/>
  <c r="I12" i="9"/>
  <c r="L12" i="9"/>
  <c r="F12" i="9"/>
  <c r="N32" i="5"/>
  <c r="O32" i="5" s="1"/>
  <c r="O12" i="9"/>
  <c r="K12" i="9"/>
  <c r="G12" i="9"/>
  <c r="M10" i="9"/>
  <c r="N10" i="9"/>
  <c r="I10" i="9"/>
  <c r="N12" i="9"/>
  <c r="J12" i="9"/>
  <c r="F10" i="9"/>
  <c r="L10" i="9"/>
  <c r="G15" i="9"/>
  <c r="M12" i="9"/>
  <c r="O10" i="9"/>
  <c r="K10" i="9"/>
  <c r="E49" i="2"/>
  <c r="E50" i="2" s="1"/>
  <c r="C24" i="2"/>
  <c r="D24" i="2"/>
  <c r="C49" i="2"/>
  <c r="C50" i="2" s="1"/>
  <c r="D50" i="2"/>
  <c r="C28" i="9" l="1"/>
  <c r="O27" i="9"/>
  <c r="G21" i="9"/>
  <c r="F18" i="9"/>
  <c r="F19" i="9" s="1"/>
  <c r="G16" i="9"/>
  <c r="G17" i="9" s="1"/>
  <c r="H15" i="9"/>
  <c r="H20" i="9" s="1"/>
  <c r="H21" i="9" s="1"/>
  <c r="G18" i="9"/>
  <c r="G19" i="9" l="1"/>
  <c r="G22" i="9"/>
  <c r="I15" i="9"/>
  <c r="I20" i="9" s="1"/>
  <c r="I21" i="9" s="1"/>
  <c r="H16" i="9"/>
  <c r="H17" i="9" s="1"/>
  <c r="H18" i="9"/>
  <c r="H19" i="9" s="1"/>
  <c r="H22" i="9" l="1"/>
  <c r="J15" i="9"/>
  <c r="J20" i="9" s="1"/>
  <c r="J21" i="9" s="1"/>
  <c r="I16" i="9"/>
  <c r="I17" i="9" s="1"/>
  <c r="I18" i="9"/>
  <c r="I19" i="9" s="1"/>
  <c r="I22" i="9" l="1"/>
  <c r="K15" i="9"/>
  <c r="K20" i="9" s="1"/>
  <c r="K21" i="9" s="1"/>
  <c r="J16" i="9"/>
  <c r="J17" i="9" s="1"/>
  <c r="J18" i="9"/>
  <c r="J19" i="9" s="1"/>
  <c r="J22" i="9" l="1"/>
  <c r="L15" i="9"/>
  <c r="L20" i="9" s="1"/>
  <c r="L21" i="9" s="1"/>
  <c r="K16" i="9"/>
  <c r="K17" i="9" s="1"/>
  <c r="K18" i="9"/>
  <c r="K19" i="9" s="1"/>
  <c r="C29" i="9" l="1"/>
  <c r="C30" i="9" s="1"/>
  <c r="C33" i="9" s="1"/>
  <c r="C35" i="9" s="1"/>
  <c r="K22" i="9"/>
  <c r="M15" i="9"/>
  <c r="M20" i="9" s="1"/>
  <c r="M21" i="9" s="1"/>
  <c r="L16" i="9"/>
  <c r="L17" i="9" s="1"/>
  <c r="L18" i="9"/>
  <c r="L19" i="9" s="1"/>
  <c r="L22" i="9" l="1"/>
  <c r="N15" i="9"/>
  <c r="N20" i="9" s="1"/>
  <c r="N21" i="9" s="1"/>
  <c r="M16" i="9"/>
  <c r="M17" i="9" s="1"/>
  <c r="M18" i="9"/>
  <c r="M19" i="9" s="1"/>
  <c r="M22" i="9" l="1"/>
  <c r="O20" i="9"/>
  <c r="O21" i="9" s="1"/>
  <c r="N16" i="9"/>
  <c r="N17" i="9" s="1"/>
  <c r="N18" i="9"/>
  <c r="N19" i="9" s="1"/>
  <c r="N22" i="9" l="1"/>
  <c r="O16" i="9"/>
  <c r="O18" i="9"/>
  <c r="O19" i="9" s="1"/>
  <c r="O22" i="9" l="1"/>
  <c r="F30" i="9" l="1"/>
</calcChain>
</file>

<file path=xl/sharedStrings.xml><?xml version="1.0" encoding="utf-8"?>
<sst xmlns="http://schemas.openxmlformats.org/spreadsheetml/2006/main" count="466" uniqueCount="277">
  <si>
    <t>Consolidated Statement of Operations</t>
  </si>
  <si>
    <t>for the year ended December 31</t>
  </si>
  <si>
    <t>(in € millions, except share and per share data)</t>
  </si>
  <si>
    <t>Revenue</t>
  </si>
  <si>
    <t>Cost of Revenue</t>
  </si>
  <si>
    <t>Gross Profit</t>
  </si>
  <si>
    <t>Research and Development</t>
  </si>
  <si>
    <t>Sales and Marketing</t>
  </si>
  <si>
    <t>General and Administrative</t>
  </si>
  <si>
    <t>Operating Loss</t>
  </si>
  <si>
    <t>Finance Income</t>
  </si>
  <si>
    <t>Finance Costs</t>
  </si>
  <si>
    <t>Share in Earnings of Associates and Joint Ventures</t>
  </si>
  <si>
    <t>—  </t>
  </si>
  <si>
    <t>Finance Income/(Costs) - net</t>
  </si>
  <si>
    <t>Loss Before Tax</t>
  </si>
  <si>
    <t>Income Tax Expense</t>
  </si>
  <si>
    <t>Net Loss Attributable to Owners of the Parent</t>
  </si>
  <si>
    <t>Net Loss per Share Attributable to Owners of the Parent</t>
  </si>
  <si>
    <t>Basic and Diluted</t>
  </si>
  <si>
    <t>Weighted-Average Ordinary Shares Outstanding</t>
  </si>
  <si>
    <t>Consolidated Statement of Financial Position</t>
  </si>
  <si>
    <t>As at December 31</t>
  </si>
  <si>
    <t>(in € millions)</t>
  </si>
  <si>
    <t>Assets</t>
  </si>
  <si>
    <t>Non-Current Assets</t>
  </si>
  <si>
    <t>Property and Equipment</t>
  </si>
  <si>
    <t>Intangible Assets Including Goodwill</t>
  </si>
  <si>
    <t>Investment in Associates and Joint Ventures</t>
  </si>
  <si>
    <t>Long-Term Investment</t>
  </si>
  <si>
    <t>Restricted Cash and Other Non-Current Assets</t>
  </si>
  <si>
    <t>Deferred Tax Assets</t>
  </si>
  <si>
    <t>Current Assets</t>
  </si>
  <si>
    <t>Trade and Other Receivables</t>
  </si>
  <si>
    <t>Income Tax Receivable</t>
  </si>
  <si>
    <t>Short-Term Investments</t>
  </si>
  <si>
    <t>Cash and Cash Equivalents</t>
  </si>
  <si>
    <t>Other Current Assets</t>
  </si>
  <si>
    <t>Total Assets</t>
  </si>
  <si>
    <t>Equity/(Deficit) and Liabilities</t>
  </si>
  <si>
    <t>Equity/(Deficit)</t>
  </si>
  <si>
    <t>Share Capital</t>
  </si>
  <si>
    <t>Other Paid-In Capital</t>
  </si>
  <si>
    <t>Other Reserves</t>
  </si>
  <si>
    <t>Accumulated Deficit</t>
  </si>
  <si>
    <t>Equity/(Deficit) Attributable to Owners of the Parent</t>
  </si>
  <si>
    <t>Non-Current Liabilities</t>
  </si>
  <si>
    <t>Convertible Notes</t>
  </si>
  <si>
    <t>Accrued Expenses and Other Liabilities</t>
  </si>
  <si>
    <t>Provisions</t>
  </si>
  <si>
    <t>Deferred Tax Liabilities</t>
  </si>
  <si>
    <t>Current Liabilities</t>
  </si>
  <si>
    <t>Trade and Other Payables</t>
  </si>
  <si>
    <t>Income Tax Payable</t>
  </si>
  <si>
    <t>Deferred Revenue</t>
  </si>
  <si>
    <t>Derivative Liabilities</t>
  </si>
  <si>
    <t>Total Liabilities</t>
  </si>
  <si>
    <t>Total Equity/(Deficit) and Liabilities</t>
  </si>
  <si>
    <t>Consolidated Statement of Cash Flows</t>
  </si>
  <si>
    <t>Operating Activities</t>
  </si>
  <si>
    <t>Net Loss</t>
  </si>
  <si>
    <t>Adjustments to Reconcile Net Loss to Net Cash Flows</t>
  </si>
  <si>
    <t>Depreciation of Property and Equipment</t>
  </si>
  <si>
    <t>Amortization of Intangible Assets</t>
  </si>
  <si>
    <t>Share-Based Payments Expense</t>
  </si>
  <si>
    <t>Impairment Loss on Trade Receivables</t>
  </si>
  <si>
    <t>Net Foreign Exchange (Gains)/Losses</t>
  </si>
  <si>
    <t>Changes in Working Capital:</t>
  </si>
  <si>
    <t>Increase in Trade Receivables and Other Assets</t>
  </si>
  <si>
    <t>Increase in Trade and Other Liabilities</t>
  </si>
  <si>
    <t>Increase in Deferred Revenue</t>
  </si>
  <si>
    <t>Increase in Provisions</t>
  </si>
  <si>
    <t>Interest Received</t>
  </si>
  <si>
    <t>Interest Paid</t>
  </si>
  <si>
    <t>Income Tax Paid</t>
  </si>
  <si>
    <t>Net Cash Flows (used in)/from Operating Activities</t>
  </si>
  <si>
    <t>Investing Activities</t>
  </si>
  <si>
    <t>Business Combinations, net of Cash Acquired</t>
  </si>
  <si>
    <t>Purchases of Equipment</t>
  </si>
  <si>
    <t>Purchase of Intangibles</t>
  </si>
  <si>
    <t>Purchase of Short-Term Investments</t>
  </si>
  <si>
    <t>Sales and Maturities of Short-Term Investments</t>
  </si>
  <si>
    <t>Change in Restricted Cash</t>
  </si>
  <si>
    <t>Net Cash Flows Used in Investing Activities</t>
  </si>
  <si>
    <t>Financing Activities</t>
  </si>
  <si>
    <t>Finance Lease Payments</t>
  </si>
  <si>
    <t>Proceeds from Issuance of Convertible Notes, net of Costs</t>
  </si>
  <si>
    <t>Proceeds from Issuance of New Shares, net of Costs</t>
  </si>
  <si>
    <t>Proceeds from Issuance of Warrants</t>
  </si>
  <si>
    <t>Proceeds from Exercise of Share Options</t>
  </si>
  <si>
    <t>Net Cash Flow from Financing Activities</t>
  </si>
  <si>
    <t>Net Increase in Cash and Cash Equivalents</t>
  </si>
  <si>
    <t>Cash and Cash Equivalents at January 1</t>
  </si>
  <si>
    <t>Net Foreign Exchange Gains/(Losses) on Cash and Cash Equivalents</t>
  </si>
  <si>
    <t>Cash and Cash Equivalents at December 31</t>
  </si>
  <si>
    <t>(in € millions)</t>
  </si>
  <si>
    <t>Premium</t>
  </si>
  <si>
    <t>Ad-Supported</t>
  </si>
  <si>
    <t>Gross Loss</t>
  </si>
  <si>
    <t>Consolidated</t>
  </si>
  <si>
    <t>   226</t>
  </si>
  <si>
    <t>   401</t>
  </si>
  <si>
    <t>Reconciliation of Gross Profit</t>
  </si>
  <si>
    <t>General expenditures, finance income, finance costs, taxes, and share in earnings of associates and joint ventures are not allocated to individual segments as these are managed on an overall group basis. The reconciliation between reportable segment gross profit and loss to consolidated loss before tax is as follows:</t>
  </si>
  <si>
    <t>Segment Gross Profit</t>
  </si>
  <si>
    <t>Revenue by Country</t>
  </si>
  <si>
    <t>United States</t>
  </si>
  <si>
    <t>United Kingdom</t>
  </si>
  <si>
    <t>Luxembourg</t>
  </si>
  <si>
    <t>Other Countries</t>
  </si>
  <si>
    <t>Company Name</t>
  </si>
  <si>
    <t>Close Price (3/28/18)</t>
  </si>
  <si>
    <t>Shares Outstanding</t>
  </si>
  <si>
    <t>Market Capitalization</t>
  </si>
  <si>
    <r>
      <t>LTM</t>
    </r>
    <r>
      <rPr>
        <b/>
        <vertAlign val="superscript"/>
        <sz val="10"/>
        <color indexed="8"/>
        <rFont val="Arial"/>
        <family val="2"/>
      </rPr>
      <t>1</t>
    </r>
    <r>
      <rPr>
        <b/>
        <sz val="10"/>
        <color indexed="8"/>
        <rFont val="Arial"/>
        <family val="2"/>
      </rPr>
      <t xml:space="preserve"> Net Debt </t>
    </r>
  </si>
  <si>
    <t>Total Enterprise Value</t>
  </si>
  <si>
    <r>
      <t>LTM Tangible Book Value</t>
    </r>
    <r>
      <rPr>
        <b/>
        <vertAlign val="superscript"/>
        <sz val="10"/>
        <color indexed="8"/>
        <rFont val="Arial"/>
        <family val="2"/>
      </rPr>
      <t>2</t>
    </r>
    <r>
      <rPr>
        <b/>
        <sz val="10"/>
        <color indexed="8"/>
        <rFont val="Arial"/>
        <family val="2"/>
      </rPr>
      <t xml:space="preserve">/Share </t>
    </r>
  </si>
  <si>
    <t xml:space="preserve">LTM Total Revenue </t>
  </si>
  <si>
    <t xml:space="preserve">LTM EBITDA </t>
  </si>
  <si>
    <t xml:space="preserve">LTM 1 Year Total Revenues Growth % </t>
  </si>
  <si>
    <t xml:space="preserve">Alibaba Group Holding Limited </t>
  </si>
  <si>
    <t xml:space="preserve">Amazon.com, Inc. </t>
  </si>
  <si>
    <t xml:space="preserve">Apple Inc. </t>
  </si>
  <si>
    <t xml:space="preserve">Baidu, Inc. </t>
  </si>
  <si>
    <t xml:space="preserve">Comcast Corporation </t>
  </si>
  <si>
    <t xml:space="preserve">eBay Inc. </t>
  </si>
  <si>
    <t xml:space="preserve">Facebook, Inc. </t>
  </si>
  <si>
    <t xml:space="preserve">Netflix, Inc. </t>
  </si>
  <si>
    <t xml:space="preserve">Pandora Media, Inc. </t>
  </si>
  <si>
    <t xml:space="preserve">The Walt Disney Company </t>
  </si>
  <si>
    <t xml:space="preserve">Time Warner Inc. </t>
  </si>
  <si>
    <t xml:space="preserve">Twenty-First Century Fox, Inc. </t>
  </si>
  <si>
    <t xml:space="preserve">Twitter, Inc. </t>
  </si>
  <si>
    <t xml:space="preserve">Wayfair Inc. </t>
  </si>
  <si>
    <t xml:space="preserve">LTM EBIT Margin % </t>
  </si>
  <si>
    <r>
      <t>NTM Revenue</t>
    </r>
    <r>
      <rPr>
        <b/>
        <vertAlign val="superscript"/>
        <sz val="10"/>
        <color indexed="8"/>
        <rFont val="Arial"/>
        <family val="2"/>
      </rPr>
      <t>3</t>
    </r>
  </si>
  <si>
    <r>
      <t>NTM EBITDA</t>
    </r>
    <r>
      <rPr>
        <b/>
        <vertAlign val="superscript"/>
        <sz val="10"/>
        <color indexed="8"/>
        <rFont val="Arial"/>
        <family val="2"/>
      </rPr>
      <t>3</t>
    </r>
    <r>
      <rPr>
        <b/>
        <sz val="10"/>
        <color indexed="8"/>
        <rFont val="Arial"/>
        <family val="2"/>
      </rPr>
      <t xml:space="preserve"> </t>
    </r>
  </si>
  <si>
    <t>5 Year Beta</t>
  </si>
  <si>
    <t>TEV/Total Revenues LTM - Latest</t>
  </si>
  <si>
    <t>TEV/EBITDA LTM - Latest</t>
  </si>
  <si>
    <t>P/TangBV LTM - Latest</t>
  </si>
  <si>
    <t xml:space="preserve">NTM TEV/Forward Total Revenue (Capital IQ) </t>
  </si>
  <si>
    <t xml:space="preserve">NTM TEV/Forward EBITDA (Capital IQ) </t>
  </si>
  <si>
    <r>
      <t>NM</t>
    </r>
    <r>
      <rPr>
        <vertAlign val="superscript"/>
        <sz val="10"/>
        <rFont val="Arial"/>
        <family val="2"/>
      </rPr>
      <t>4</t>
    </r>
  </si>
  <si>
    <t>NM</t>
  </si>
  <si>
    <r>
      <t xml:space="preserve">Notes: </t>
    </r>
    <r>
      <rPr>
        <vertAlign val="superscript"/>
        <sz val="10"/>
        <rFont val="Arial"/>
        <family val="2"/>
      </rPr>
      <t>1</t>
    </r>
    <r>
      <rPr>
        <sz val="10"/>
        <rFont val="Arial"/>
        <family val="2"/>
      </rPr>
      <t xml:space="preserve"> LTM is last twelve months; 2 Tangible book value is assets, net of goodwill and other intangibles, less liabilities; 3 NTM is next twelve months.  NTM financials are consensus (average) analyst forecasts as compiled by Standard &amp; Poor's Capital IQ; 4 NM is not measurable</t>
    </r>
  </si>
  <si>
    <t>Year</t>
  </si>
  <si>
    <t>EBIT margin*</t>
  </si>
  <si>
    <t>* EBIT as a percentage of revenue, as assumed in Damadoran’s model.  Note negative margins in 2018 and 2019.</t>
  </si>
  <si>
    <t>** In € millions.  As indicated in Damadoran’s model as “reinvestment” in order to preserve the sales-to-capital ratio at 4.0.</t>
  </si>
  <si>
    <t>Capital Expenditures Less Depreciation Plus Increases in Working Capital**</t>
  </si>
  <si>
    <t>Product Number:</t>
  </si>
  <si>
    <t>Title:</t>
  </si>
  <si>
    <t>Prepared by:</t>
  </si>
  <si>
    <t>Last Revised:</t>
  </si>
  <si>
    <t xml:space="preserve">No part of this file may be reproduced, stored in a retrieval system, posted to the Internet, or transmitted in any form or by any means without the permission of Ivey Business School Foundation.  To order copies or request permission to reproduce materials, contact Ivey Publishing, Ivey Business School, Western University, London, Ontario, Canada, N6G 0N1; (t) 519.661.3208; (e) cases@ivey.ca; www.iveycases.com. Our goal is to publish materials of the highest quality; submit any errata to publishcases@ivey.ca. </t>
  </si>
  <si>
    <t>7B18N006</t>
  </si>
  <si>
    <t>© 2019 Ivey Business School Foundation</t>
  </si>
  <si>
    <t>Craig Dunbar, Steve Foerster, and Ken Mark</t>
  </si>
  <si>
    <t>Spotify's Direct-Listing IPO - Student Spreadsheet</t>
  </si>
  <si>
    <t>This spreadsheet supports the product Spotify's Direct-Listing IPO (9B18N006)</t>
  </si>
  <si>
    <t>Actual</t>
  </si>
  <si>
    <t>Forecasted</t>
  </si>
  <si>
    <t>Revenue Growth</t>
  </si>
  <si>
    <t>FCF = EBIT*(1-T) - (Changes in WC + Changes in NFA)</t>
  </si>
  <si>
    <t>EBIT</t>
  </si>
  <si>
    <t>EBIT Margin</t>
  </si>
  <si>
    <t>Netlix Assets</t>
  </si>
  <si>
    <t>NFA as % rev</t>
  </si>
  <si>
    <t>NOWC</t>
  </si>
  <si>
    <t>NOWC as % rev</t>
  </si>
  <si>
    <t>Tax Rate</t>
  </si>
  <si>
    <t>REVENUE</t>
  </si>
  <si>
    <t>EBIT(1-T)</t>
  </si>
  <si>
    <t>NFA</t>
  </si>
  <si>
    <t>Changes in NFA</t>
  </si>
  <si>
    <t>Changes in NOWC</t>
  </si>
  <si>
    <t>FCF</t>
  </si>
  <si>
    <t>Constant g</t>
  </si>
  <si>
    <t>WACC</t>
  </si>
  <si>
    <t>w_D*r_D*(1-T) + w_E * r_E</t>
  </si>
  <si>
    <t>w_D</t>
  </si>
  <si>
    <t>r_D</t>
  </si>
  <si>
    <t>T</t>
  </si>
  <si>
    <t>w_E</t>
  </si>
  <si>
    <t>r_E</t>
  </si>
  <si>
    <t>Cost of Equity</t>
  </si>
  <si>
    <t>Rf +B (MRP + Rf)</t>
  </si>
  <si>
    <t>Rf</t>
  </si>
  <si>
    <t>Beta</t>
  </si>
  <si>
    <t>MRP</t>
  </si>
  <si>
    <t>10 year treasury</t>
  </si>
  <si>
    <t>unlevering beta</t>
  </si>
  <si>
    <t>Total Debt</t>
  </si>
  <si>
    <t>re-levered beta</t>
  </si>
  <si>
    <t>average of 2 company beta</t>
  </si>
  <si>
    <t>TV</t>
  </si>
  <si>
    <t>Implied/Rev</t>
  </si>
  <si>
    <t>PV of TV</t>
  </si>
  <si>
    <t>PV of FCF</t>
  </si>
  <si>
    <t>EV</t>
  </si>
  <si>
    <t>Cash</t>
  </si>
  <si>
    <t>Equity</t>
  </si>
  <si>
    <t># shares</t>
  </si>
  <si>
    <t>Stock in Euro</t>
  </si>
  <si>
    <t>Eur to USD</t>
  </si>
  <si>
    <t>Stock Price in USD</t>
  </si>
  <si>
    <t xml:space="preserve"> </t>
  </si>
  <si>
    <t>Sensitivity Analysis</t>
  </si>
  <si>
    <t>CONSTANT GROWTH</t>
  </si>
  <si>
    <t>Tesla WACC</t>
  </si>
  <si>
    <t>Short term debt</t>
  </si>
  <si>
    <t>Stock Price</t>
  </si>
  <si>
    <t>Market value of equity</t>
  </si>
  <si>
    <t>Long term debt</t>
  </si>
  <si>
    <t>any items with debt or notes</t>
  </si>
  <si>
    <t>beta</t>
  </si>
  <si>
    <t>Yahoo Finance 5Y Monthly</t>
  </si>
  <si>
    <t>10Y</t>
  </si>
  <si>
    <t>Cost of Debt</t>
  </si>
  <si>
    <t>Tesla's Credit rating</t>
  </si>
  <si>
    <t>Yield on BBB BOND</t>
  </si>
  <si>
    <t>Yield on BBB rated bond</t>
  </si>
  <si>
    <t>Baa3/BBB</t>
  </si>
  <si>
    <t>Extrapolated yield on BBB-</t>
  </si>
  <si>
    <t>Method2</t>
  </si>
  <si>
    <t>Tesla's credit rating</t>
  </si>
  <si>
    <t>Historical spread BBB</t>
  </si>
  <si>
    <t>r_F</t>
  </si>
  <si>
    <t>baa3/bbb</t>
  </si>
  <si>
    <t>Assuming the growth rate in perpetuity will be equal to risk free rate (2.85%)</t>
  </si>
  <si>
    <t>Terminal</t>
  </si>
  <si>
    <t>2017 (Base)</t>
  </si>
  <si>
    <t>Taken from the Case</t>
  </si>
  <si>
    <t>Taking average 3 years</t>
  </si>
  <si>
    <t>(inclass)</t>
  </si>
  <si>
    <t>(my comps)</t>
  </si>
  <si>
    <t>Shares outstanding Spotify</t>
  </si>
  <si>
    <t>EV/REV</t>
  </si>
  <si>
    <t>EV/EBITDA</t>
  </si>
  <si>
    <t>EV/Rev</t>
  </si>
  <si>
    <t>EV/EBIDTA</t>
  </si>
  <si>
    <t>Min</t>
  </si>
  <si>
    <t>Avg</t>
  </si>
  <si>
    <t>Max</t>
  </si>
  <si>
    <t>Implied Equity</t>
  </si>
  <si>
    <t>Implied Stock price</t>
  </si>
  <si>
    <t>from case so I'll take average of 6.1-6.6</t>
  </si>
  <si>
    <t>Revenue forecast 2018E between 6.1 to 6.6bn USD</t>
  </si>
  <si>
    <t>Implied EV</t>
  </si>
  <si>
    <t>Sales for 2017</t>
  </si>
  <si>
    <t>ebitda</t>
  </si>
  <si>
    <t>cash</t>
  </si>
  <si>
    <t>net debt</t>
  </si>
  <si>
    <r>
      <t>LTM</t>
    </r>
    <r>
      <rPr>
        <b/>
        <vertAlign val="superscript"/>
        <sz val="10"/>
        <rFont val="Arial"/>
        <family val="2"/>
      </rPr>
      <t>1</t>
    </r>
    <r>
      <rPr>
        <b/>
        <sz val="10"/>
        <rFont val="Arial"/>
        <family val="2"/>
      </rPr>
      <t xml:space="preserve"> Net Debt </t>
    </r>
  </si>
  <si>
    <r>
      <t>LTM Tangible Book Value</t>
    </r>
    <r>
      <rPr>
        <b/>
        <vertAlign val="superscript"/>
        <sz val="10"/>
        <rFont val="Arial"/>
        <family val="2"/>
      </rPr>
      <t>2</t>
    </r>
    <r>
      <rPr>
        <b/>
        <sz val="10"/>
        <rFont val="Arial"/>
        <family val="2"/>
      </rPr>
      <t xml:space="preserve">/Share </t>
    </r>
  </si>
  <si>
    <r>
      <t>NTM Revenue</t>
    </r>
    <r>
      <rPr>
        <b/>
        <vertAlign val="superscript"/>
        <sz val="10"/>
        <rFont val="Arial"/>
        <family val="2"/>
      </rPr>
      <t>3</t>
    </r>
  </si>
  <si>
    <r>
      <t>NTM EBITDA</t>
    </r>
    <r>
      <rPr>
        <b/>
        <vertAlign val="superscript"/>
        <sz val="10"/>
        <rFont val="Arial"/>
        <family val="2"/>
      </rPr>
      <t>3</t>
    </r>
    <r>
      <rPr>
        <b/>
        <sz val="10"/>
        <rFont val="Arial"/>
        <family val="2"/>
      </rPr>
      <t xml:space="preserve"> </t>
    </r>
  </si>
  <si>
    <t>I assumed they'll pay tax rate of 25% which is the global average tax rate, and also considered they'll receive a tax benefit</t>
  </si>
  <si>
    <t>TRANSACTIONAL ANALYSIS</t>
  </si>
  <si>
    <t>COMPARITIVE ANALYSIS</t>
  </si>
  <si>
    <t>Metric 1</t>
  </si>
  <si>
    <t>Metric 2</t>
  </si>
  <si>
    <t>Metric 3</t>
  </si>
  <si>
    <t>Markcap/Otd Shares (to verify)</t>
  </si>
  <si>
    <t>EV/ Sales</t>
  </si>
  <si>
    <t>Price/Sales</t>
  </si>
  <si>
    <t>Metric 4</t>
  </si>
  <si>
    <t>Metric 5</t>
  </si>
  <si>
    <t>football field</t>
  </si>
  <si>
    <t>NET SALES BN</t>
  </si>
  <si>
    <t>EV/SALES</t>
  </si>
  <si>
    <t>low</t>
  </si>
  <si>
    <t>mid</t>
  </si>
  <si>
    <t>high</t>
  </si>
  <si>
    <t>d1</t>
  </si>
  <si>
    <t>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</si>
</sst>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409]mmmm\ d\,\ yyyy;@"/>
    <numFmt numFmtId="166" formatCode="0.0%"/>
    <numFmt numFmtId="167" formatCode="0.0"/>
    <numFmt numFmtId="168" formatCode="0.000"/>
    <numFmt numFmtId="169" formatCode="_-[$$-409]* #,##0.00_ ;_-[$$-409]* \-#,##0.00\ ;_-[$$-409]* &quot;-&quot;??_ ;_-@_ "/>
    <numFmt numFmtId="170" formatCode="_ [$€-2]\ * #,##0.00_ ;_ [$€-2]\ * \-#,##0.00_ ;_ [$€-2]\ * &quot;-&quot;??_ ;_ @_ "/>
  </numFmts>
  <fonts count="24" x14ac:knownFonts="1">
    <font>
      <sz val="11"/>
      <color theme="1"/>
      <name val="Calibri"/>
      <family val="2"/>
      <scheme val="minor"/>
    </font>
    <font>
      <sz val="11"/>
      <color theme="1"/>
      <name val="Calibri"/>
      <family val="2"/>
      <scheme val="minor"/>
    </font>
    <font>
      <b/>
      <sz val="11"/>
      <color theme="1"/>
      <name val="Calibri"/>
      <family val="2"/>
      <scheme val="minor"/>
    </font>
    <font>
      <b/>
      <sz val="10"/>
      <color rgb="FF000000"/>
      <name val="Arial"/>
      <family val="2"/>
    </font>
    <font>
      <sz val="10"/>
      <color theme="1"/>
      <name val="Arial"/>
      <family val="2"/>
    </font>
    <font>
      <i/>
      <sz val="10"/>
      <color rgb="FF000000"/>
      <name val="Arial"/>
      <family val="2"/>
    </font>
    <font>
      <sz val="10"/>
      <color rgb="FF000000"/>
      <name val="Arial"/>
      <family val="2"/>
    </font>
    <font>
      <b/>
      <sz val="10"/>
      <color theme="1"/>
      <name val="Arial"/>
      <family val="2"/>
    </font>
    <font>
      <sz val="10"/>
      <name val="Arial"/>
      <family val="2"/>
    </font>
    <font>
      <b/>
      <sz val="10"/>
      <color indexed="8"/>
      <name val="Arial"/>
      <family val="2"/>
    </font>
    <font>
      <b/>
      <vertAlign val="superscript"/>
      <sz val="10"/>
      <color indexed="8"/>
      <name val="Arial"/>
      <family val="2"/>
    </font>
    <font>
      <sz val="10"/>
      <color indexed="8"/>
      <name val="Arial"/>
      <family val="2"/>
    </font>
    <font>
      <vertAlign val="superscript"/>
      <sz val="10"/>
      <name val="Arial"/>
      <family val="2"/>
    </font>
    <font>
      <u/>
      <sz val="11"/>
      <color theme="10"/>
      <name val="Calibri"/>
      <family val="2"/>
      <scheme val="minor"/>
    </font>
    <font>
      <sz val="11"/>
      <name val="Calibri"/>
      <family val="2"/>
      <scheme val="minor"/>
    </font>
    <font>
      <sz val="11"/>
      <color theme="1"/>
      <name val="Calibri"/>
      <family val="2"/>
    </font>
    <font>
      <i/>
      <sz val="11"/>
      <color theme="1"/>
      <name val="Calibri"/>
      <family val="2"/>
      <scheme val="minor"/>
    </font>
    <font>
      <b/>
      <sz val="10"/>
      <name val="Arial"/>
      <family val="2"/>
    </font>
    <font>
      <sz val="11"/>
      <color rgb="FFFF0000"/>
      <name val="Calibri"/>
      <family val="2"/>
      <scheme val="minor"/>
    </font>
    <font>
      <b/>
      <i/>
      <sz val="11"/>
      <color theme="1"/>
      <name val="Calibri"/>
      <family val="2"/>
      <scheme val="minor"/>
    </font>
    <font>
      <b/>
      <vertAlign val="superscript"/>
      <sz val="10"/>
      <name val="Arial"/>
      <family val="2"/>
    </font>
    <font>
      <b/>
      <sz val="14"/>
      <color theme="1"/>
      <name val="Arial"/>
      <family val="2"/>
    </font>
    <font>
      <b/>
      <sz val="14"/>
      <name val="Arial"/>
      <family val="2"/>
    </font>
    <font>
      <i/>
      <sz val="8"/>
      <color theme="1"/>
      <name val="Arial"/>
      <family val="2"/>
    </font>
  </fonts>
  <fills count="1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rgb="FFFFC00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00B0F0"/>
        <bgColor indexed="64"/>
      </patternFill>
    </fill>
    <fill>
      <patternFill patternType="solid">
        <fgColor theme="9" tint="-0.249977111117893"/>
        <bgColor indexed="64"/>
      </patternFill>
    </fill>
  </fills>
  <borders count="49">
    <border>
      <left/>
      <right/>
      <top/>
      <bottom/>
      <diagonal/>
    </border>
    <border>
      <left/>
      <right/>
      <top/>
      <bottom style="thin">
        <color indexed="64"/>
      </bottom>
      <diagonal/>
    </border>
    <border>
      <left/>
      <right/>
      <top/>
      <bottom style="double">
        <color indexed="64"/>
      </bottom>
      <diagonal/>
    </border>
    <border>
      <left/>
      <right/>
      <top style="double">
        <color rgb="FF000000"/>
      </top>
      <bottom/>
      <diagonal/>
    </border>
    <border>
      <left/>
      <right/>
      <top/>
      <bottom style="medium">
        <color indexed="64"/>
      </bottom>
      <diagonal/>
    </border>
    <border>
      <left/>
      <right/>
      <top style="medium">
        <color rgb="FF000000"/>
      </top>
      <bottom/>
      <diagonal/>
    </border>
    <border>
      <left/>
      <right/>
      <top style="medium">
        <color indexed="64"/>
      </top>
      <bottom style="double">
        <color indexed="64"/>
      </bottom>
      <diagonal/>
    </border>
    <border>
      <left/>
      <right/>
      <top style="medium">
        <color indexed="64"/>
      </top>
      <bottom style="medium">
        <color indexed="64"/>
      </bottom>
      <diagonal/>
    </border>
    <border>
      <left/>
      <right/>
      <top style="thin">
        <color indexed="64"/>
      </top>
      <bottom style="double">
        <color indexed="64"/>
      </bottom>
      <diagonal/>
    </border>
    <border>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diagonal/>
    </border>
    <border>
      <left/>
      <right/>
      <top style="medium">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3">
    <xf numFmtId="0" fontId="0" fillId="0" borderId="0"/>
    <xf numFmtId="9" fontId="1" fillId="0" borderId="0" applyFont="0" applyFill="0" applyBorder="0" applyAlignment="0" applyProtection="0"/>
    <xf numFmtId="0" fontId="13" fillId="0" borderId="0" applyNumberFormat="0" applyFill="0" applyBorder="0" applyAlignment="0" applyProtection="0"/>
  </cellStyleXfs>
  <cellXfs count="304">
    <xf numFmtId="0" fontId="0" fillId="0" borderId="0" xfId="0"/>
    <xf numFmtId="0" fontId="3" fillId="0" borderId="0" xfId="0" applyFont="1" applyAlignment="1">
      <alignment vertical="center" wrapText="1"/>
    </xf>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vertical="center" wrapText="1"/>
    </xf>
    <xf numFmtId="0" fontId="4" fillId="0" borderId="0" xfId="0" applyFont="1" applyAlignment="1">
      <alignment horizontal="left" vertical="center" wrapText="1" indent="1"/>
    </xf>
    <xf numFmtId="3" fontId="4" fillId="0" borderId="0" xfId="0" applyNumberFormat="1" applyFont="1" applyAlignment="1">
      <alignment horizontal="right" wrapText="1"/>
    </xf>
    <xf numFmtId="0" fontId="7" fillId="0" borderId="0" xfId="0" applyFont="1" applyAlignment="1">
      <alignment horizontal="left" vertical="center" wrapText="1" indent="1"/>
    </xf>
    <xf numFmtId="0" fontId="7" fillId="0" borderId="0" xfId="0" applyFont="1" applyAlignment="1">
      <alignment horizontal="right" wrapText="1"/>
    </xf>
    <xf numFmtId="0" fontId="4" fillId="0" borderId="0" xfId="0" applyFont="1" applyAlignment="1">
      <alignment horizontal="right" wrapText="1"/>
    </xf>
    <xf numFmtId="0" fontId="4" fillId="0" borderId="1" xfId="0" applyFont="1" applyBorder="1" applyAlignment="1">
      <alignment horizontal="right" wrapText="1"/>
    </xf>
    <xf numFmtId="0" fontId="4" fillId="0" borderId="0" xfId="0" applyFont="1" applyAlignment="1">
      <alignment vertical="top" wrapText="1"/>
    </xf>
    <xf numFmtId="3" fontId="7" fillId="0" borderId="0" xfId="0" applyNumberFormat="1" applyFont="1" applyAlignment="1">
      <alignment horizontal="right" wrapText="1"/>
    </xf>
    <xf numFmtId="0" fontId="4" fillId="0" borderId="0" xfId="0" applyFont="1" applyAlignment="1">
      <alignment horizontal="right"/>
    </xf>
    <xf numFmtId="3" fontId="4" fillId="0" borderId="0" xfId="0" applyNumberFormat="1" applyFont="1" applyAlignment="1">
      <alignment horizontal="right"/>
    </xf>
    <xf numFmtId="0" fontId="4" fillId="0" borderId="0" xfId="0" applyFont="1" applyAlignment="1">
      <alignment wrapText="1"/>
    </xf>
    <xf numFmtId="3" fontId="4" fillId="0" borderId="0" xfId="0" applyNumberFormat="1" applyFont="1" applyAlignment="1">
      <alignment wrapText="1"/>
    </xf>
    <xf numFmtId="3" fontId="4" fillId="0" borderId="2" xfId="0" applyNumberFormat="1" applyFont="1" applyBorder="1" applyAlignment="1">
      <alignment horizontal="right" wrapText="1"/>
    </xf>
    <xf numFmtId="0" fontId="4" fillId="0" borderId="3" xfId="0" applyFont="1" applyBorder="1" applyAlignment="1">
      <alignment vertical="center" wrapText="1"/>
    </xf>
    <xf numFmtId="0" fontId="8" fillId="0" borderId="0" xfId="0" applyFont="1" applyAlignment="1">
      <alignment vertical="top" wrapText="1"/>
    </xf>
    <xf numFmtId="3" fontId="4" fillId="0" borderId="4" xfId="0" applyNumberFormat="1" applyFont="1" applyBorder="1" applyAlignment="1">
      <alignment horizontal="right" wrapText="1"/>
    </xf>
    <xf numFmtId="3" fontId="4" fillId="0" borderId="5" xfId="0" applyNumberFormat="1" applyFont="1" applyBorder="1" applyAlignment="1">
      <alignment vertical="center" wrapText="1"/>
    </xf>
    <xf numFmtId="3" fontId="7" fillId="0" borderId="4" xfId="0" applyNumberFormat="1" applyFont="1" applyBorder="1" applyAlignment="1">
      <alignment horizontal="right" wrapText="1"/>
    </xf>
    <xf numFmtId="3" fontId="4" fillId="0" borderId="3" xfId="0" applyNumberFormat="1" applyFont="1" applyBorder="1" applyAlignment="1">
      <alignment vertical="center" wrapText="1"/>
    </xf>
    <xf numFmtId="3" fontId="7" fillId="0" borderId="6" xfId="0" applyNumberFormat="1" applyFont="1" applyBorder="1" applyAlignment="1">
      <alignment horizontal="right" wrapText="1"/>
    </xf>
    <xf numFmtId="0" fontId="4" fillId="0" borderId="4" xfId="0" applyFont="1" applyBorder="1" applyAlignment="1">
      <alignment horizontal="right"/>
    </xf>
    <xf numFmtId="0" fontId="4" fillId="0" borderId="4" xfId="0" applyFont="1" applyBorder="1" applyAlignment="1">
      <alignment horizontal="right" wrapText="1"/>
    </xf>
    <xf numFmtId="0" fontId="4" fillId="0" borderId="5" xfId="0" applyFont="1" applyBorder="1" applyAlignment="1">
      <alignment vertical="center" wrapText="1"/>
    </xf>
    <xf numFmtId="3" fontId="7" fillId="0" borderId="7" xfId="0" applyNumberFormat="1" applyFont="1" applyBorder="1" applyAlignment="1">
      <alignment horizontal="right" wrapText="1"/>
    </xf>
    <xf numFmtId="3" fontId="7" fillId="0" borderId="8" xfId="0" applyNumberFormat="1" applyFont="1" applyBorder="1" applyAlignment="1">
      <alignment horizontal="right" wrapText="1"/>
    </xf>
    <xf numFmtId="0" fontId="4" fillId="0" borderId="4" xfId="0" applyFont="1" applyBorder="1" applyAlignment="1">
      <alignment vertical="center" wrapText="1"/>
    </xf>
    <xf numFmtId="0" fontId="4" fillId="0" borderId="0" xfId="0" applyFont="1" applyAlignment="1">
      <alignment horizontal="left" vertical="center" wrapText="1" indent="3"/>
    </xf>
    <xf numFmtId="0" fontId="7" fillId="0" borderId="4" xfId="0" applyFont="1" applyBorder="1"/>
    <xf numFmtId="0" fontId="7" fillId="0" borderId="0" xfId="0" applyFont="1" applyAlignment="1">
      <alignment horizontal="center"/>
    </xf>
    <xf numFmtId="3" fontId="4" fillId="0" borderId="1" xfId="0" applyNumberFormat="1" applyFont="1" applyBorder="1" applyAlignment="1">
      <alignment horizontal="right" wrapText="1"/>
    </xf>
    <xf numFmtId="0" fontId="7" fillId="0" borderId="8" xfId="0" applyFont="1" applyBorder="1" applyAlignment="1">
      <alignment horizontal="right" wrapText="1"/>
    </xf>
    <xf numFmtId="0" fontId="4" fillId="0" borderId="1" xfId="0" applyFont="1" applyBorder="1" applyAlignment="1">
      <alignment horizontal="right"/>
    </xf>
    <xf numFmtId="0" fontId="8" fillId="0" borderId="0" xfId="0" applyFont="1"/>
    <xf numFmtId="0" fontId="9" fillId="0" borderId="9" xfId="0" applyFont="1" applyBorder="1" applyAlignment="1">
      <alignment horizontal="left" vertical="top" wrapText="1"/>
    </xf>
    <xf numFmtId="0" fontId="9" fillId="0" borderId="9" xfId="0" applyFont="1" applyBorder="1" applyAlignment="1">
      <alignment horizontal="right" vertical="top" wrapText="1"/>
    </xf>
    <xf numFmtId="0" fontId="11" fillId="0" borderId="0" xfId="0" applyFont="1" applyAlignment="1">
      <alignment horizontal="left" vertical="top" wrapText="1"/>
    </xf>
    <xf numFmtId="4" fontId="8" fillId="0" borderId="0" xfId="0" applyNumberFormat="1" applyFont="1"/>
    <xf numFmtId="164" fontId="8" fillId="0" borderId="0" xfId="0" applyNumberFormat="1" applyFont="1"/>
    <xf numFmtId="2" fontId="8" fillId="0" borderId="0" xfId="0" applyNumberFormat="1" applyFont="1"/>
    <xf numFmtId="10" fontId="8" fillId="0" borderId="0" xfId="1" applyNumberFormat="1" applyFont="1" applyFill="1"/>
    <xf numFmtId="0" fontId="11" fillId="0" borderId="1" xfId="0" applyFont="1" applyBorder="1" applyAlignment="1">
      <alignment horizontal="left" vertical="top" wrapText="1"/>
    </xf>
    <xf numFmtId="4" fontId="8" fillId="0" borderId="1" xfId="0" applyNumberFormat="1" applyFont="1" applyBorder="1"/>
    <xf numFmtId="164" fontId="8" fillId="0" borderId="1" xfId="0" applyNumberFormat="1" applyFont="1" applyBorder="1"/>
    <xf numFmtId="2" fontId="8" fillId="0" borderId="1" xfId="0" applyNumberFormat="1" applyFont="1" applyBorder="1"/>
    <xf numFmtId="10" fontId="8" fillId="0" borderId="1" xfId="1" applyNumberFormat="1" applyFont="1" applyFill="1" applyBorder="1"/>
    <xf numFmtId="2" fontId="8" fillId="0" borderId="0" xfId="0" applyNumberFormat="1" applyFont="1" applyAlignment="1">
      <alignment horizontal="right"/>
    </xf>
    <xf numFmtId="2" fontId="8" fillId="0" borderId="1" xfId="0" applyNumberFormat="1" applyFont="1" applyBorder="1" applyAlignment="1">
      <alignment horizontal="right"/>
    </xf>
    <xf numFmtId="0" fontId="7" fillId="0" borderId="10"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Alignment="1">
      <alignment vertical="center" wrapText="1"/>
    </xf>
    <xf numFmtId="0" fontId="0" fillId="0" borderId="11" xfId="0" applyBorder="1" applyAlignment="1">
      <alignment vertical="top"/>
    </xf>
    <xf numFmtId="0" fontId="0" fillId="0" borderId="12" xfId="0" applyBorder="1" applyAlignment="1">
      <alignment vertical="top"/>
    </xf>
    <xf numFmtId="0" fontId="7" fillId="0" borderId="11" xfId="0" applyFont="1" applyBorder="1" applyAlignment="1">
      <alignment horizontal="center" vertical="center"/>
    </xf>
    <xf numFmtId="10"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0" fontId="14" fillId="0" borderId="0" xfId="2" applyFont="1" applyAlignment="1">
      <alignment vertical="center"/>
    </xf>
    <xf numFmtId="0" fontId="0" fillId="0" borderId="0" xfId="0" applyAlignment="1">
      <alignment horizontal="left" vertical="top"/>
    </xf>
    <xf numFmtId="0" fontId="15" fillId="0" borderId="0" xfId="0" applyFont="1"/>
    <xf numFmtId="0" fontId="0" fillId="0" borderId="0" xfId="0" applyAlignment="1">
      <alignment vertical="top" wrapText="1"/>
    </xf>
    <xf numFmtId="0" fontId="0" fillId="0" borderId="0" xfId="0" applyAlignment="1">
      <alignment vertical="top"/>
    </xf>
    <xf numFmtId="165" fontId="0" fillId="0" borderId="0" xfId="0" applyNumberFormat="1"/>
    <xf numFmtId="3" fontId="4" fillId="0" borderId="0" xfId="0" applyNumberFormat="1" applyFont="1"/>
    <xf numFmtId="0" fontId="4" fillId="0" borderId="0" xfId="0" applyFont="1" applyAlignment="1">
      <alignment horizontal="center" vertical="center" wrapText="1"/>
    </xf>
    <xf numFmtId="0" fontId="11" fillId="2" borderId="0" xfId="0" applyFont="1" applyFill="1" applyAlignment="1">
      <alignment horizontal="left" vertical="top" wrapText="1"/>
    </xf>
    <xf numFmtId="10" fontId="8" fillId="2" borderId="0" xfId="1" applyNumberFormat="1" applyFont="1" applyFill="1"/>
    <xf numFmtId="164" fontId="8" fillId="2" borderId="0" xfId="0" applyNumberFormat="1" applyFont="1" applyFill="1"/>
    <xf numFmtId="2" fontId="8" fillId="2" borderId="0" xfId="0" applyNumberFormat="1" applyFont="1" applyFill="1"/>
    <xf numFmtId="2" fontId="8" fillId="2" borderId="0" xfId="0" applyNumberFormat="1" applyFont="1" applyFill="1" applyAlignment="1">
      <alignment horizontal="right"/>
    </xf>
    <xf numFmtId="0" fontId="4" fillId="2" borderId="0" xfId="0" applyFont="1" applyFill="1"/>
    <xf numFmtId="2" fontId="17" fillId="2" borderId="0" xfId="0" applyNumberFormat="1" applyFont="1" applyFill="1"/>
    <xf numFmtId="9" fontId="4" fillId="2" borderId="0" xfId="1" applyFont="1" applyFill="1"/>
    <xf numFmtId="9" fontId="4" fillId="2" borderId="0" xfId="0" applyNumberFormat="1" applyFont="1" applyFill="1"/>
    <xf numFmtId="4" fontId="6" fillId="2" borderId="0" xfId="0" applyNumberFormat="1" applyFont="1" applyFill="1" applyAlignment="1">
      <alignment horizontal="right" vertical="center"/>
    </xf>
    <xf numFmtId="168" fontId="4" fillId="2" borderId="0" xfId="0" applyNumberFormat="1" applyFont="1" applyFill="1"/>
    <xf numFmtId="168" fontId="4" fillId="0" borderId="0" xfId="0" applyNumberFormat="1" applyFont="1"/>
    <xf numFmtId="0" fontId="0" fillId="0" borderId="13" xfId="0" applyBorder="1"/>
    <xf numFmtId="167" fontId="0" fillId="0" borderId="0" xfId="0" applyNumberFormat="1"/>
    <xf numFmtId="169" fontId="0" fillId="0" borderId="13" xfId="0" applyNumberFormat="1" applyBorder="1"/>
    <xf numFmtId="9" fontId="0" fillId="5" borderId="13" xfId="1" applyFont="1" applyFill="1" applyBorder="1" applyAlignment="1">
      <alignment horizontal="center" vertical="center"/>
    </xf>
    <xf numFmtId="10" fontId="0" fillId="5" borderId="13" xfId="1" applyNumberFormat="1" applyFont="1" applyFill="1" applyBorder="1" applyAlignment="1">
      <alignment horizontal="center" vertical="center"/>
    </xf>
    <xf numFmtId="166" fontId="0" fillId="5" borderId="13" xfId="1" applyNumberFormat="1" applyFont="1" applyFill="1" applyBorder="1" applyAlignment="1">
      <alignment horizontal="center" vertical="center"/>
    </xf>
    <xf numFmtId="0" fontId="7" fillId="2" borderId="19" xfId="0" applyFont="1" applyFill="1" applyBorder="1" applyAlignment="1">
      <alignment horizontal="center" vertical="center" wrapText="1"/>
    </xf>
    <xf numFmtId="0" fontId="7" fillId="2" borderId="20" xfId="0" applyFont="1" applyFill="1" applyBorder="1" applyAlignment="1">
      <alignment horizontal="center" vertical="center" wrapText="1"/>
    </xf>
    <xf numFmtId="0" fontId="7" fillId="2" borderId="21" xfId="0" applyFont="1" applyFill="1" applyBorder="1" applyAlignment="1">
      <alignment horizontal="center" vertical="center" wrapText="1"/>
    </xf>
    <xf numFmtId="166" fontId="0" fillId="5" borderId="25" xfId="1" applyNumberFormat="1" applyFont="1" applyFill="1" applyBorder="1" applyAlignment="1">
      <alignment horizontal="center" vertical="center"/>
    </xf>
    <xf numFmtId="10" fontId="0" fillId="5" borderId="24" xfId="1" applyNumberFormat="1" applyFont="1" applyFill="1" applyBorder="1" applyAlignment="1">
      <alignment horizontal="center" vertical="center"/>
    </xf>
    <xf numFmtId="10" fontId="0" fillId="5" borderId="25" xfId="1" applyNumberFormat="1" applyFont="1" applyFill="1" applyBorder="1" applyAlignment="1">
      <alignment horizontal="center" vertical="center"/>
    </xf>
    <xf numFmtId="166" fontId="0" fillId="5" borderId="24" xfId="1" applyNumberFormat="1" applyFont="1" applyFill="1" applyBorder="1" applyAlignment="1">
      <alignment horizontal="center" vertical="center"/>
    </xf>
    <xf numFmtId="0" fontId="0" fillId="0" borderId="25" xfId="0" applyBorder="1" applyAlignment="1">
      <alignment horizontal="center" vertical="center"/>
    </xf>
    <xf numFmtId="0" fontId="7" fillId="3" borderId="19" xfId="0" applyFont="1" applyFill="1" applyBorder="1" applyAlignment="1">
      <alignment horizontal="center" wrapText="1"/>
    </xf>
    <xf numFmtId="0" fontId="7" fillId="3" borderId="20" xfId="0" applyFont="1" applyFill="1" applyBorder="1" applyAlignment="1">
      <alignment horizontal="center" wrapText="1"/>
    </xf>
    <xf numFmtId="0" fontId="7" fillId="0" borderId="29" xfId="0" applyFont="1" applyBorder="1" applyAlignment="1">
      <alignment horizontal="center" vertical="center" wrapText="1"/>
    </xf>
    <xf numFmtId="0" fontId="2" fillId="5" borderId="30" xfId="0" applyFont="1" applyFill="1" applyBorder="1" applyAlignment="1">
      <alignment horizontal="center" vertical="center"/>
    </xf>
    <xf numFmtId="0" fontId="2" fillId="0" borderId="30" xfId="0" applyFont="1" applyBorder="1" applyAlignment="1">
      <alignment horizontal="center" vertical="center"/>
    </xf>
    <xf numFmtId="0" fontId="7" fillId="0" borderId="30" xfId="0" applyFont="1" applyBorder="1" applyAlignment="1">
      <alignment horizontal="center" vertical="center"/>
    </xf>
    <xf numFmtId="0" fontId="7" fillId="5" borderId="30" xfId="0" applyFont="1" applyFill="1" applyBorder="1" applyAlignment="1">
      <alignment horizontal="center" vertical="center"/>
    </xf>
    <xf numFmtId="0" fontId="2" fillId="0" borderId="31" xfId="0" applyFont="1" applyBorder="1" applyAlignment="1">
      <alignment horizontal="center" vertical="center"/>
    </xf>
    <xf numFmtId="0" fontId="2" fillId="0" borderId="32" xfId="0" applyFont="1" applyBorder="1" applyAlignment="1">
      <alignment horizontal="center" vertical="center"/>
    </xf>
    <xf numFmtId="10" fontId="0" fillId="0" borderId="25" xfId="1" applyNumberFormat="1" applyFont="1" applyBorder="1" applyAlignment="1">
      <alignment horizontal="center" vertical="center"/>
    </xf>
    <xf numFmtId="166" fontId="0" fillId="0" borderId="25" xfId="0" applyNumberFormat="1" applyBorder="1" applyAlignment="1">
      <alignment horizontal="center" vertical="center"/>
    </xf>
    <xf numFmtId="10" fontId="0" fillId="0" borderId="21" xfId="1" applyNumberFormat="1" applyFont="1" applyBorder="1" applyAlignment="1">
      <alignment horizontal="center" vertical="center"/>
    </xf>
    <xf numFmtId="0" fontId="0" fillId="0" borderId="0" xfId="0" applyAlignment="1">
      <alignment horizontal="right"/>
    </xf>
    <xf numFmtId="0" fontId="0" fillId="0" borderId="0" xfId="0" applyAlignment="1">
      <alignment horizontal="left"/>
    </xf>
    <xf numFmtId="0" fontId="0" fillId="5" borderId="24" xfId="0" applyFill="1" applyBorder="1" applyAlignment="1">
      <alignment horizontal="center" vertical="center"/>
    </xf>
    <xf numFmtId="0" fontId="0" fillId="0" borderId="26" xfId="0" applyBorder="1" applyAlignment="1">
      <alignment horizontal="center" vertical="center"/>
    </xf>
    <xf numFmtId="0" fontId="0" fillId="0" borderId="0" xfId="0" applyAlignment="1">
      <alignment horizontal="center" vertical="center"/>
    </xf>
    <xf numFmtId="0" fontId="0" fillId="0" borderId="27" xfId="0" applyBorder="1" applyAlignment="1">
      <alignment horizontal="center" vertical="center"/>
    </xf>
    <xf numFmtId="0" fontId="0" fillId="5" borderId="13" xfId="0" applyFill="1" applyBorder="1" applyAlignment="1">
      <alignment horizontal="center" vertical="center"/>
    </xf>
    <xf numFmtId="0" fontId="0" fillId="5" borderId="25" xfId="0" applyFill="1" applyBorder="1" applyAlignment="1">
      <alignment horizontal="center" vertical="center"/>
    </xf>
    <xf numFmtId="0" fontId="0" fillId="0" borderId="24" xfId="0" applyBorder="1" applyAlignment="1">
      <alignment horizontal="center" vertical="center"/>
    </xf>
    <xf numFmtId="0" fontId="0" fillId="0" borderId="13" xfId="0" applyBorder="1" applyAlignment="1">
      <alignment horizontal="center" vertical="center"/>
    </xf>
    <xf numFmtId="3" fontId="0" fillId="0" borderId="22" xfId="0" applyNumberFormat="1" applyBorder="1" applyAlignment="1">
      <alignment horizontal="center" vertical="center" wrapText="1"/>
    </xf>
    <xf numFmtId="3" fontId="0" fillId="0" borderId="15" xfId="0" applyNumberFormat="1" applyBorder="1" applyAlignment="1">
      <alignment horizontal="center" vertical="center" wrapText="1"/>
    </xf>
    <xf numFmtId="3" fontId="0" fillId="0" borderId="23" xfId="0" applyNumberFormat="1" applyBorder="1" applyAlignment="1">
      <alignment horizontal="center" vertical="center" wrapText="1"/>
    </xf>
    <xf numFmtId="0" fontId="2" fillId="0" borderId="24" xfId="0" applyFont="1" applyBorder="1" applyAlignment="1">
      <alignment horizontal="center" vertical="center" wrapText="1"/>
    </xf>
    <xf numFmtId="0" fontId="2" fillId="0" borderId="13" xfId="0" applyFont="1" applyBorder="1" applyAlignment="1">
      <alignment horizontal="center" vertical="center" wrapText="1"/>
    </xf>
    <xf numFmtId="3" fontId="2" fillId="0" borderId="25" xfId="0" applyNumberFormat="1" applyFont="1" applyBorder="1" applyAlignment="1">
      <alignment horizontal="center" vertical="center" wrapText="1"/>
    </xf>
    <xf numFmtId="3" fontId="0" fillId="0" borderId="24"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25" xfId="0" applyNumberFormat="1" applyBorder="1" applyAlignment="1">
      <alignment horizontal="center" vertical="center" wrapText="1"/>
    </xf>
    <xf numFmtId="3" fontId="0" fillId="0" borderId="24" xfId="0" applyNumberFormat="1" applyBorder="1" applyAlignment="1">
      <alignment horizontal="center" vertical="center"/>
    </xf>
    <xf numFmtId="3" fontId="0" fillId="0" borderId="13" xfId="0" applyNumberFormat="1" applyBorder="1" applyAlignment="1">
      <alignment horizontal="center" vertical="center"/>
    </xf>
    <xf numFmtId="3" fontId="0" fillId="0" borderId="25" xfId="0" applyNumberFormat="1" applyBorder="1" applyAlignment="1">
      <alignment horizontal="center" vertical="center"/>
    </xf>
    <xf numFmtId="9" fontId="0" fillId="5" borderId="24" xfId="1" applyFont="1" applyFill="1" applyBorder="1" applyAlignment="1">
      <alignment horizontal="center" vertical="center"/>
    </xf>
    <xf numFmtId="9" fontId="0" fillId="5" borderId="25" xfId="1" applyFont="1" applyFill="1" applyBorder="1" applyAlignment="1">
      <alignment horizontal="center" vertical="center"/>
    </xf>
    <xf numFmtId="0" fontId="0" fillId="0" borderId="22" xfId="0" applyBorder="1" applyAlignment="1">
      <alignment horizontal="center" vertical="center"/>
    </xf>
    <xf numFmtId="0" fontId="0" fillId="0" borderId="15" xfId="0" applyBorder="1" applyAlignment="1">
      <alignment horizontal="center" vertical="center"/>
    </xf>
    <xf numFmtId="9" fontId="0" fillId="5" borderId="24" xfId="0" applyNumberFormat="1" applyFill="1" applyBorder="1" applyAlignment="1">
      <alignment horizontal="center" vertical="center"/>
    </xf>
    <xf numFmtId="9" fontId="0" fillId="5" borderId="13" xfId="0" applyNumberFormat="1" applyFill="1" applyBorder="1" applyAlignment="1">
      <alignment horizontal="center" vertical="center"/>
    </xf>
    <xf numFmtId="10" fontId="0" fillId="5" borderId="24" xfId="0" applyNumberFormat="1" applyFill="1" applyBorder="1" applyAlignment="1">
      <alignment horizontal="center" vertical="center"/>
    </xf>
    <xf numFmtId="10" fontId="0" fillId="5" borderId="13" xfId="0" applyNumberFormat="1" applyFill="1" applyBorder="1" applyAlignment="1">
      <alignment horizontal="center" vertical="center"/>
    </xf>
    <xf numFmtId="166" fontId="0" fillId="5" borderId="24" xfId="0" applyNumberFormat="1" applyFill="1" applyBorder="1" applyAlignment="1">
      <alignment horizontal="center" vertical="center"/>
    </xf>
    <xf numFmtId="166" fontId="0" fillId="5" borderId="13" xfId="0" applyNumberFormat="1" applyFill="1" applyBorder="1" applyAlignment="1">
      <alignment horizontal="center" vertical="center"/>
    </xf>
    <xf numFmtId="0" fontId="0" fillId="0" borderId="28" xfId="0" applyBorder="1" applyAlignment="1">
      <alignment horizontal="center" vertical="center"/>
    </xf>
    <xf numFmtId="0" fontId="0" fillId="0" borderId="14" xfId="0" applyBorder="1" applyAlignment="1">
      <alignment horizontal="center" vertical="center"/>
    </xf>
    <xf numFmtId="1" fontId="0" fillId="0" borderId="24" xfId="0" applyNumberFormat="1" applyBorder="1" applyAlignment="1">
      <alignment horizontal="center" vertical="center"/>
    </xf>
    <xf numFmtId="1" fontId="0" fillId="0" borderId="13" xfId="0" applyNumberFormat="1" applyBorder="1" applyAlignment="1">
      <alignment horizontal="center" vertical="center"/>
    </xf>
    <xf numFmtId="167" fontId="0" fillId="0" borderId="24" xfId="0" applyNumberFormat="1" applyBorder="1" applyAlignment="1">
      <alignment horizontal="center" vertical="center"/>
    </xf>
    <xf numFmtId="167" fontId="0" fillId="0" borderId="13" xfId="0" applyNumberForma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0" fontId="0" fillId="0" borderId="24" xfId="0" applyNumberFormat="1" applyBorder="1" applyAlignment="1">
      <alignment horizontal="center" vertical="center"/>
    </xf>
    <xf numFmtId="0" fontId="0" fillId="0" borderId="21" xfId="0" applyBorder="1" applyAlignment="1">
      <alignment horizontal="center" vertical="center"/>
    </xf>
    <xf numFmtId="169" fontId="0" fillId="5" borderId="18" xfId="0" applyNumberFormat="1" applyFill="1" applyBorder="1"/>
    <xf numFmtId="169" fontId="0" fillId="5" borderId="25" xfId="0" applyNumberFormat="1" applyFill="1" applyBorder="1"/>
    <xf numFmtId="0" fontId="0" fillId="5" borderId="25" xfId="0" applyFill="1" applyBorder="1"/>
    <xf numFmtId="3" fontId="0" fillId="5" borderId="25" xfId="0" applyNumberFormat="1" applyFill="1" applyBorder="1"/>
    <xf numFmtId="0" fontId="2" fillId="2" borderId="16" xfId="0" applyFont="1" applyFill="1" applyBorder="1" applyAlignment="1">
      <alignment horizontal="center" vertical="center"/>
    </xf>
    <xf numFmtId="0" fontId="2" fillId="2" borderId="24" xfId="0" applyFont="1" applyFill="1" applyBorder="1" applyAlignment="1">
      <alignment horizontal="center" vertical="center"/>
    </xf>
    <xf numFmtId="0" fontId="2" fillId="2" borderId="19" xfId="0" applyFont="1" applyFill="1" applyBorder="1" applyAlignment="1">
      <alignment horizontal="center" vertical="center"/>
    </xf>
    <xf numFmtId="9" fontId="0" fillId="0" borderId="13" xfId="1" applyFont="1" applyBorder="1"/>
    <xf numFmtId="0" fontId="0" fillId="7" borderId="13" xfId="0" applyFill="1" applyBorder="1" applyAlignment="1">
      <alignment horizontal="center" vertical="center"/>
    </xf>
    <xf numFmtId="0" fontId="0" fillId="3" borderId="13" xfId="0" applyFill="1" applyBorder="1" applyAlignment="1">
      <alignment horizontal="center" vertical="center"/>
    </xf>
    <xf numFmtId="0" fontId="2" fillId="7" borderId="13" xfId="0" applyFont="1" applyFill="1" applyBorder="1" applyAlignment="1">
      <alignment horizontal="center" vertical="center"/>
    </xf>
    <xf numFmtId="10" fontId="0" fillId="0" borderId="0" xfId="1" applyNumberFormat="1" applyFont="1" applyAlignment="1">
      <alignment horizontal="center" vertical="center"/>
    </xf>
    <xf numFmtId="10" fontId="0" fillId="0" borderId="0" xfId="0" applyNumberFormat="1" applyAlignment="1">
      <alignment horizontal="center" vertical="center"/>
    </xf>
    <xf numFmtId="9" fontId="0" fillId="0" borderId="0" xfId="0" applyNumberFormat="1" applyAlignment="1">
      <alignment horizontal="center" vertical="center"/>
    </xf>
    <xf numFmtId="166" fontId="0" fillId="0" borderId="0" xfId="1" applyNumberFormat="1" applyFont="1" applyAlignment="1">
      <alignment horizontal="center" vertical="center"/>
    </xf>
    <xf numFmtId="0" fontId="2" fillId="0" borderId="0" xfId="0" applyFont="1" applyAlignment="1">
      <alignment horizontal="center" vertical="center"/>
    </xf>
    <xf numFmtId="0" fontId="2" fillId="3" borderId="13" xfId="0" applyFont="1" applyFill="1" applyBorder="1" applyAlignment="1">
      <alignment horizontal="center" vertical="center"/>
    </xf>
    <xf numFmtId="0" fontId="2" fillId="8" borderId="13" xfId="0" applyFont="1" applyFill="1" applyBorder="1" applyAlignment="1">
      <alignment horizontal="center" vertical="center"/>
    </xf>
    <xf numFmtId="10" fontId="0" fillId="0" borderId="13" xfId="0" applyNumberFormat="1" applyBorder="1" applyAlignment="1">
      <alignment horizontal="center" vertical="center"/>
    </xf>
    <xf numFmtId="9" fontId="0" fillId="0" borderId="13" xfId="0" applyNumberFormat="1" applyBorder="1" applyAlignment="1">
      <alignment horizontal="center" vertical="center"/>
    </xf>
    <xf numFmtId="10" fontId="0" fillId="0" borderId="13" xfId="1" applyNumberFormat="1" applyFont="1" applyBorder="1" applyAlignment="1">
      <alignment horizontal="center" vertical="center"/>
    </xf>
    <xf numFmtId="0" fontId="0" fillId="0" borderId="0" xfId="0" applyAlignment="1">
      <alignment horizontal="center" vertical="center" wrapText="1"/>
    </xf>
    <xf numFmtId="0" fontId="2" fillId="2" borderId="18" xfId="0" applyFont="1" applyFill="1" applyBorder="1" applyAlignment="1">
      <alignment horizontal="center" vertical="center"/>
    </xf>
    <xf numFmtId="9" fontId="0" fillId="0" borderId="25" xfId="0" applyNumberFormat="1" applyBorder="1" applyAlignment="1">
      <alignment horizontal="center" vertical="center"/>
    </xf>
    <xf numFmtId="9" fontId="0" fillId="0" borderId="21" xfId="0" applyNumberFormat="1" applyBorder="1" applyAlignment="1">
      <alignment horizontal="center" vertical="center"/>
    </xf>
    <xf numFmtId="0" fontId="7" fillId="3" borderId="33" xfId="0" applyFont="1" applyFill="1" applyBorder="1" applyAlignment="1">
      <alignment horizontal="center" wrapText="1"/>
    </xf>
    <xf numFmtId="0" fontId="0" fillId="0" borderId="34" xfId="0" applyBorder="1" applyAlignment="1">
      <alignment horizontal="center" vertical="center"/>
    </xf>
    <xf numFmtId="10" fontId="0" fillId="5" borderId="35" xfId="0" applyNumberFormat="1" applyFill="1" applyBorder="1" applyAlignment="1">
      <alignment horizontal="center" vertical="center"/>
    </xf>
    <xf numFmtId="0" fontId="0" fillId="0" borderId="35" xfId="0" applyBorder="1" applyAlignment="1">
      <alignment horizontal="center" vertical="center"/>
    </xf>
    <xf numFmtId="166" fontId="0" fillId="5" borderId="35" xfId="0" applyNumberFormat="1" applyFill="1" applyBorder="1" applyAlignment="1">
      <alignment horizontal="center" vertical="center"/>
    </xf>
    <xf numFmtId="9" fontId="0" fillId="5" borderId="35" xfId="0" applyNumberFormat="1" applyFill="1" applyBorder="1" applyAlignment="1">
      <alignment horizontal="center" vertical="center"/>
    </xf>
    <xf numFmtId="0" fontId="0" fillId="0" borderId="36" xfId="0" applyBorder="1" applyAlignment="1">
      <alignment horizontal="center" vertical="center"/>
    </xf>
    <xf numFmtId="1" fontId="0" fillId="0" borderId="35" xfId="0" applyNumberFormat="1" applyBorder="1" applyAlignment="1">
      <alignment horizontal="center" vertical="center"/>
    </xf>
    <xf numFmtId="167" fontId="0" fillId="0" borderId="35" xfId="0" applyNumberFormat="1" applyBorder="1" applyAlignment="1">
      <alignment horizontal="center" vertical="center"/>
    </xf>
    <xf numFmtId="167" fontId="2" fillId="4" borderId="33" xfId="0" applyNumberFormat="1" applyFont="1" applyFill="1" applyBorder="1" applyAlignment="1">
      <alignment horizontal="center" vertical="center"/>
    </xf>
    <xf numFmtId="0" fontId="0" fillId="0" borderId="37" xfId="0" applyBorder="1" applyAlignment="1">
      <alignment horizontal="center"/>
    </xf>
    <xf numFmtId="0" fontId="0" fillId="0" borderId="38" xfId="0" applyBorder="1" applyAlignment="1">
      <alignment horizontal="center"/>
    </xf>
    <xf numFmtId="0" fontId="0" fillId="0" borderId="38" xfId="0" applyBorder="1"/>
    <xf numFmtId="0" fontId="0" fillId="0" borderId="11" xfId="0" applyBorder="1"/>
    <xf numFmtId="0" fontId="2" fillId="9" borderId="10" xfId="0" applyFont="1" applyFill="1" applyBorder="1" applyAlignment="1">
      <alignment horizontal="center"/>
    </xf>
    <xf numFmtId="0" fontId="18" fillId="0" borderId="0" xfId="0" applyFont="1"/>
    <xf numFmtId="0" fontId="17" fillId="3" borderId="0" xfId="0" applyFont="1" applyFill="1" applyAlignment="1">
      <alignment horizontal="left" vertical="top" wrapText="1"/>
    </xf>
    <xf numFmtId="10" fontId="17" fillId="3" borderId="0" xfId="1" applyNumberFormat="1" applyFont="1" applyFill="1"/>
    <xf numFmtId="164" fontId="17" fillId="3" borderId="0" xfId="0" applyNumberFormat="1" applyFont="1" applyFill="1"/>
    <xf numFmtId="2" fontId="17" fillId="3" borderId="0" xfId="0" applyNumberFormat="1" applyFont="1" applyFill="1"/>
    <xf numFmtId="2" fontId="17" fillId="3" borderId="0" xfId="0" applyNumberFormat="1" applyFont="1" applyFill="1" applyAlignment="1">
      <alignment horizontal="right"/>
    </xf>
    <xf numFmtId="0" fontId="17" fillId="3" borderId="0" xfId="0" applyFont="1" applyFill="1"/>
    <xf numFmtId="0" fontId="9" fillId="3" borderId="0" xfId="0" applyFont="1" applyFill="1" applyAlignment="1">
      <alignment horizontal="left" vertical="top" wrapText="1"/>
    </xf>
    <xf numFmtId="0" fontId="7" fillId="3" borderId="0" xfId="0" applyFont="1" applyFill="1"/>
    <xf numFmtId="9" fontId="7" fillId="3" borderId="0" xfId="1" applyFont="1" applyFill="1"/>
    <xf numFmtId="9" fontId="7" fillId="3" borderId="0" xfId="0" applyNumberFormat="1" applyFont="1" applyFill="1"/>
    <xf numFmtId="168" fontId="7" fillId="3" borderId="0" xfId="0" applyNumberFormat="1" applyFont="1" applyFill="1"/>
    <xf numFmtId="3" fontId="17" fillId="3" borderId="0" xfId="0" applyNumberFormat="1" applyFont="1" applyFill="1"/>
    <xf numFmtId="4" fontId="17" fillId="3" borderId="0" xfId="0" applyNumberFormat="1" applyFont="1" applyFill="1"/>
    <xf numFmtId="170" fontId="0" fillId="5" borderId="25" xfId="0" applyNumberFormat="1" applyFill="1" applyBorder="1"/>
    <xf numFmtId="0" fontId="7" fillId="0" borderId="0" xfId="0" applyFont="1" applyAlignment="1">
      <alignment horizontal="center" vertical="center" wrapText="1"/>
    </xf>
    <xf numFmtId="0" fontId="7" fillId="0" borderId="0" xfId="0" applyFont="1" applyAlignment="1">
      <alignment horizontal="center" vertical="center"/>
    </xf>
    <xf numFmtId="2" fontId="0" fillId="0" borderId="13" xfId="0" applyNumberFormat="1" applyBorder="1" applyAlignment="1">
      <alignment horizontal="center" vertical="center"/>
    </xf>
    <xf numFmtId="0" fontId="8" fillId="0" borderId="24" xfId="0" applyFont="1" applyBorder="1" applyAlignment="1">
      <alignment horizontal="center" vertical="center"/>
    </xf>
    <xf numFmtId="0" fontId="8" fillId="0" borderId="13" xfId="0" applyFont="1" applyBorder="1" applyAlignment="1">
      <alignment horizontal="center" vertical="center"/>
    </xf>
    <xf numFmtId="0" fontId="1" fillId="10" borderId="24" xfId="0" applyFont="1" applyFill="1" applyBorder="1" applyAlignment="1">
      <alignment horizontal="center" vertical="center"/>
    </xf>
    <xf numFmtId="164" fontId="19" fillId="10" borderId="13" xfId="0" applyNumberFormat="1" applyFont="1" applyFill="1" applyBorder="1" applyAlignment="1">
      <alignment horizontal="center" vertical="center"/>
    </xf>
    <xf numFmtId="0" fontId="8" fillId="0" borderId="19" xfId="0" applyFont="1" applyBorder="1" applyAlignment="1">
      <alignment horizontal="center" vertical="center"/>
    </xf>
    <xf numFmtId="2" fontId="0" fillId="0" borderId="20" xfId="0" applyNumberFormat="1" applyBorder="1" applyAlignment="1">
      <alignment horizontal="center" vertical="center"/>
    </xf>
    <xf numFmtId="0" fontId="8" fillId="0" borderId="20" xfId="0" applyFont="1" applyBorder="1" applyAlignment="1">
      <alignment horizontal="center" vertical="center"/>
    </xf>
    <xf numFmtId="0" fontId="8" fillId="0" borderId="0" xfId="0" applyFont="1" applyAlignment="1">
      <alignment wrapText="1"/>
    </xf>
    <xf numFmtId="2" fontId="0" fillId="12" borderId="38" xfId="0" applyNumberFormat="1" applyFill="1" applyBorder="1" applyAlignment="1">
      <alignment horizontal="center"/>
    </xf>
    <xf numFmtId="10" fontId="0" fillId="12" borderId="30" xfId="0" applyNumberFormat="1" applyFill="1" applyBorder="1" applyAlignment="1">
      <alignment horizontal="center"/>
    </xf>
    <xf numFmtId="167" fontId="0" fillId="0" borderId="30" xfId="0" applyNumberFormat="1" applyBorder="1" applyAlignment="1">
      <alignment horizontal="center" vertical="center"/>
    </xf>
    <xf numFmtId="169" fontId="0" fillId="5" borderId="21" xfId="0" applyNumberFormat="1" applyFill="1" applyBorder="1"/>
    <xf numFmtId="0" fontId="0" fillId="0" borderId="24" xfId="0" applyBorder="1"/>
    <xf numFmtId="9" fontId="0" fillId="0" borderId="25" xfId="1" applyFont="1" applyBorder="1"/>
    <xf numFmtId="0" fontId="0" fillId="0" borderId="25" xfId="0" applyBorder="1"/>
    <xf numFmtId="9" fontId="0" fillId="0" borderId="20" xfId="1" applyFont="1" applyBorder="1"/>
    <xf numFmtId="0" fontId="0" fillId="0" borderId="20" xfId="0" applyBorder="1"/>
    <xf numFmtId="0" fontId="17" fillId="0" borderId="9" xfId="0" applyFont="1" applyBorder="1" applyAlignment="1">
      <alignment horizontal="left" vertical="top" wrapText="1"/>
    </xf>
    <xf numFmtId="0" fontId="17" fillId="0" borderId="9" xfId="0" applyFont="1" applyBorder="1" applyAlignment="1">
      <alignment horizontal="right" vertical="top" wrapText="1"/>
    </xf>
    <xf numFmtId="0" fontId="8" fillId="0" borderId="0" xfId="0" applyFont="1" applyAlignment="1">
      <alignment horizontal="left" vertical="top" wrapText="1"/>
    </xf>
    <xf numFmtId="0" fontId="8" fillId="0" borderId="1" xfId="0" applyFont="1" applyBorder="1" applyAlignment="1">
      <alignment horizontal="left" vertical="top" wrapText="1"/>
    </xf>
    <xf numFmtId="0" fontId="17" fillId="0" borderId="0" xfId="0" applyFont="1"/>
    <xf numFmtId="9" fontId="17" fillId="3" borderId="0" xfId="1" applyFont="1" applyFill="1"/>
    <xf numFmtId="9" fontId="17" fillId="3" borderId="0" xfId="0" applyNumberFormat="1" applyFont="1" applyFill="1"/>
    <xf numFmtId="168" fontId="17" fillId="3" borderId="0" xfId="0" applyNumberFormat="1" applyFont="1" applyFill="1"/>
    <xf numFmtId="168" fontId="8" fillId="0" borderId="0" xfId="0" applyNumberFormat="1" applyFont="1"/>
    <xf numFmtId="0" fontId="8" fillId="2" borderId="0" xfId="0" applyFont="1" applyFill="1" applyAlignment="1">
      <alignment horizontal="left" vertical="top" wrapText="1"/>
    </xf>
    <xf numFmtId="0" fontId="8" fillId="2" borderId="0" xfId="0" applyFont="1" applyFill="1"/>
    <xf numFmtId="4" fontId="8" fillId="2" borderId="0" xfId="0" applyNumberFormat="1" applyFont="1" applyFill="1" applyAlignment="1">
      <alignment horizontal="right" vertical="center"/>
    </xf>
    <xf numFmtId="9" fontId="8" fillId="2" borderId="0" xfId="1" applyFont="1" applyFill="1"/>
    <xf numFmtId="9" fontId="8" fillId="2" borderId="0" xfId="0" applyNumberFormat="1" applyFont="1" applyFill="1"/>
    <xf numFmtId="168" fontId="8" fillId="2" borderId="0" xfId="0" applyNumberFormat="1" applyFont="1" applyFill="1"/>
    <xf numFmtId="0" fontId="17" fillId="0" borderId="0" xfId="0" applyFont="1" applyAlignment="1">
      <alignment horizontal="center" vertical="center" wrapText="1"/>
    </xf>
    <xf numFmtId="0" fontId="17" fillId="0" borderId="0" xfId="0" applyFont="1" applyAlignment="1">
      <alignment horizontal="center" vertical="center"/>
    </xf>
    <xf numFmtId="0" fontId="0" fillId="11" borderId="35" xfId="0" applyFill="1" applyBorder="1" applyAlignment="1">
      <alignment horizontal="center" vertical="center"/>
    </xf>
    <xf numFmtId="0" fontId="1" fillId="11" borderId="35" xfId="0" applyFont="1" applyFill="1" applyBorder="1" applyAlignment="1">
      <alignment horizontal="center" vertical="center"/>
    </xf>
    <xf numFmtId="0" fontId="8" fillId="10" borderId="3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35" xfId="0" applyFont="1" applyFill="1" applyBorder="1" applyAlignment="1">
      <alignment horizontal="center" vertical="center"/>
    </xf>
    <xf numFmtId="0" fontId="18" fillId="0" borderId="0" xfId="0" applyFont="1" applyAlignment="1">
      <alignment horizontal="left" vertical="top" wrapText="1"/>
    </xf>
    <xf numFmtId="0" fontId="7" fillId="2" borderId="16" xfId="0" applyFont="1" applyFill="1" applyBorder="1" applyAlignment="1">
      <alignment horizontal="center" vertical="center"/>
    </xf>
    <xf numFmtId="0" fontId="7" fillId="2" borderId="17" xfId="0" applyFont="1" applyFill="1" applyBorder="1" applyAlignment="1">
      <alignment horizontal="center" vertical="center"/>
    </xf>
    <xf numFmtId="0" fontId="7" fillId="2" borderId="18" xfId="0" applyFont="1" applyFill="1" applyBorder="1" applyAlignment="1">
      <alignment horizontal="center" vertic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3" borderId="18" xfId="0" applyFont="1" applyFill="1" applyBorder="1" applyAlignment="1">
      <alignment horizontal="center"/>
    </xf>
    <xf numFmtId="0" fontId="2" fillId="6" borderId="13" xfId="0" applyFont="1" applyFill="1" applyBorder="1" applyAlignment="1">
      <alignment horizontal="center"/>
    </xf>
    <xf numFmtId="0" fontId="2" fillId="6" borderId="25" xfId="0" applyFont="1" applyFill="1" applyBorder="1" applyAlignment="1">
      <alignment horizontal="center"/>
    </xf>
    <xf numFmtId="0" fontId="2" fillId="2" borderId="24" xfId="0" applyFont="1" applyFill="1" applyBorder="1" applyAlignment="1">
      <alignment horizontal="center" vertical="center"/>
    </xf>
    <xf numFmtId="0" fontId="2" fillId="2" borderId="19" xfId="0" applyFont="1" applyFill="1" applyBorder="1" applyAlignment="1">
      <alignment horizontal="center" vertical="center"/>
    </xf>
    <xf numFmtId="0" fontId="0" fillId="0" borderId="0" xfId="0"/>
    <xf numFmtId="0" fontId="16" fillId="0" borderId="0" xfId="0" applyFont="1" applyAlignment="1">
      <alignment vertical="top" wrapText="1"/>
    </xf>
    <xf numFmtId="0" fontId="15" fillId="0" borderId="0" xfId="0" applyFont="1"/>
    <xf numFmtId="0" fontId="6" fillId="0" borderId="0" xfId="0" applyFont="1" applyAlignment="1">
      <alignment horizontal="left" vertical="center" wrapText="1"/>
    </xf>
    <xf numFmtId="0" fontId="18" fillId="0" borderId="26" xfId="0" applyFont="1" applyBorder="1" applyAlignment="1">
      <alignment horizontal="center" vertical="center" wrapText="1"/>
    </xf>
    <xf numFmtId="0" fontId="18" fillId="2" borderId="13" xfId="0" applyFont="1" applyFill="1" applyBorder="1"/>
    <xf numFmtId="0" fontId="21" fillId="13" borderId="0" xfId="0" applyFont="1" applyFill="1" applyAlignment="1">
      <alignment horizontal="center"/>
    </xf>
    <xf numFmtId="0" fontId="22" fillId="13" borderId="0" xfId="0" applyFont="1" applyFill="1" applyAlignment="1">
      <alignment horizontal="center"/>
    </xf>
    <xf numFmtId="0" fontId="8" fillId="10" borderId="13" xfId="0" applyFont="1" applyFill="1" applyBorder="1" applyAlignment="1">
      <alignment horizontal="center" vertical="center"/>
    </xf>
    <xf numFmtId="0" fontId="1" fillId="10" borderId="13" xfId="0" applyFont="1" applyFill="1" applyBorder="1" applyAlignment="1">
      <alignment horizontal="center" vertical="center"/>
    </xf>
    <xf numFmtId="0" fontId="8" fillId="10" borderId="16" xfId="0" applyFont="1" applyFill="1" applyBorder="1" applyAlignment="1">
      <alignment horizontal="center" vertical="center"/>
    </xf>
    <xf numFmtId="0" fontId="8" fillId="10" borderId="17" xfId="0" applyFont="1" applyFill="1" applyBorder="1" applyAlignment="1">
      <alignment horizontal="center" vertical="center"/>
    </xf>
    <xf numFmtId="0" fontId="8" fillId="11" borderId="17" xfId="0" applyFont="1" applyFill="1" applyBorder="1" applyAlignment="1">
      <alignment horizontal="center" vertical="center"/>
    </xf>
    <xf numFmtId="0" fontId="8" fillId="10" borderId="24" xfId="0" applyFont="1" applyFill="1" applyBorder="1" applyAlignment="1">
      <alignment horizontal="center" vertical="center"/>
    </xf>
    <xf numFmtId="0" fontId="1" fillId="10" borderId="24" xfId="0" applyFont="1" applyFill="1" applyBorder="1" applyAlignment="1">
      <alignment horizontal="center" vertical="center"/>
    </xf>
    <xf numFmtId="0" fontId="1" fillId="11" borderId="42" xfId="0" applyFont="1" applyFill="1" applyBorder="1" applyAlignment="1">
      <alignment horizontal="center" vertical="center"/>
    </xf>
    <xf numFmtId="0" fontId="0" fillId="11" borderId="42" xfId="0" applyFill="1" applyBorder="1" applyAlignment="1">
      <alignment horizontal="center" vertical="center"/>
    </xf>
    <xf numFmtId="0" fontId="8" fillId="11" borderId="42" xfId="0" applyFont="1" applyFill="1" applyBorder="1" applyAlignment="1">
      <alignment horizontal="center" vertical="center"/>
    </xf>
    <xf numFmtId="0" fontId="8" fillId="14" borderId="35" xfId="0" applyFont="1" applyFill="1" applyBorder="1" applyAlignment="1">
      <alignment horizontal="center" vertical="center"/>
    </xf>
    <xf numFmtId="0" fontId="0" fillId="14" borderId="35" xfId="0" applyFill="1" applyBorder="1" applyAlignment="1">
      <alignment horizontal="center" vertical="center"/>
    </xf>
    <xf numFmtId="0" fontId="1" fillId="14" borderId="35" xfId="0" applyFont="1" applyFill="1" applyBorder="1" applyAlignment="1">
      <alignment horizontal="center" vertical="center"/>
    </xf>
    <xf numFmtId="0" fontId="8" fillId="14" borderId="43" xfId="0" applyFont="1" applyFill="1" applyBorder="1" applyAlignment="1">
      <alignment horizontal="center" vertical="center"/>
    </xf>
    <xf numFmtId="0" fontId="0" fillId="14" borderId="43" xfId="0" applyFill="1" applyBorder="1" applyAlignment="1">
      <alignment horizontal="center" vertical="center"/>
    </xf>
    <xf numFmtId="0" fontId="1" fillId="14" borderId="43" xfId="0" applyFont="1" applyFill="1" applyBorder="1" applyAlignment="1">
      <alignment horizontal="center" vertical="center"/>
    </xf>
    <xf numFmtId="0" fontId="8" fillId="14" borderId="40" xfId="0" applyFont="1" applyFill="1" applyBorder="1" applyAlignment="1">
      <alignment horizontal="center" vertical="center"/>
    </xf>
    <xf numFmtId="0" fontId="8" fillId="14" borderId="41" xfId="0" applyFont="1" applyFill="1" applyBorder="1" applyAlignment="1">
      <alignment horizontal="center" vertical="center"/>
    </xf>
    <xf numFmtId="0" fontId="8" fillId="0" borderId="25" xfId="0" applyFont="1" applyBorder="1" applyAlignment="1">
      <alignment horizontal="center" vertical="center"/>
    </xf>
    <xf numFmtId="0" fontId="4" fillId="0" borderId="25" xfId="0" applyFont="1" applyBorder="1" applyAlignment="1">
      <alignment horizontal="center" vertical="center"/>
    </xf>
    <xf numFmtId="0" fontId="4" fillId="0" borderId="0" xfId="0" applyFont="1" applyAlignment="1">
      <alignment horizontal="center" vertical="center"/>
    </xf>
    <xf numFmtId="0" fontId="8" fillId="14" borderId="44" xfId="0" applyFont="1" applyFill="1" applyBorder="1" applyAlignment="1">
      <alignment horizontal="center" vertical="center"/>
    </xf>
    <xf numFmtId="0" fontId="8" fillId="14" borderId="34" xfId="0" applyFont="1" applyFill="1" applyBorder="1" applyAlignment="1">
      <alignment horizontal="center" vertical="center"/>
    </xf>
    <xf numFmtId="0" fontId="8" fillId="10" borderId="45" xfId="0" applyFont="1" applyFill="1" applyBorder="1" applyAlignment="1">
      <alignment horizontal="center" vertical="center"/>
    </xf>
    <xf numFmtId="0" fontId="8" fillId="11" borderId="45" xfId="0" applyFont="1" applyFill="1" applyBorder="1" applyAlignment="1">
      <alignment horizontal="center" vertical="center"/>
    </xf>
    <xf numFmtId="0" fontId="4" fillId="0" borderId="0" xfId="0" applyFont="1" applyBorder="1"/>
    <xf numFmtId="2" fontId="0" fillId="0" borderId="0" xfId="0" applyNumberFormat="1" applyBorder="1" applyAlignment="1">
      <alignment horizontal="center" vertical="center"/>
    </xf>
    <xf numFmtId="0" fontId="4" fillId="0" borderId="13" xfId="0" applyFont="1" applyBorder="1" applyAlignment="1">
      <alignment horizontal="center" vertical="center"/>
    </xf>
    <xf numFmtId="2" fontId="4" fillId="0" borderId="13" xfId="0" applyNumberFormat="1" applyFont="1" applyBorder="1" applyAlignment="1">
      <alignment horizontal="center" vertical="center"/>
    </xf>
    <xf numFmtId="0" fontId="8" fillId="10" borderId="46" xfId="0" applyFont="1" applyFill="1" applyBorder="1" applyAlignment="1">
      <alignment horizontal="center" vertical="center"/>
    </xf>
    <xf numFmtId="0" fontId="8" fillId="10" borderId="47" xfId="0" applyFont="1" applyFill="1" applyBorder="1" applyAlignment="1">
      <alignment horizontal="center" vertical="center"/>
    </xf>
    <xf numFmtId="0" fontId="8" fillId="11" borderId="46" xfId="0" applyFont="1" applyFill="1" applyBorder="1" applyAlignment="1">
      <alignment horizontal="center" vertical="center"/>
    </xf>
    <xf numFmtId="0" fontId="8" fillId="11" borderId="47" xfId="0" applyFont="1" applyFill="1" applyBorder="1" applyAlignment="1">
      <alignment horizontal="center" vertical="center"/>
    </xf>
    <xf numFmtId="0" fontId="8" fillId="14" borderId="48" xfId="0" applyFont="1" applyFill="1" applyBorder="1" applyAlignment="1">
      <alignment horizontal="center" vertical="center"/>
    </xf>
    <xf numFmtId="0" fontId="8" fillId="14" borderId="15" xfId="0" applyFont="1" applyFill="1" applyBorder="1" applyAlignment="1">
      <alignment horizontal="center" vertical="center"/>
    </xf>
    <xf numFmtId="0" fontId="23" fillId="3" borderId="0" xfId="0" applyFont="1" applyFill="1"/>
    <xf numFmtId="0" fontId="0" fillId="0" borderId="13" xfId="0" applyFont="1" applyBorder="1"/>
    <xf numFmtId="0" fontId="0" fillId="0" borderId="25" xfId="0" applyFont="1" applyBorder="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Football Field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'1.2.Comps,Transtn'!$B$69</c:f>
              <c:strCache>
                <c:ptCount val="1"/>
                <c:pt idx="0">
                  <c:v>low</c:v>
                </c:pt>
              </c:strCache>
            </c:strRef>
          </c:tx>
          <c:spPr>
            <a:solidFill>
              <a:schemeClr val="bg1"/>
            </a:solidFill>
            <a:ln>
              <a:noFill/>
            </a:ln>
            <a:effectLst/>
          </c:spPr>
          <c:invertIfNegative val="0"/>
          <c:cat>
            <c:strRef>
              <c:f>'1.2.Comps,Transtn'!$A$70:$A$74</c:f>
              <c:strCache>
                <c:ptCount val="4"/>
                <c:pt idx="1">
                  <c:v>EV/EBIDTA</c:v>
                </c:pt>
                <c:pt idx="3">
                  <c:v>EV/SALES</c:v>
                </c:pt>
              </c:strCache>
            </c:strRef>
          </c:cat>
          <c:val>
            <c:numRef>
              <c:f>'1.2.Comps,Transtn'!$B$70:$B$74</c:f>
              <c:numCache>
                <c:formatCode>General</c:formatCode>
                <c:ptCount val="5"/>
                <c:pt idx="0" formatCode="0.00">
                  <c:v>13.34</c:v>
                </c:pt>
                <c:pt idx="1">
                  <c:v>0</c:v>
                </c:pt>
                <c:pt idx="2" formatCode="0.00">
                  <c:v>23.55</c:v>
                </c:pt>
                <c:pt idx="3">
                  <c:v>0</c:v>
                </c:pt>
                <c:pt idx="4">
                  <c:v>34.799999999999997</c:v>
                </c:pt>
              </c:numCache>
            </c:numRef>
          </c:val>
          <c:extLst>
            <c:ext xmlns:c16="http://schemas.microsoft.com/office/drawing/2014/chart" uri="{C3380CC4-5D6E-409C-BE32-E72D297353CC}">
              <c16:uniqueId val="{00000000-4CB0-4777-99D1-19A830DC9D2D}"/>
            </c:ext>
          </c:extLst>
        </c:ser>
        <c:ser>
          <c:idx val="1"/>
          <c:order val="1"/>
          <c:tx>
            <c:strRef>
              <c:f>'1.2.Comps,Transtn'!$C$69</c:f>
              <c:strCache>
                <c:ptCount val="1"/>
                <c:pt idx="0">
                  <c:v>d1</c:v>
                </c:pt>
              </c:strCache>
            </c:strRef>
          </c:tx>
          <c:spPr>
            <a:solidFill>
              <a:schemeClr val="accent2"/>
            </a:solidFill>
            <a:ln>
              <a:noFill/>
            </a:ln>
            <a:effectLst/>
          </c:spPr>
          <c:invertIfNegative val="0"/>
          <c:cat>
            <c:strRef>
              <c:f>'1.2.Comps,Transtn'!$A$70:$A$74</c:f>
              <c:strCache>
                <c:ptCount val="4"/>
                <c:pt idx="1">
                  <c:v>EV/EBIDTA</c:v>
                </c:pt>
                <c:pt idx="3">
                  <c:v>EV/SALES</c:v>
                </c:pt>
              </c:strCache>
            </c:strRef>
          </c:cat>
          <c:val>
            <c:numRef>
              <c:f>'1.2.Comps,Transtn'!$C$70:$C$74</c:f>
              <c:numCache>
                <c:formatCode>General</c:formatCode>
                <c:ptCount val="5"/>
                <c:pt idx="0" formatCode="0.00">
                  <c:v>12.899999999999999</c:v>
                </c:pt>
                <c:pt idx="1">
                  <c:v>0</c:v>
                </c:pt>
                <c:pt idx="2" formatCode="0.00">
                  <c:v>111.46</c:v>
                </c:pt>
                <c:pt idx="3">
                  <c:v>0</c:v>
                </c:pt>
                <c:pt idx="4">
                  <c:v>36.240000000000009</c:v>
                </c:pt>
              </c:numCache>
            </c:numRef>
          </c:val>
          <c:extLst>
            <c:ext xmlns:c16="http://schemas.microsoft.com/office/drawing/2014/chart" uri="{C3380CC4-5D6E-409C-BE32-E72D297353CC}">
              <c16:uniqueId val="{00000001-4CB0-4777-99D1-19A830DC9D2D}"/>
            </c:ext>
          </c:extLst>
        </c:ser>
        <c:ser>
          <c:idx val="2"/>
          <c:order val="2"/>
          <c:tx>
            <c:strRef>
              <c:f>'1.2.Comps,Transtn'!$D$69</c:f>
              <c:strCache>
                <c:ptCount val="1"/>
                <c:pt idx="0">
                  <c:v>d2</c:v>
                </c:pt>
              </c:strCache>
            </c:strRef>
          </c:tx>
          <c:spPr>
            <a:solidFill>
              <a:schemeClr val="accent3"/>
            </a:solidFill>
            <a:ln>
              <a:noFill/>
            </a:ln>
            <a:effectLst/>
          </c:spPr>
          <c:invertIfNegative val="0"/>
          <c:cat>
            <c:strRef>
              <c:f>'1.2.Comps,Transtn'!$A$70:$A$74</c:f>
              <c:strCache>
                <c:ptCount val="4"/>
                <c:pt idx="1">
                  <c:v>EV/EBIDTA</c:v>
                </c:pt>
                <c:pt idx="3">
                  <c:v>EV/SALES</c:v>
                </c:pt>
              </c:strCache>
            </c:strRef>
          </c:cat>
          <c:val>
            <c:numRef>
              <c:f>'1.2.Comps,Transtn'!$D$70:$D$74</c:f>
              <c:numCache>
                <c:formatCode>General</c:formatCode>
                <c:ptCount val="5"/>
                <c:pt idx="0" formatCode="0.00">
                  <c:v>12.900000000000002</c:v>
                </c:pt>
                <c:pt idx="1">
                  <c:v>0</c:v>
                </c:pt>
                <c:pt idx="2" formatCode="0.00">
                  <c:v>111.45000000000002</c:v>
                </c:pt>
                <c:pt idx="3">
                  <c:v>0</c:v>
                </c:pt>
                <c:pt idx="4">
                  <c:v>36.169999999999987</c:v>
                </c:pt>
              </c:numCache>
            </c:numRef>
          </c:val>
          <c:extLst>
            <c:ext xmlns:c16="http://schemas.microsoft.com/office/drawing/2014/chart" uri="{C3380CC4-5D6E-409C-BE32-E72D297353CC}">
              <c16:uniqueId val="{00000002-4CB0-4777-99D1-19A830DC9D2D}"/>
            </c:ext>
          </c:extLst>
        </c:ser>
        <c:dLbls>
          <c:showLegendKey val="0"/>
          <c:showVal val="0"/>
          <c:showCatName val="0"/>
          <c:showSerName val="0"/>
          <c:showPercent val="0"/>
          <c:showBubbleSize val="0"/>
        </c:dLbls>
        <c:gapWidth val="150"/>
        <c:overlap val="100"/>
        <c:axId val="624876447"/>
        <c:axId val="1241970591"/>
      </c:barChart>
      <c:catAx>
        <c:axId val="624876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970591"/>
        <c:crosses val="autoZero"/>
        <c:auto val="1"/>
        <c:lblAlgn val="ctr"/>
        <c:lblOffset val="100"/>
        <c:noMultiLvlLbl val="0"/>
      </c:catAx>
      <c:valAx>
        <c:axId val="124197059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8764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xdr:col>
      <xdr:colOff>149678</xdr:colOff>
      <xdr:row>61</xdr:row>
      <xdr:rowOff>36740</xdr:rowOff>
    </xdr:from>
    <xdr:to>
      <xdr:col>10</xdr:col>
      <xdr:colOff>530678</xdr:colOff>
      <xdr:row>82</xdr:row>
      <xdr:rowOff>40821</xdr:rowOff>
    </xdr:to>
    <xdr:graphicFrame macro="">
      <xdr:nvGraphicFramePr>
        <xdr:cNvPr id="2" name="Chart 1">
          <a:extLst>
            <a:ext uri="{FF2B5EF4-FFF2-40B4-BE49-F238E27FC236}">
              <a16:creationId xmlns:a16="http://schemas.microsoft.com/office/drawing/2014/main" id="{CF1E0FF8-BD64-B524-4091-D2FAD76CC8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164522</xdr:colOff>
      <xdr:row>63</xdr:row>
      <xdr:rowOff>77932</xdr:rowOff>
    </xdr:from>
    <xdr:to>
      <xdr:col>5</xdr:col>
      <xdr:colOff>727363</xdr:colOff>
      <xdr:row>78</xdr:row>
      <xdr:rowOff>60613</xdr:rowOff>
    </xdr:to>
    <xdr:sp macro="" textlink="">
      <xdr:nvSpPr>
        <xdr:cNvPr id="4" name="Rectangle 3">
          <a:extLst>
            <a:ext uri="{FF2B5EF4-FFF2-40B4-BE49-F238E27FC236}">
              <a16:creationId xmlns:a16="http://schemas.microsoft.com/office/drawing/2014/main" id="{45777C85-7A2B-5304-7A7E-88B3289C6056}"/>
            </a:ext>
          </a:extLst>
        </xdr:cNvPr>
        <xdr:cNvSpPr/>
      </xdr:nvSpPr>
      <xdr:spPr>
        <a:xfrm>
          <a:off x="7083136" y="8243455"/>
          <a:ext cx="562841" cy="2563090"/>
        </a:xfrm>
        <a:prstGeom prst="rect">
          <a:avLst/>
        </a:prstGeom>
        <a:noFill/>
        <a:scene3d>
          <a:camera prst="orthographicFront"/>
          <a:lightRig rig="threePt" dir="t"/>
        </a:scene3d>
        <a:sp3d>
          <a:bevelT prst="slope"/>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219075</xdr:colOff>
      <xdr:row>0</xdr:row>
      <xdr:rowOff>276225</xdr:rowOff>
    </xdr:from>
    <xdr:to>
      <xdr:col>1</xdr:col>
      <xdr:colOff>3607204</xdr:colOff>
      <xdr:row>0</xdr:row>
      <xdr:rowOff>1269596</xdr:rowOff>
    </xdr:to>
    <xdr:pic>
      <xdr:nvPicPr>
        <xdr:cNvPr id="2" name="Picture 1">
          <a:extLst>
            <a:ext uri="{FF2B5EF4-FFF2-40B4-BE49-F238E27FC236}">
              <a16:creationId xmlns:a16="http://schemas.microsoft.com/office/drawing/2014/main" id="{00000000-0008-0000-0000-000002000000}"/>
            </a:ext>
          </a:extLst>
        </xdr:cNvPr>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276225"/>
          <a:ext cx="4759729" cy="9933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40E21-F943-4E1E-8D2B-50D37056087D}">
  <dimension ref="A1:R74"/>
  <sheetViews>
    <sheetView zoomScale="77" workbookViewId="0">
      <selection activeCell="J12" sqref="J12"/>
    </sheetView>
  </sheetViews>
  <sheetFormatPr defaultColWidth="8.88671875" defaultRowHeight="13.2" x14ac:dyDescent="0.25"/>
  <cols>
    <col min="1" max="1" width="33.5546875" style="2" customWidth="1"/>
    <col min="2" max="2" width="15.88671875" style="2" customWidth="1"/>
    <col min="3" max="3" width="20.77734375" style="2" bestFit="1" customWidth="1"/>
    <col min="4" max="10" width="15.33203125" style="2" customWidth="1"/>
    <col min="11" max="11" width="13.5546875" style="2" bestFit="1" customWidth="1"/>
    <col min="12" max="12" width="13.5546875" style="2" customWidth="1"/>
    <col min="13" max="13" width="11.44140625" style="2" customWidth="1"/>
    <col min="14" max="14" width="8.88671875" style="2"/>
    <col min="15" max="15" width="11.6640625" style="2" customWidth="1"/>
    <col min="16" max="16384" width="8.88671875" style="2"/>
  </cols>
  <sheetData>
    <row r="1" spans="1:18" ht="17.399999999999999" x14ac:dyDescent="0.3">
      <c r="A1" s="264" t="s">
        <v>260</v>
      </c>
      <c r="B1" s="264"/>
      <c r="C1" s="264"/>
      <c r="D1" s="264"/>
      <c r="E1" s="264"/>
      <c r="F1" s="264"/>
      <c r="G1" s="264"/>
      <c r="H1" s="264"/>
      <c r="I1" s="264"/>
      <c r="J1" s="264"/>
      <c r="K1" s="264"/>
      <c r="L1" s="264"/>
      <c r="M1" s="264"/>
    </row>
    <row r="3" spans="1:18" x14ac:dyDescent="0.25">
      <c r="A3" s="39"/>
      <c r="B3" s="39"/>
      <c r="C3" s="39"/>
      <c r="D3" s="39"/>
      <c r="E3" s="39"/>
      <c r="F3" s="39"/>
      <c r="G3" s="39"/>
      <c r="H3" s="39"/>
      <c r="I3" s="39"/>
      <c r="J3" s="39"/>
      <c r="M3" s="2" t="s">
        <v>261</v>
      </c>
      <c r="N3" s="2" t="s">
        <v>262</v>
      </c>
      <c r="O3" s="2" t="s">
        <v>263</v>
      </c>
      <c r="P3" s="2" t="s">
        <v>267</v>
      </c>
      <c r="R3" s="2" t="s">
        <v>268</v>
      </c>
    </row>
    <row r="4" spans="1:18" ht="42" x14ac:dyDescent="0.25">
      <c r="A4" s="40" t="s">
        <v>110</v>
      </c>
      <c r="B4" s="41" t="s">
        <v>111</v>
      </c>
      <c r="C4" s="41" t="s">
        <v>112</v>
      </c>
      <c r="D4" s="41" t="s">
        <v>113</v>
      </c>
      <c r="E4" s="41" t="s">
        <v>114</v>
      </c>
      <c r="F4" s="41" t="s">
        <v>115</v>
      </c>
      <c r="G4" s="41" t="s">
        <v>116</v>
      </c>
      <c r="H4" s="41" t="s">
        <v>117</v>
      </c>
      <c r="I4" s="41" t="s">
        <v>118</v>
      </c>
      <c r="J4" s="41" t="s">
        <v>119</v>
      </c>
      <c r="L4" s="41" t="s">
        <v>270</v>
      </c>
      <c r="M4" s="41" t="s">
        <v>238</v>
      </c>
      <c r="N4" s="41" t="s">
        <v>239</v>
      </c>
      <c r="O4" s="41" t="s">
        <v>264</v>
      </c>
      <c r="P4" s="41" t="s">
        <v>265</v>
      </c>
      <c r="Q4" s="41"/>
      <c r="R4" s="41" t="s">
        <v>266</v>
      </c>
    </row>
    <row r="5" spans="1:18" hidden="1" x14ac:dyDescent="0.25">
      <c r="A5" s="42" t="s">
        <v>120</v>
      </c>
      <c r="B5" s="43">
        <v>178.91</v>
      </c>
      <c r="C5" s="44">
        <v>2569.5</v>
      </c>
      <c r="D5" s="44">
        <v>459705.2</v>
      </c>
      <c r="E5" s="44">
        <v>-15074.3</v>
      </c>
      <c r="F5" s="44">
        <v>456971</v>
      </c>
      <c r="G5" s="45">
        <v>9.3800000000000008</v>
      </c>
      <c r="H5" s="44">
        <v>36081.5</v>
      </c>
      <c r="I5" s="44">
        <v>14222.7</v>
      </c>
      <c r="J5" s="46">
        <v>0.57709999999999995</v>
      </c>
    </row>
    <row r="6" spans="1:18" hidden="1" x14ac:dyDescent="0.25">
      <c r="A6" s="42" t="s">
        <v>121</v>
      </c>
      <c r="B6" s="43">
        <v>1431.42</v>
      </c>
      <c r="C6" s="44">
        <v>484.1</v>
      </c>
      <c r="D6" s="44">
        <v>692960.7</v>
      </c>
      <c r="E6" s="44">
        <v>13161</v>
      </c>
      <c r="F6" s="44">
        <v>706121.7</v>
      </c>
      <c r="G6" s="45">
        <v>22.7</v>
      </c>
      <c r="H6" s="44">
        <v>177866</v>
      </c>
      <c r="I6" s="44">
        <v>15039</v>
      </c>
      <c r="J6" s="46">
        <v>0.308</v>
      </c>
    </row>
    <row r="7" spans="1:18" s="198" customFormat="1" x14ac:dyDescent="0.25">
      <c r="A7" s="197" t="s">
        <v>122</v>
      </c>
      <c r="B7" s="203">
        <v>166.48</v>
      </c>
      <c r="C7" s="193">
        <v>5074</v>
      </c>
      <c r="D7" s="193">
        <v>844721.7</v>
      </c>
      <c r="E7" s="193">
        <v>45247</v>
      </c>
      <c r="F7" s="193">
        <v>889968.7</v>
      </c>
      <c r="G7" s="194">
        <v>26.01</v>
      </c>
      <c r="H7" s="193">
        <v>239176</v>
      </c>
      <c r="I7" s="193">
        <v>74174</v>
      </c>
      <c r="J7" s="192">
        <v>9.6500000000000002E-2</v>
      </c>
      <c r="L7" s="198">
        <f>88.293+61.137+53.265+62.9</f>
        <v>265.59499999999997</v>
      </c>
      <c r="M7" s="198">
        <f>F7/H7</f>
        <v>3.7209782754122487</v>
      </c>
      <c r="N7" s="198">
        <f>F7/I7</f>
        <v>11.998391619705018</v>
      </c>
      <c r="O7" s="198">
        <f>D7/C7</f>
        <v>166.48042964130863</v>
      </c>
      <c r="P7" s="198">
        <v>33.5</v>
      </c>
      <c r="Q7" s="301">
        <f>F7/L7</f>
        <v>3350.8488488111602</v>
      </c>
      <c r="R7" s="198">
        <f>O7/L7</f>
        <v>0.62682064662854586</v>
      </c>
    </row>
    <row r="8" spans="1:18" hidden="1" x14ac:dyDescent="0.25">
      <c r="A8" s="42" t="s">
        <v>123</v>
      </c>
      <c r="B8" s="43">
        <v>223.1</v>
      </c>
      <c r="C8" s="44">
        <v>348.2</v>
      </c>
      <c r="D8" s="44">
        <v>77675</v>
      </c>
      <c r="E8" s="44">
        <v>-11997.8</v>
      </c>
      <c r="F8" s="44">
        <v>68388.2</v>
      </c>
      <c r="G8" s="45">
        <v>42.96</v>
      </c>
      <c r="H8" s="44">
        <v>13485.5</v>
      </c>
      <c r="I8" s="44">
        <v>4361.8</v>
      </c>
      <c r="J8" s="46">
        <v>0.2021</v>
      </c>
      <c r="M8" s="198">
        <f t="shared" ref="M8:M18" si="0">F8/H8</f>
        <v>5.071239479440881</v>
      </c>
      <c r="N8" s="198">
        <f t="shared" ref="N8:N18" si="1">F8/I8</f>
        <v>15.678894034572881</v>
      </c>
      <c r="O8" s="198">
        <f t="shared" ref="O8:O18" si="2">D8/C8</f>
        <v>223.07581849511774</v>
      </c>
      <c r="Q8" s="301" t="e">
        <f t="shared" ref="Q8:Q12" si="3">F8/L8</f>
        <v>#DIV/0!</v>
      </c>
      <c r="R8" s="198" t="e">
        <f>O8/L8</f>
        <v>#DIV/0!</v>
      </c>
    </row>
    <row r="9" spans="1:18" hidden="1" x14ac:dyDescent="0.25">
      <c r="A9" s="42" t="s">
        <v>124</v>
      </c>
      <c r="B9" s="43">
        <v>33.28</v>
      </c>
      <c r="C9" s="44">
        <v>4644.5</v>
      </c>
      <c r="D9" s="44">
        <v>154569.20000000001</v>
      </c>
      <c r="E9" s="44">
        <v>61119</v>
      </c>
      <c r="F9" s="44">
        <v>217888.2</v>
      </c>
      <c r="G9" s="45">
        <v>-9.9700000000000006</v>
      </c>
      <c r="H9" s="44">
        <v>84526</v>
      </c>
      <c r="I9" s="44">
        <v>27812</v>
      </c>
      <c r="J9" s="46">
        <v>5.1299999999999998E-2</v>
      </c>
      <c r="M9" s="198">
        <f t="shared" si="0"/>
        <v>2.5777654212904908</v>
      </c>
      <c r="N9" s="198">
        <f t="shared" si="1"/>
        <v>7.8343233136775501</v>
      </c>
      <c r="O9" s="198">
        <f t="shared" si="2"/>
        <v>33.280051674023042</v>
      </c>
      <c r="Q9" s="301" t="e">
        <f t="shared" si="3"/>
        <v>#DIV/0!</v>
      </c>
      <c r="R9" s="198" t="e">
        <f>O9/L9</f>
        <v>#DIV/0!</v>
      </c>
    </row>
    <row r="10" spans="1:18" hidden="1" x14ac:dyDescent="0.25">
      <c r="A10" s="42" t="s">
        <v>125</v>
      </c>
      <c r="B10" s="43">
        <v>40.11</v>
      </c>
      <c r="C10" s="44">
        <v>1012.1</v>
      </c>
      <c r="D10" s="44">
        <v>40594.5</v>
      </c>
      <c r="E10" s="44">
        <v>4152</v>
      </c>
      <c r="F10" s="44">
        <v>44746.5</v>
      </c>
      <c r="G10" s="45">
        <v>3.13</v>
      </c>
      <c r="H10" s="44">
        <v>9567</v>
      </c>
      <c r="I10" s="44">
        <v>2941</v>
      </c>
      <c r="J10" s="46">
        <v>6.5500000000000003E-2</v>
      </c>
      <c r="M10" s="198">
        <f t="shared" si="0"/>
        <v>4.6771715271244902</v>
      </c>
      <c r="N10" s="198">
        <f t="shared" si="1"/>
        <v>15.214722883373001</v>
      </c>
      <c r="O10" s="198">
        <f t="shared" si="2"/>
        <v>40.109178934887858</v>
      </c>
      <c r="Q10" s="301" t="e">
        <f t="shared" si="3"/>
        <v>#DIV/0!</v>
      </c>
      <c r="R10" s="198" t="e">
        <f>O10/L10</f>
        <v>#DIV/0!</v>
      </c>
    </row>
    <row r="11" spans="1:18" hidden="1" x14ac:dyDescent="0.25">
      <c r="A11" s="42" t="s">
        <v>126</v>
      </c>
      <c r="B11" s="43">
        <v>153.03</v>
      </c>
      <c r="C11" s="44">
        <v>2905</v>
      </c>
      <c r="D11" s="44">
        <v>444552.3</v>
      </c>
      <c r="E11" s="44">
        <v>-41711</v>
      </c>
      <c r="F11" s="44">
        <v>402841.3</v>
      </c>
      <c r="G11" s="45">
        <v>18.670000000000002</v>
      </c>
      <c r="H11" s="44">
        <v>40653</v>
      </c>
      <c r="I11" s="44">
        <v>23228</v>
      </c>
      <c r="J11" s="46">
        <v>0.47089999999999999</v>
      </c>
      <c r="M11" s="198">
        <f t="shared" si="0"/>
        <v>9.9092637689715399</v>
      </c>
      <c r="N11" s="198">
        <f t="shared" si="1"/>
        <v>17.342918029963837</v>
      </c>
      <c r="O11" s="198">
        <f t="shared" si="2"/>
        <v>153.03005163511187</v>
      </c>
      <c r="Q11" s="301" t="e">
        <f t="shared" si="3"/>
        <v>#DIV/0!</v>
      </c>
      <c r="R11" s="198" t="e">
        <f>O11/L11</f>
        <v>#DIV/0!</v>
      </c>
    </row>
    <row r="12" spans="1:18" s="198" customFormat="1" x14ac:dyDescent="0.25">
      <c r="A12" s="197" t="s">
        <v>127</v>
      </c>
      <c r="B12" s="203">
        <v>285.77</v>
      </c>
      <c r="C12" s="193">
        <v>433.9</v>
      </c>
      <c r="D12" s="193">
        <v>124009.5</v>
      </c>
      <c r="E12" s="193">
        <v>3676.6</v>
      </c>
      <c r="F12" s="193">
        <v>127686.1</v>
      </c>
      <c r="G12" s="194">
        <v>-15.67</v>
      </c>
      <c r="H12" s="193">
        <v>11692.7</v>
      </c>
      <c r="I12" s="193">
        <v>910.6</v>
      </c>
      <c r="J12" s="192">
        <v>0.3241</v>
      </c>
      <c r="L12" s="198">
        <v>11.693</v>
      </c>
      <c r="M12" s="198">
        <f t="shared" si="0"/>
        <v>10.920155310578394</v>
      </c>
      <c r="N12" s="198">
        <f t="shared" si="1"/>
        <v>140.2219415769822</v>
      </c>
      <c r="O12" s="198">
        <f t="shared" si="2"/>
        <v>285.80202811707767</v>
      </c>
      <c r="P12" s="198">
        <v>10.9</v>
      </c>
      <c r="Q12" s="301">
        <f t="shared" si="3"/>
        <v>10919.875138972035</v>
      </c>
      <c r="R12" s="198">
        <f>O12/L12</f>
        <v>24.442147277608626</v>
      </c>
    </row>
    <row r="13" spans="1:18" hidden="1" x14ac:dyDescent="0.25">
      <c r="A13" s="42" t="s">
        <v>128</v>
      </c>
      <c r="B13" s="43">
        <v>4.96</v>
      </c>
      <c r="C13" s="44">
        <v>254.9</v>
      </c>
      <c r="D13" s="44">
        <v>1264.2</v>
      </c>
      <c r="E13" s="44">
        <v>-227.8</v>
      </c>
      <c r="F13" s="44">
        <v>1527.2</v>
      </c>
      <c r="G13" s="45">
        <v>0.04</v>
      </c>
      <c r="H13" s="44">
        <v>1466.8</v>
      </c>
      <c r="I13" s="44">
        <v>-289</v>
      </c>
      <c r="J13" s="46">
        <v>5.9200000000000003E-2</v>
      </c>
      <c r="M13" s="198">
        <f t="shared" si="0"/>
        <v>1.04117807472048</v>
      </c>
      <c r="N13" s="198">
        <f t="shared" si="1"/>
        <v>-5.2844290657439448</v>
      </c>
      <c r="O13" s="198">
        <f t="shared" si="2"/>
        <v>4.9595919968615148</v>
      </c>
    </row>
    <row r="14" spans="1:18" hidden="1" x14ac:dyDescent="0.25">
      <c r="A14" s="42" t="s">
        <v>129</v>
      </c>
      <c r="B14" s="43">
        <v>98.54</v>
      </c>
      <c r="C14" s="44">
        <v>1503.7</v>
      </c>
      <c r="D14" s="44">
        <v>148172.20000000001</v>
      </c>
      <c r="E14" s="44">
        <v>21414</v>
      </c>
      <c r="F14" s="44">
        <v>174522.2</v>
      </c>
      <c r="G14" s="45">
        <v>3.29</v>
      </c>
      <c r="H14" s="44">
        <v>55704</v>
      </c>
      <c r="I14" s="44">
        <v>16912</v>
      </c>
      <c r="J14" s="46">
        <v>9.5999999999999992E-3</v>
      </c>
      <c r="M14" s="198">
        <f t="shared" si="0"/>
        <v>3.1330281487864426</v>
      </c>
      <c r="N14" s="198">
        <f t="shared" si="1"/>
        <v>10.319429990539263</v>
      </c>
      <c r="O14" s="198">
        <f t="shared" si="2"/>
        <v>98.538405267008045</v>
      </c>
    </row>
    <row r="15" spans="1:18" hidden="1" x14ac:dyDescent="0.25">
      <c r="A15" s="42" t="s">
        <v>130</v>
      </c>
      <c r="B15" s="43">
        <v>94.2</v>
      </c>
      <c r="C15" s="44">
        <v>779.9</v>
      </c>
      <c r="D15" s="44">
        <v>73462</v>
      </c>
      <c r="E15" s="44">
        <v>21123</v>
      </c>
      <c r="F15" s="44">
        <v>94621</v>
      </c>
      <c r="G15" s="45">
        <v>-8.49</v>
      </c>
      <c r="H15" s="44">
        <v>31271</v>
      </c>
      <c r="I15" s="44">
        <v>9081</v>
      </c>
      <c r="J15" s="46">
        <v>6.6600000000000006E-2</v>
      </c>
      <c r="M15" s="198">
        <f t="shared" si="0"/>
        <v>3.025838636436315</v>
      </c>
      <c r="N15" s="198">
        <f t="shared" si="1"/>
        <v>10.419667437506883</v>
      </c>
      <c r="O15" s="198">
        <f t="shared" si="2"/>
        <v>94.194127452237467</v>
      </c>
    </row>
    <row r="16" spans="1:18" hidden="1" x14ac:dyDescent="0.25">
      <c r="A16" s="42" t="s">
        <v>131</v>
      </c>
      <c r="B16" s="43">
        <v>35.880000000000003</v>
      </c>
      <c r="C16" s="44">
        <v>1852.5</v>
      </c>
      <c r="D16" s="44">
        <v>66165.3</v>
      </c>
      <c r="E16" s="44">
        <v>13985</v>
      </c>
      <c r="F16" s="44">
        <v>82104.3</v>
      </c>
      <c r="G16" s="45">
        <v>-2.15</v>
      </c>
      <c r="H16" s="44">
        <v>29351</v>
      </c>
      <c r="I16" s="44">
        <v>6540</v>
      </c>
      <c r="J16" s="46">
        <v>4.5900000000000003E-2</v>
      </c>
      <c r="M16" s="198">
        <f t="shared" si="0"/>
        <v>2.7973254744301728</v>
      </c>
      <c r="N16" s="198">
        <f t="shared" si="1"/>
        <v>12.554174311926605</v>
      </c>
      <c r="O16" s="198">
        <f t="shared" si="2"/>
        <v>35.716761133603242</v>
      </c>
    </row>
    <row r="17" spans="1:17" hidden="1" x14ac:dyDescent="0.25">
      <c r="A17" s="42" t="s">
        <v>132</v>
      </c>
      <c r="B17" s="43">
        <v>28.45</v>
      </c>
      <c r="C17" s="44">
        <v>748.1</v>
      </c>
      <c r="D17" s="44">
        <v>21284.5</v>
      </c>
      <c r="E17" s="44">
        <v>-2609.4</v>
      </c>
      <c r="F17" s="44">
        <v>18675.099999999999</v>
      </c>
      <c r="G17" s="45">
        <v>5.12</v>
      </c>
      <c r="H17" s="44">
        <v>2443.3000000000002</v>
      </c>
      <c r="I17" s="44">
        <v>344.8</v>
      </c>
      <c r="J17" s="46">
        <v>-3.4099999999999998E-2</v>
      </c>
      <c r="M17" s="198">
        <f t="shared" si="0"/>
        <v>7.6433921335898161</v>
      </c>
      <c r="N17" s="198">
        <f t="shared" si="1"/>
        <v>54.162122969837583</v>
      </c>
      <c r="O17" s="198">
        <f t="shared" si="2"/>
        <v>28.451410239272825</v>
      </c>
    </row>
    <row r="18" spans="1:17" hidden="1" x14ac:dyDescent="0.25">
      <c r="A18" s="47" t="s">
        <v>133</v>
      </c>
      <c r="B18" s="48">
        <v>65.14</v>
      </c>
      <c r="C18" s="49">
        <v>88.5</v>
      </c>
      <c r="D18" s="49">
        <v>5765.1</v>
      </c>
      <c r="E18" s="49">
        <v>-204.5</v>
      </c>
      <c r="F18" s="49">
        <v>5560.6</v>
      </c>
      <c r="G18" s="50">
        <v>-0.57999999999999996</v>
      </c>
      <c r="H18" s="49">
        <v>4720.8999999999996</v>
      </c>
      <c r="I18" s="49">
        <v>-174.2</v>
      </c>
      <c r="J18" s="51">
        <v>0.39660000000000001</v>
      </c>
      <c r="M18" s="198">
        <f t="shared" si="0"/>
        <v>1.1778686267449006</v>
      </c>
      <c r="N18" s="198">
        <f t="shared" si="1"/>
        <v>-31.920780711825493</v>
      </c>
      <c r="O18" s="198">
        <f t="shared" si="2"/>
        <v>65.142372881355939</v>
      </c>
    </row>
    <row r="19" spans="1:17" x14ac:dyDescent="0.25">
      <c r="A19" s="21"/>
      <c r="B19" s="39"/>
      <c r="C19" s="39"/>
      <c r="D19" s="39"/>
      <c r="E19" s="39"/>
      <c r="F19" s="39"/>
      <c r="G19" s="39"/>
      <c r="H19" s="39"/>
      <c r="I19" s="39"/>
      <c r="J19" s="39"/>
    </row>
    <row r="20" spans="1:17" x14ac:dyDescent="0.25">
      <c r="A20" s="39"/>
      <c r="B20" s="39"/>
      <c r="C20" s="39"/>
      <c r="D20" s="39"/>
      <c r="E20" s="39"/>
      <c r="F20" s="39"/>
      <c r="G20" s="39"/>
      <c r="H20" s="39"/>
      <c r="I20" s="39"/>
      <c r="J20" s="39"/>
    </row>
    <row r="21" spans="1:17" ht="52.8" x14ac:dyDescent="0.25">
      <c r="A21" s="40" t="s">
        <v>110</v>
      </c>
      <c r="B21" s="41" t="s">
        <v>134</v>
      </c>
      <c r="C21" s="41" t="s">
        <v>135</v>
      </c>
      <c r="D21" s="41" t="s">
        <v>136</v>
      </c>
      <c r="E21" s="41" t="s">
        <v>137</v>
      </c>
      <c r="F21" s="41" t="s">
        <v>138</v>
      </c>
      <c r="G21" s="41" t="s">
        <v>139</v>
      </c>
      <c r="H21" s="41" t="s">
        <v>140</v>
      </c>
      <c r="I21" s="41" t="s">
        <v>141</v>
      </c>
      <c r="J21" s="41" t="s">
        <v>142</v>
      </c>
      <c r="M21" s="41" t="s">
        <v>193</v>
      </c>
    </row>
    <row r="22" spans="1:17" hidden="1" x14ac:dyDescent="0.25">
      <c r="A22" s="42" t="s">
        <v>120</v>
      </c>
      <c r="B22" s="46">
        <v>0.313</v>
      </c>
      <c r="C22" s="44">
        <v>50077.42</v>
      </c>
      <c r="D22" s="44">
        <v>21196.81</v>
      </c>
      <c r="E22" s="45">
        <v>2.58</v>
      </c>
      <c r="F22" s="45">
        <v>13.1</v>
      </c>
      <c r="G22" s="45">
        <v>44.2</v>
      </c>
      <c r="H22" s="52">
        <v>19.7</v>
      </c>
      <c r="I22" s="52">
        <v>9.1300000000000008</v>
      </c>
      <c r="J22" s="52">
        <v>21.56</v>
      </c>
    </row>
    <row r="23" spans="1:17" hidden="1" x14ac:dyDescent="0.25">
      <c r="A23" s="42" t="s">
        <v>121</v>
      </c>
      <c r="B23" s="46">
        <v>2.3E-2</v>
      </c>
      <c r="C23" s="44">
        <v>233498.44</v>
      </c>
      <c r="D23" s="44">
        <v>26976.18</v>
      </c>
      <c r="E23" s="45">
        <v>1.55</v>
      </c>
      <c r="F23" s="45">
        <v>4</v>
      </c>
      <c r="G23" s="45">
        <v>47</v>
      </c>
      <c r="H23" s="52">
        <v>63.1</v>
      </c>
      <c r="I23" s="52">
        <v>3.02</v>
      </c>
      <c r="J23" s="52">
        <v>26.18</v>
      </c>
    </row>
    <row r="24" spans="1:17" s="196" customFormat="1" x14ac:dyDescent="0.25">
      <c r="A24" s="191" t="s">
        <v>122</v>
      </c>
      <c r="B24" s="192">
        <v>0.26900000000000002</v>
      </c>
      <c r="C24" s="193">
        <v>263346.37</v>
      </c>
      <c r="D24" s="193">
        <v>80278.740000000005</v>
      </c>
      <c r="E24" s="194">
        <v>1.18</v>
      </c>
      <c r="F24" s="194">
        <v>3.7</v>
      </c>
      <c r="G24" s="194">
        <v>12</v>
      </c>
      <c r="H24" s="195">
        <v>6.4</v>
      </c>
      <c r="I24" s="195">
        <v>3.38</v>
      </c>
      <c r="J24" s="195">
        <v>11.09</v>
      </c>
      <c r="K24" s="198" t="s">
        <v>236</v>
      </c>
      <c r="L24" s="198"/>
      <c r="M24" s="202">
        <v>93735</v>
      </c>
      <c r="N24" s="199">
        <f>M24/(M24+D7)</f>
        <v>9.9882072342815612E-2</v>
      </c>
      <c r="O24" s="200">
        <f>1-N24</f>
        <v>0.90011792765718435</v>
      </c>
      <c r="P24" s="201">
        <f>E24/(1+(1-0.25)*N24/O24)</f>
        <v>1.0893405526058115</v>
      </c>
      <c r="Q24" s="201"/>
    </row>
    <row r="25" spans="1:17" hidden="1" x14ac:dyDescent="0.25">
      <c r="A25" s="42" t="s">
        <v>123</v>
      </c>
      <c r="B25" s="46">
        <v>0.185</v>
      </c>
      <c r="C25" s="44">
        <v>15953.04</v>
      </c>
      <c r="D25" s="44">
        <v>4214.04</v>
      </c>
      <c r="E25" s="45">
        <v>1.77</v>
      </c>
      <c r="F25" s="45">
        <v>5.2</v>
      </c>
      <c r="G25" s="45">
        <v>16.3</v>
      </c>
      <c r="H25" s="52">
        <v>5.4</v>
      </c>
      <c r="I25" s="52">
        <v>4.29</v>
      </c>
      <c r="J25" s="52">
        <v>16.23</v>
      </c>
    </row>
    <row r="26" spans="1:17" ht="15.6" hidden="1" x14ac:dyDescent="0.25">
      <c r="A26" s="42" t="s">
        <v>124</v>
      </c>
      <c r="B26" s="46">
        <v>0.20799999999999999</v>
      </c>
      <c r="C26" s="44">
        <v>89550.32</v>
      </c>
      <c r="D26" s="44">
        <v>29456.58</v>
      </c>
      <c r="E26" s="45">
        <v>1.1599999999999999</v>
      </c>
      <c r="F26" s="45">
        <v>2.6</v>
      </c>
      <c r="G26" s="45">
        <v>7.8</v>
      </c>
      <c r="H26" s="52" t="s">
        <v>143</v>
      </c>
      <c r="I26" s="52">
        <v>2.4300000000000002</v>
      </c>
      <c r="J26" s="52">
        <v>7.4</v>
      </c>
    </row>
    <row r="27" spans="1:17" hidden="1" x14ac:dyDescent="0.25">
      <c r="A27" s="42" t="s">
        <v>125</v>
      </c>
      <c r="B27" s="46">
        <v>0.23699999999999999</v>
      </c>
      <c r="C27" s="44">
        <v>10962.01</v>
      </c>
      <c r="D27" s="44">
        <v>3721.61</v>
      </c>
      <c r="E27" s="45">
        <v>1.06</v>
      </c>
      <c r="F27" s="45">
        <v>4.7</v>
      </c>
      <c r="G27" s="45">
        <v>15.2</v>
      </c>
      <c r="H27" s="52">
        <v>12.8</v>
      </c>
      <c r="I27" s="52">
        <v>4.08</v>
      </c>
      <c r="J27" s="52">
        <v>12.02</v>
      </c>
    </row>
    <row r="28" spans="1:17" hidden="1" x14ac:dyDescent="0.25">
      <c r="A28" s="42" t="s">
        <v>126</v>
      </c>
      <c r="B28" s="46">
        <v>0.497</v>
      </c>
      <c r="C28" s="44">
        <v>55284.56</v>
      </c>
      <c r="D28" s="44">
        <v>33601.339999999997</v>
      </c>
      <c r="E28" s="45">
        <v>0.66</v>
      </c>
      <c r="F28" s="45">
        <v>9.9</v>
      </c>
      <c r="G28" s="45">
        <v>17.3</v>
      </c>
      <c r="H28" s="52">
        <v>8.1999999999999993</v>
      </c>
      <c r="I28" s="52">
        <v>7.29</v>
      </c>
      <c r="J28" s="52">
        <v>11.99</v>
      </c>
    </row>
    <row r="29" spans="1:17" s="198" customFormat="1" x14ac:dyDescent="0.25">
      <c r="A29" s="197" t="s">
        <v>127</v>
      </c>
      <c r="B29" s="192">
        <v>7.1999999999999995E-2</v>
      </c>
      <c r="C29" s="193">
        <v>15862.46</v>
      </c>
      <c r="D29" s="193">
        <v>1922.95</v>
      </c>
      <c r="E29" s="194">
        <v>0.96</v>
      </c>
      <c r="F29" s="194">
        <v>10.9</v>
      </c>
      <c r="G29" s="194">
        <v>140.19999999999999</v>
      </c>
      <c r="H29" s="195" t="s">
        <v>144</v>
      </c>
      <c r="I29" s="195">
        <v>8.0500000000000007</v>
      </c>
      <c r="J29" s="195">
        <v>66.400000000000006</v>
      </c>
      <c r="K29" s="198" t="s">
        <v>236</v>
      </c>
      <c r="M29" s="198">
        <v>6499.43</v>
      </c>
      <c r="N29" s="199">
        <f>M29/(M29+D12)</f>
        <v>4.9800653487849456E-2</v>
      </c>
      <c r="O29" s="200">
        <f>1-N29</f>
        <v>0.95019934651215054</v>
      </c>
      <c r="P29" s="201">
        <f>E29/(1+(1-0.25)*N29/O29)</f>
        <v>0.92369148251425715</v>
      </c>
      <c r="Q29" s="201"/>
    </row>
    <row r="30" spans="1:17" hidden="1" x14ac:dyDescent="0.25">
      <c r="A30" s="42" t="s">
        <v>128</v>
      </c>
      <c r="B30" s="46">
        <v>-0.23</v>
      </c>
      <c r="C30" s="44">
        <v>1505.75</v>
      </c>
      <c r="D30" s="44">
        <v>-98.17</v>
      </c>
      <c r="E30" s="45">
        <v>-0.4</v>
      </c>
      <c r="F30" s="45">
        <v>1</v>
      </c>
      <c r="G30" s="45">
        <v>0</v>
      </c>
      <c r="H30" s="52">
        <v>111.4</v>
      </c>
      <c r="I30" s="52">
        <v>1.01</v>
      </c>
      <c r="J30" s="52" t="s">
        <v>144</v>
      </c>
      <c r="P30" s="81"/>
      <c r="Q30" s="81"/>
    </row>
    <row r="31" spans="1:17" hidden="1" x14ac:dyDescent="0.25">
      <c r="A31" s="42" t="s">
        <v>129</v>
      </c>
      <c r="B31" s="46">
        <v>0.253</v>
      </c>
      <c r="C31" s="44">
        <v>58771.31</v>
      </c>
      <c r="D31" s="44">
        <v>17847.82</v>
      </c>
      <c r="E31" s="45">
        <v>1.31</v>
      </c>
      <c r="F31" s="45">
        <v>3.1</v>
      </c>
      <c r="G31" s="45">
        <v>10.199999999999999</v>
      </c>
      <c r="H31" s="52">
        <v>30</v>
      </c>
      <c r="I31" s="52">
        <v>2.97</v>
      </c>
      <c r="J31" s="52">
        <v>9.7799999999999994</v>
      </c>
      <c r="P31" s="81"/>
      <c r="Q31" s="81"/>
    </row>
    <row r="32" spans="1:17" hidden="1" x14ac:dyDescent="0.25">
      <c r="A32" s="42" t="s">
        <v>130</v>
      </c>
      <c r="B32" s="46">
        <v>0.26800000000000002</v>
      </c>
      <c r="C32" s="44">
        <v>32566.25</v>
      </c>
      <c r="D32" s="44">
        <v>9448.41</v>
      </c>
      <c r="E32" s="45">
        <v>0.92</v>
      </c>
      <c r="F32" s="45">
        <v>3</v>
      </c>
      <c r="G32" s="45">
        <v>10.6</v>
      </c>
      <c r="H32" s="52" t="s">
        <v>144</v>
      </c>
      <c r="I32" s="52">
        <v>2.91</v>
      </c>
      <c r="J32" s="52">
        <v>10.01</v>
      </c>
      <c r="P32" s="81"/>
      <c r="Q32" s="81"/>
    </row>
    <row r="33" spans="1:17" hidden="1" x14ac:dyDescent="0.25">
      <c r="A33" s="42" t="s">
        <v>131</v>
      </c>
      <c r="B33" s="46">
        <v>0.20399999999999999</v>
      </c>
      <c r="C33" s="44">
        <v>31296.14</v>
      </c>
      <c r="D33" s="44">
        <v>7492.9</v>
      </c>
      <c r="E33" s="45">
        <v>1.26</v>
      </c>
      <c r="F33" s="45">
        <v>2.8</v>
      </c>
      <c r="G33" s="45">
        <v>12.6</v>
      </c>
      <c r="H33" s="52" t="s">
        <v>144</v>
      </c>
      <c r="I33" s="52">
        <v>2.62</v>
      </c>
      <c r="J33" s="52">
        <v>10.96</v>
      </c>
      <c r="P33" s="81"/>
      <c r="Q33" s="81"/>
    </row>
    <row r="34" spans="1:17" s="75" customFormat="1" hidden="1" x14ac:dyDescent="0.25">
      <c r="A34" s="70" t="s">
        <v>132</v>
      </c>
      <c r="B34" s="71">
        <v>1.9E-2</v>
      </c>
      <c r="C34" s="72">
        <v>2704.45</v>
      </c>
      <c r="D34" s="72">
        <v>964.67</v>
      </c>
      <c r="E34" s="76">
        <v>0.8</v>
      </c>
      <c r="F34" s="73">
        <v>7.6</v>
      </c>
      <c r="G34" s="73">
        <v>54.2</v>
      </c>
      <c r="H34" s="74">
        <v>5.6</v>
      </c>
      <c r="I34" s="74">
        <v>6.91</v>
      </c>
      <c r="J34" s="74">
        <v>19.36</v>
      </c>
      <c r="K34" s="75" t="s">
        <v>235</v>
      </c>
      <c r="M34" s="79">
        <v>1627.46</v>
      </c>
      <c r="N34" s="77">
        <f>M34/(M34+D17)</f>
        <v>7.103102484466628E-2</v>
      </c>
      <c r="O34" s="78">
        <f>1-N34</f>
        <v>0.92896897515533372</v>
      </c>
      <c r="P34" s="80">
        <f>E34/(1+(1-0.25)*N34/O34)</f>
        <v>0.75661089188914776</v>
      </c>
      <c r="Q34" s="80"/>
    </row>
    <row r="35" spans="1:17" hidden="1" x14ac:dyDescent="0.25">
      <c r="A35" s="47" t="s">
        <v>133</v>
      </c>
      <c r="B35" s="51">
        <v>-4.8000000000000001E-2</v>
      </c>
      <c r="C35" s="49">
        <v>6242.32</v>
      </c>
      <c r="D35" s="49">
        <v>-99.07</v>
      </c>
      <c r="E35" s="50">
        <v>1.27</v>
      </c>
      <c r="F35" s="50">
        <v>1.2</v>
      </c>
      <c r="G35" s="50">
        <v>0</v>
      </c>
      <c r="H35" s="53" t="s">
        <v>144</v>
      </c>
      <c r="I35" s="53">
        <v>0.89</v>
      </c>
      <c r="J35" s="53" t="s">
        <v>144</v>
      </c>
    </row>
    <row r="36" spans="1:17" x14ac:dyDescent="0.25">
      <c r="A36" s="39"/>
      <c r="B36" s="39"/>
      <c r="C36" s="39"/>
      <c r="D36" s="39"/>
      <c r="E36" s="76">
        <f>AVERAGE(E24,E29)</f>
        <v>1.0699999999999998</v>
      </c>
      <c r="F36" s="39" t="s">
        <v>195</v>
      </c>
      <c r="G36" s="39"/>
      <c r="H36" s="39"/>
      <c r="I36" s="39"/>
      <c r="J36" s="39"/>
    </row>
    <row r="37" spans="1:17" x14ac:dyDescent="0.25">
      <c r="A37" s="39"/>
      <c r="B37" s="39"/>
      <c r="C37" s="39"/>
      <c r="D37" s="39"/>
      <c r="E37" s="39"/>
      <c r="F37" s="39"/>
      <c r="G37" s="39"/>
      <c r="H37" s="39"/>
      <c r="I37" s="39"/>
      <c r="J37" s="39"/>
    </row>
    <row r="38" spans="1:17" ht="15.6" x14ac:dyDescent="0.25">
      <c r="A38" s="39" t="s">
        <v>145</v>
      </c>
      <c r="B38" s="39"/>
      <c r="C38" s="39"/>
      <c r="D38" s="39"/>
      <c r="E38" s="39"/>
      <c r="F38" s="39"/>
      <c r="G38" s="39"/>
      <c r="H38" s="39"/>
      <c r="I38" s="39"/>
      <c r="J38" s="39"/>
    </row>
    <row r="39" spans="1:17" x14ac:dyDescent="0.25">
      <c r="A39" s="39"/>
      <c r="B39" s="39"/>
      <c r="C39" s="39"/>
      <c r="D39" s="39"/>
      <c r="E39" s="39"/>
      <c r="F39" s="39"/>
      <c r="G39" s="39"/>
      <c r="H39" s="39"/>
      <c r="I39" s="39"/>
      <c r="J39" s="39"/>
    </row>
    <row r="40" spans="1:17" x14ac:dyDescent="0.25">
      <c r="A40" s="39"/>
      <c r="B40" s="39"/>
      <c r="C40" s="39"/>
      <c r="D40" s="39"/>
      <c r="E40" s="39"/>
      <c r="F40" s="39"/>
      <c r="G40" s="39"/>
      <c r="H40" s="39"/>
      <c r="I40" s="39"/>
      <c r="J40" s="39"/>
    </row>
    <row r="41" spans="1:17" ht="18" thickBot="1" x14ac:dyDescent="0.35">
      <c r="A41" s="265" t="s">
        <v>259</v>
      </c>
      <c r="B41" s="265"/>
      <c r="C41" s="265"/>
      <c r="D41" s="265"/>
      <c r="E41" s="265"/>
      <c r="F41" s="265"/>
      <c r="G41" s="265"/>
      <c r="H41" s="265"/>
      <c r="I41" s="265"/>
      <c r="J41" s="265"/>
      <c r="K41" s="265"/>
      <c r="L41" s="265"/>
      <c r="M41" s="265"/>
    </row>
    <row r="42" spans="1:17" ht="40.200000000000003" customHeight="1" x14ac:dyDescent="0.25">
      <c r="A42" s="215" t="s">
        <v>248</v>
      </c>
      <c r="B42" s="215" t="s">
        <v>247</v>
      </c>
      <c r="C42" s="268" t="s">
        <v>240</v>
      </c>
      <c r="D42" s="269"/>
      <c r="E42" s="270" t="s">
        <v>241</v>
      </c>
      <c r="F42" s="270"/>
      <c r="G42" s="282" t="s">
        <v>271</v>
      </c>
      <c r="H42" s="283"/>
    </row>
    <row r="43" spans="1:17" ht="14.4" x14ac:dyDescent="0.25">
      <c r="A43" s="205" t="s">
        <v>237</v>
      </c>
      <c r="B43" s="206">
        <v>177.17</v>
      </c>
      <c r="C43" s="116" t="s">
        <v>242</v>
      </c>
      <c r="D43" s="207">
        <f>MIN(M7,M12)</f>
        <v>3.7209782754122487</v>
      </c>
      <c r="E43" s="117" t="s">
        <v>242</v>
      </c>
      <c r="F43" s="207">
        <f>MIN(N7,N12)</f>
        <v>11.998391619705018</v>
      </c>
      <c r="G43" s="117" t="s">
        <v>242</v>
      </c>
      <c r="H43" s="284">
        <f>MIN(P7:P12)</f>
        <v>10.9</v>
      </c>
    </row>
    <row r="44" spans="1:17" ht="14.4" x14ac:dyDescent="0.25">
      <c r="C44" s="116" t="s">
        <v>243</v>
      </c>
      <c r="D44" s="207">
        <f>AVERAGE(M7,M12)</f>
        <v>7.3205667929953213</v>
      </c>
      <c r="E44" s="117" t="s">
        <v>243</v>
      </c>
      <c r="F44" s="207">
        <f>AVERAGE(N7,N12)</f>
        <v>76.110166598343611</v>
      </c>
      <c r="G44" s="117" t="s">
        <v>243</v>
      </c>
      <c r="H44" s="286">
        <f>AVERAGE(P7:P12)</f>
        <v>22.2</v>
      </c>
    </row>
    <row r="45" spans="1:17" ht="14.4" x14ac:dyDescent="0.25">
      <c r="C45" s="116" t="s">
        <v>244</v>
      </c>
      <c r="D45" s="207">
        <f>MAX(M7,M12)</f>
        <v>10.920155310578394</v>
      </c>
      <c r="E45" s="117" t="s">
        <v>244</v>
      </c>
      <c r="F45" s="207">
        <f>MAX(N7,N12)</f>
        <v>140.2219415769822</v>
      </c>
      <c r="G45" s="117" t="s">
        <v>244</v>
      </c>
      <c r="H45" s="285">
        <f>MAX(P7:P12)</f>
        <v>33.5</v>
      </c>
    </row>
    <row r="46" spans="1:17" x14ac:dyDescent="0.25">
      <c r="C46" s="271" t="s">
        <v>249</v>
      </c>
      <c r="D46" s="266"/>
      <c r="E46" s="246" t="s">
        <v>249</v>
      </c>
      <c r="F46" s="275"/>
      <c r="G46" s="276" t="s">
        <v>249</v>
      </c>
      <c r="H46" s="279"/>
    </row>
    <row r="47" spans="1:17" ht="14.4" x14ac:dyDescent="0.25">
      <c r="C47" s="208" t="s">
        <v>242</v>
      </c>
      <c r="D47" s="207">
        <f>D43*$A$55</f>
        <v>2362.8212048867781</v>
      </c>
      <c r="E47" s="117" t="s">
        <v>242</v>
      </c>
      <c r="F47" s="207">
        <f>F43*B52</f>
        <v>3695.5046188691454</v>
      </c>
      <c r="G47" s="117" t="s">
        <v>242</v>
      </c>
      <c r="H47" s="285">
        <f>H43*$B$54</f>
        <v>6180.3</v>
      </c>
    </row>
    <row r="48" spans="1:17" ht="14.4" x14ac:dyDescent="0.25">
      <c r="C48" s="208" t="s">
        <v>243</v>
      </c>
      <c r="D48" s="207">
        <f>(D44*$A$55)</f>
        <v>4648.5599135520288</v>
      </c>
      <c r="E48" s="117" t="s">
        <v>243</v>
      </c>
      <c r="F48" s="207">
        <f>F44*B52</f>
        <v>23441.931312289831</v>
      </c>
      <c r="G48" s="117" t="s">
        <v>243</v>
      </c>
      <c r="H48" s="285">
        <f t="shared" ref="H48:H49" si="4">H44*$B$54</f>
        <v>12587.4</v>
      </c>
    </row>
    <row r="49" spans="1:15" ht="14.4" x14ac:dyDescent="0.25">
      <c r="C49" s="208" t="s">
        <v>244</v>
      </c>
      <c r="D49" s="207">
        <f>(D45*$A$55)</f>
        <v>6934.2986222172804</v>
      </c>
      <c r="E49" s="117" t="s">
        <v>244</v>
      </c>
      <c r="F49" s="207">
        <f>F45*B52</f>
        <v>43188.358005710521</v>
      </c>
      <c r="G49" s="117" t="s">
        <v>244</v>
      </c>
      <c r="H49" s="285">
        <f t="shared" si="4"/>
        <v>18994.5</v>
      </c>
    </row>
    <row r="50" spans="1:15" ht="14.4" x14ac:dyDescent="0.25">
      <c r="A50" s="2" t="s">
        <v>253</v>
      </c>
      <c r="B50" s="2">
        <v>0</v>
      </c>
      <c r="C50" s="272" t="s">
        <v>245</v>
      </c>
      <c r="D50" s="267"/>
      <c r="E50" s="242" t="s">
        <v>245</v>
      </c>
      <c r="F50" s="274"/>
      <c r="G50" s="277" t="s">
        <v>245</v>
      </c>
      <c r="H50" s="280"/>
    </row>
    <row r="51" spans="1:15" ht="14.4" x14ac:dyDescent="0.25">
      <c r="A51" s="2" t="s">
        <v>252</v>
      </c>
      <c r="B51" s="2">
        <v>477</v>
      </c>
      <c r="C51" s="208" t="s">
        <v>242</v>
      </c>
      <c r="D51" s="145">
        <f>D47</f>
        <v>2362.8212048867781</v>
      </c>
      <c r="E51" s="209" t="s">
        <v>242</v>
      </c>
      <c r="F51" s="207">
        <f>F47-$B$50+$B$51</f>
        <v>4172.5046188691449</v>
      </c>
      <c r="G51" s="117" t="s">
        <v>242</v>
      </c>
      <c r="H51" s="285">
        <f>H47-$B$50</f>
        <v>6180.3</v>
      </c>
    </row>
    <row r="52" spans="1:15" ht="14.4" x14ac:dyDescent="0.25">
      <c r="A52" s="2" t="s">
        <v>251</v>
      </c>
      <c r="B52" s="2">
        <v>308</v>
      </c>
      <c r="C52" s="208" t="s">
        <v>243</v>
      </c>
      <c r="D52" s="145">
        <f>D48</f>
        <v>4648.5599135520288</v>
      </c>
      <c r="E52" s="209" t="s">
        <v>243</v>
      </c>
      <c r="F52" s="207">
        <f>F48-$B$50+$B$51</f>
        <v>23918.931312289831</v>
      </c>
      <c r="G52" s="117" t="s">
        <v>243</v>
      </c>
      <c r="H52" s="285">
        <f t="shared" ref="H52:H53" si="5">H48-$B$50</f>
        <v>12587.4</v>
      </c>
    </row>
    <row r="53" spans="1:15" ht="14.4" x14ac:dyDescent="0.25">
      <c r="C53" s="208" t="s">
        <v>244</v>
      </c>
      <c r="D53" s="145">
        <f>D49</f>
        <v>6934.2986222172804</v>
      </c>
      <c r="E53" s="209" t="s">
        <v>244</v>
      </c>
      <c r="F53" s="207">
        <f>F49-$B$50+$B$51</f>
        <v>43665.358005710521</v>
      </c>
      <c r="G53" s="117" t="s">
        <v>244</v>
      </c>
      <c r="H53" s="285">
        <f t="shared" si="5"/>
        <v>18994.5</v>
      </c>
    </row>
    <row r="54" spans="1:15" ht="14.4" x14ac:dyDescent="0.25">
      <c r="A54" s="2" t="s">
        <v>250</v>
      </c>
      <c r="B54" s="2">
        <f>'Exhibit 4 (IS)'!E11</f>
        <v>567</v>
      </c>
      <c r="C54" s="210" t="s">
        <v>246</v>
      </c>
      <c r="D54" s="211">
        <f>B43</f>
        <v>177.17</v>
      </c>
      <c r="E54" s="243" t="s">
        <v>246</v>
      </c>
      <c r="F54" s="273"/>
      <c r="G54" s="278" t="s">
        <v>246</v>
      </c>
      <c r="H54" s="281"/>
    </row>
    <row r="55" spans="1:15" ht="14.4" x14ac:dyDescent="0.25">
      <c r="A55" s="2">
        <f>AVERAGE(610,660)</f>
        <v>635</v>
      </c>
      <c r="C55" s="208" t="s">
        <v>242</v>
      </c>
      <c r="D55" s="207">
        <f>D51/$D$54</f>
        <v>13.336463311434093</v>
      </c>
      <c r="E55" s="209" t="s">
        <v>242</v>
      </c>
      <c r="F55" s="207">
        <f>F51/$B$43</f>
        <v>23.5508529596949</v>
      </c>
      <c r="G55" s="117" t="s">
        <v>242</v>
      </c>
      <c r="H55" s="285">
        <f>H51/$D$54</f>
        <v>34.883445278546034</v>
      </c>
    </row>
    <row r="56" spans="1:15" ht="14.4" x14ac:dyDescent="0.25">
      <c r="A56" s="2">
        <v>635000000000</v>
      </c>
      <c r="C56" s="208" t="s">
        <v>243</v>
      </c>
      <c r="D56" s="207">
        <f t="shared" ref="D56:D57" si="6">D52/$D$54</f>
        <v>26.237850163978266</v>
      </c>
      <c r="E56" s="209" t="s">
        <v>243</v>
      </c>
      <c r="F56" s="207">
        <f>F52/$B$43</f>
        <v>135.00553881746251</v>
      </c>
      <c r="G56" s="117" t="s">
        <v>243</v>
      </c>
      <c r="H56" s="285">
        <f t="shared" ref="H56:H57" si="7">H52/$D$54</f>
        <v>71.047016989332278</v>
      </c>
    </row>
    <row r="57" spans="1:15" ht="15" thickBot="1" x14ac:dyDescent="0.3">
      <c r="C57" s="212" t="s">
        <v>244</v>
      </c>
      <c r="D57" s="213">
        <f t="shared" si="6"/>
        <v>39.139237016522443</v>
      </c>
      <c r="E57" s="214" t="s">
        <v>244</v>
      </c>
      <c r="F57" s="213">
        <f>F53/$B$43</f>
        <v>246.46022467523014</v>
      </c>
      <c r="G57" s="147" t="s">
        <v>244</v>
      </c>
      <c r="H57" s="285">
        <f t="shared" si="7"/>
        <v>107.21058870011854</v>
      </c>
    </row>
    <row r="59" spans="1:15" ht="17.399999999999999" x14ac:dyDescent="0.3">
      <c r="A59" s="264" t="s">
        <v>269</v>
      </c>
      <c r="B59" s="264"/>
      <c r="C59" s="264"/>
      <c r="D59" s="264"/>
      <c r="E59" s="264"/>
      <c r="F59" s="264"/>
      <c r="G59" s="264"/>
      <c r="H59" s="264"/>
      <c r="I59" s="264"/>
      <c r="J59" s="264"/>
      <c r="K59" s="264"/>
      <c r="L59" s="264"/>
      <c r="M59" s="264"/>
      <c r="N59" s="264"/>
      <c r="O59" s="264"/>
    </row>
    <row r="61" spans="1:15" ht="13.8" thickBot="1" x14ac:dyDescent="0.3"/>
    <row r="62" spans="1:15" ht="15" thickBot="1" x14ac:dyDescent="0.3">
      <c r="A62" s="244" t="s">
        <v>240</v>
      </c>
      <c r="B62" s="117" t="s">
        <v>242</v>
      </c>
      <c r="C62" s="117" t="s">
        <v>243</v>
      </c>
      <c r="D62" s="117" t="s">
        <v>244</v>
      </c>
      <c r="E62" s="291"/>
    </row>
    <row r="63" spans="1:15" ht="15" thickBot="1" x14ac:dyDescent="0.3">
      <c r="A63" s="289"/>
      <c r="B63" s="207">
        <v>13.34</v>
      </c>
      <c r="C63" s="207">
        <v>26.24</v>
      </c>
      <c r="D63" s="207">
        <v>39.14</v>
      </c>
      <c r="E63" s="291"/>
    </row>
    <row r="64" spans="1:15" ht="15" thickBot="1" x14ac:dyDescent="0.3">
      <c r="A64" s="245" t="s">
        <v>241</v>
      </c>
      <c r="B64" s="117" t="s">
        <v>242</v>
      </c>
      <c r="C64" s="117" t="s">
        <v>243</v>
      </c>
      <c r="D64" s="117" t="s">
        <v>244</v>
      </c>
      <c r="E64" s="292"/>
    </row>
    <row r="65" spans="1:5" ht="15" thickBot="1" x14ac:dyDescent="0.3">
      <c r="A65" s="290"/>
      <c r="B65" s="207">
        <v>23.55</v>
      </c>
      <c r="C65" s="207">
        <v>135.01</v>
      </c>
      <c r="D65" s="207">
        <v>246.46</v>
      </c>
      <c r="E65" s="292"/>
    </row>
    <row r="66" spans="1:5" ht="14.4" x14ac:dyDescent="0.25">
      <c r="A66" s="287" t="s">
        <v>271</v>
      </c>
      <c r="B66" s="117" t="s">
        <v>242</v>
      </c>
      <c r="C66" s="117" t="s">
        <v>243</v>
      </c>
      <c r="D66" s="117" t="s">
        <v>244</v>
      </c>
      <c r="E66" s="292"/>
    </row>
    <row r="67" spans="1:5" ht="14.4" customHeight="1" x14ac:dyDescent="0.25">
      <c r="A67" s="288"/>
      <c r="B67" s="293">
        <v>34.799999999999997</v>
      </c>
      <c r="C67" s="293">
        <v>71.040000000000006</v>
      </c>
      <c r="D67" s="293">
        <v>107.21</v>
      </c>
      <c r="E67" s="291"/>
    </row>
    <row r="68" spans="1:5" ht="13.8" thickBot="1" x14ac:dyDescent="0.3"/>
    <row r="69" spans="1:5" x14ac:dyDescent="0.25">
      <c r="A69" s="295" t="s">
        <v>240</v>
      </c>
      <c r="B69" s="293" t="s">
        <v>272</v>
      </c>
      <c r="C69" s="293" t="s">
        <v>275</v>
      </c>
      <c r="D69" s="293" t="s">
        <v>276</v>
      </c>
    </row>
    <row r="70" spans="1:5" ht="13.8" thickBot="1" x14ac:dyDescent="0.3">
      <c r="A70" s="296"/>
      <c r="B70" s="294">
        <f>B63</f>
        <v>13.34</v>
      </c>
      <c r="C70" s="294">
        <f>C63-B63</f>
        <v>12.899999999999999</v>
      </c>
      <c r="D70" s="294">
        <f>D63-C63</f>
        <v>12.900000000000002</v>
      </c>
    </row>
    <row r="71" spans="1:5" x14ac:dyDescent="0.25">
      <c r="A71" s="297" t="s">
        <v>241</v>
      </c>
      <c r="B71" s="293" t="s">
        <v>272</v>
      </c>
      <c r="C71" s="293" t="s">
        <v>273</v>
      </c>
      <c r="D71" s="293" t="s">
        <v>274</v>
      </c>
    </row>
    <row r="72" spans="1:5" ht="13.8" thickBot="1" x14ac:dyDescent="0.3">
      <c r="A72" s="298"/>
      <c r="B72" s="294">
        <f>B65</f>
        <v>23.55</v>
      </c>
      <c r="C72" s="294">
        <f>C65-B65</f>
        <v>111.46</v>
      </c>
      <c r="D72" s="294">
        <f>D65-C65</f>
        <v>111.45000000000002</v>
      </c>
    </row>
    <row r="73" spans="1:5" x14ac:dyDescent="0.25">
      <c r="A73" s="299" t="s">
        <v>271</v>
      </c>
      <c r="B73" s="293" t="s">
        <v>272</v>
      </c>
      <c r="C73" s="293" t="s">
        <v>273</v>
      </c>
      <c r="D73" s="293" t="s">
        <v>274</v>
      </c>
    </row>
    <row r="74" spans="1:5" x14ac:dyDescent="0.25">
      <c r="A74" s="300"/>
      <c r="B74" s="293">
        <f>B67</f>
        <v>34.799999999999997</v>
      </c>
      <c r="C74" s="293">
        <f>C67-B67</f>
        <v>36.240000000000009</v>
      </c>
      <c r="D74" s="293">
        <f>D67-C67</f>
        <v>36.169999999999987</v>
      </c>
    </row>
  </sheetData>
  <mergeCells count="20">
    <mergeCell ref="A66:A67"/>
    <mergeCell ref="A69:A70"/>
    <mergeCell ref="A71:A72"/>
    <mergeCell ref="A73:A74"/>
    <mergeCell ref="A41:M41"/>
    <mergeCell ref="A1:M1"/>
    <mergeCell ref="A59:O59"/>
    <mergeCell ref="A62:A63"/>
    <mergeCell ref="A64:A65"/>
    <mergeCell ref="G42:H42"/>
    <mergeCell ref="G54:H54"/>
    <mergeCell ref="G50:H50"/>
    <mergeCell ref="G46:H46"/>
    <mergeCell ref="C50:D50"/>
    <mergeCell ref="E50:F50"/>
    <mergeCell ref="E54:F54"/>
    <mergeCell ref="C42:D42"/>
    <mergeCell ref="E42:F42"/>
    <mergeCell ref="C46:D46"/>
    <mergeCell ref="E46:F4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ACFF2-0EC8-46CA-A8AE-95D731EA63D4}">
  <dimension ref="A1:Q38"/>
  <sheetViews>
    <sheetView tabSelected="1" zoomScale="94" workbookViewId="0">
      <selection activeCell="C38" sqref="C38"/>
    </sheetView>
  </sheetViews>
  <sheetFormatPr defaultRowHeight="14.4" x14ac:dyDescent="0.3"/>
  <cols>
    <col min="2" max="2" width="16.33203125" bestFit="1" customWidth="1"/>
    <col min="3" max="3" width="12" bestFit="1" customWidth="1"/>
    <col min="4" max="4" width="11.109375" bestFit="1" customWidth="1"/>
    <col min="5" max="5" width="12.5546875" customWidth="1"/>
    <col min="6" max="6" width="9.33203125" bestFit="1" customWidth="1"/>
    <col min="15" max="15" width="11.109375" customWidth="1"/>
    <col min="16" max="16" width="12.5546875" customWidth="1"/>
    <col min="17" max="17" width="39.88671875" customWidth="1"/>
  </cols>
  <sheetData>
    <row r="1" spans="1:17" x14ac:dyDescent="0.3">
      <c r="A1" t="s">
        <v>164</v>
      </c>
    </row>
    <row r="2" spans="1:17" ht="15" thickBot="1" x14ac:dyDescent="0.35"/>
    <row r="3" spans="1:17" ht="15" thickBot="1" x14ac:dyDescent="0.35">
      <c r="B3" s="4"/>
      <c r="C3" s="248" t="s">
        <v>161</v>
      </c>
      <c r="D3" s="249"/>
      <c r="E3" s="250"/>
      <c r="F3" s="251" t="s">
        <v>162</v>
      </c>
      <c r="G3" s="252"/>
      <c r="H3" s="252"/>
      <c r="I3" s="252"/>
      <c r="J3" s="252"/>
      <c r="K3" s="252"/>
      <c r="L3" s="252"/>
      <c r="M3" s="252"/>
      <c r="N3" s="252"/>
      <c r="O3" s="253"/>
    </row>
    <row r="4" spans="1:17" ht="19.8" customHeight="1" thickBot="1" x14ac:dyDescent="0.35">
      <c r="B4" s="69"/>
      <c r="C4" s="88">
        <v>2015</v>
      </c>
      <c r="D4" s="89">
        <v>2016</v>
      </c>
      <c r="E4" s="90" t="s">
        <v>232</v>
      </c>
      <c r="F4" s="96">
        <v>2018</v>
      </c>
      <c r="G4" s="97">
        <v>2019</v>
      </c>
      <c r="H4" s="97">
        <v>2020</v>
      </c>
      <c r="I4" s="97">
        <v>2021</v>
      </c>
      <c r="J4" s="97">
        <v>2022</v>
      </c>
      <c r="K4" s="97">
        <v>2023</v>
      </c>
      <c r="L4" s="97">
        <v>2024</v>
      </c>
      <c r="M4" s="97">
        <v>2025</v>
      </c>
      <c r="N4" s="97">
        <v>2026</v>
      </c>
      <c r="O4" s="175">
        <v>2027</v>
      </c>
      <c r="P4" s="189" t="s">
        <v>231</v>
      </c>
    </row>
    <row r="5" spans="1:17" ht="14.4" customHeight="1" x14ac:dyDescent="0.3">
      <c r="B5" s="98" t="s">
        <v>3</v>
      </c>
      <c r="C5" s="118">
        <v>1940</v>
      </c>
      <c r="D5" s="119">
        <v>2952</v>
      </c>
      <c r="E5" s="120">
        <v>4090</v>
      </c>
      <c r="F5" s="132"/>
      <c r="G5" s="133"/>
      <c r="H5" s="133"/>
      <c r="I5" s="133"/>
      <c r="J5" s="133"/>
      <c r="K5" s="133"/>
      <c r="L5" s="133"/>
      <c r="M5" s="133"/>
      <c r="N5" s="133"/>
      <c r="O5" s="176"/>
      <c r="P5" s="185"/>
      <c r="Q5" s="247" t="s">
        <v>230</v>
      </c>
    </row>
    <row r="6" spans="1:17" x14ac:dyDescent="0.3">
      <c r="B6" s="99" t="s">
        <v>163</v>
      </c>
      <c r="C6" s="110"/>
      <c r="D6" s="85">
        <f>(D5-C5)/C5</f>
        <v>0.52164948453608251</v>
      </c>
      <c r="E6" s="91">
        <f>(E5-D5)/D5</f>
        <v>0.38550135501355015</v>
      </c>
      <c r="F6" s="136">
        <v>0.25</v>
      </c>
      <c r="G6" s="137">
        <v>0.25</v>
      </c>
      <c r="H6" s="137">
        <v>0.25</v>
      </c>
      <c r="I6" s="137">
        <v>0.25</v>
      </c>
      <c r="J6" s="137">
        <v>0.25</v>
      </c>
      <c r="K6" s="137">
        <v>0.20569999999999999</v>
      </c>
      <c r="L6" s="137">
        <v>0.16139999999999999</v>
      </c>
      <c r="M6" s="137">
        <v>0.1171</v>
      </c>
      <c r="N6" s="137">
        <v>7.2800000000000004E-2</v>
      </c>
      <c r="O6" s="177">
        <v>2.8500000000000001E-2</v>
      </c>
      <c r="P6" s="217">
        <v>2.8500000000000001E-2</v>
      </c>
      <c r="Q6" s="247"/>
    </row>
    <row r="7" spans="1:17" x14ac:dyDescent="0.3">
      <c r="B7" s="100" t="s">
        <v>165</v>
      </c>
      <c r="C7" s="121">
        <v>-235</v>
      </c>
      <c r="D7" s="122">
        <v>-349</v>
      </c>
      <c r="E7" s="123">
        <v>-378</v>
      </c>
      <c r="F7" s="116"/>
      <c r="G7" s="117"/>
      <c r="H7" s="117"/>
      <c r="I7" s="117"/>
      <c r="J7" s="117"/>
      <c r="K7" s="117"/>
      <c r="L7" s="117"/>
      <c r="M7" s="117"/>
      <c r="N7" s="117"/>
      <c r="O7" s="178"/>
      <c r="P7" s="186"/>
      <c r="Q7" s="247"/>
    </row>
    <row r="8" spans="1:17" x14ac:dyDescent="0.3">
      <c r="B8" s="99" t="s">
        <v>166</v>
      </c>
      <c r="C8" s="92">
        <f>C7/C5</f>
        <v>-0.1211340206185567</v>
      </c>
      <c r="D8" s="86">
        <f t="shared" ref="D8" si="0">D7/D5</f>
        <v>-0.1182249322493225</v>
      </c>
      <c r="E8" s="93">
        <f>E7/E5</f>
        <v>-9.2420537897310515E-2</v>
      </c>
      <c r="F8" s="136">
        <v>-2.0799999999999999E-2</v>
      </c>
      <c r="G8" s="137">
        <v>-4.1000000000000003E-3</v>
      </c>
      <c r="H8" s="137">
        <v>1.26E-2</v>
      </c>
      <c r="I8" s="137">
        <v>2.9399999999999999E-2</v>
      </c>
      <c r="J8" s="137">
        <v>4.6100000000000002E-2</v>
      </c>
      <c r="K8" s="137">
        <v>6.2799999999999995E-2</v>
      </c>
      <c r="L8" s="137">
        <v>7.9500000000000001E-2</v>
      </c>
      <c r="M8" s="137">
        <v>9.6299999999999997E-2</v>
      </c>
      <c r="N8" s="137">
        <v>0.113</v>
      </c>
      <c r="O8" s="177">
        <v>0.12970000000000001</v>
      </c>
      <c r="P8" s="186"/>
      <c r="Q8" s="190" t="s">
        <v>233</v>
      </c>
    </row>
    <row r="9" spans="1:17" x14ac:dyDescent="0.3">
      <c r="B9" s="100" t="s">
        <v>167</v>
      </c>
      <c r="C9" s="124">
        <v>81</v>
      </c>
      <c r="D9" s="125">
        <v>85</v>
      </c>
      <c r="E9" s="126">
        <v>73</v>
      </c>
      <c r="F9" s="116"/>
      <c r="G9" s="117"/>
      <c r="H9" s="117"/>
      <c r="I9" s="117"/>
      <c r="J9" s="117"/>
      <c r="K9" s="117"/>
      <c r="L9" s="117"/>
      <c r="M9" s="117"/>
      <c r="N9" s="117"/>
      <c r="O9" s="178"/>
      <c r="P9" s="186"/>
    </row>
    <row r="10" spans="1:17" x14ac:dyDescent="0.3">
      <c r="B10" s="99" t="s">
        <v>168</v>
      </c>
      <c r="C10" s="94">
        <f>C9/C5</f>
        <v>4.1752577319587626E-2</v>
      </c>
      <c r="D10" s="87">
        <f>D9/D5</f>
        <v>2.8794037940379404E-2</v>
      </c>
      <c r="E10" s="91">
        <f>E9/E5</f>
        <v>1.7848410757946211E-2</v>
      </c>
      <c r="F10" s="138">
        <f>AVERAGE($C$10:$E$10)</f>
        <v>2.9465008672637748E-2</v>
      </c>
      <c r="G10" s="139">
        <f t="shared" ref="G10:O10" si="1">AVERAGE($C$10:$E$10)</f>
        <v>2.9465008672637748E-2</v>
      </c>
      <c r="H10" s="139">
        <f t="shared" si="1"/>
        <v>2.9465008672637748E-2</v>
      </c>
      <c r="I10" s="139">
        <f t="shared" si="1"/>
        <v>2.9465008672637748E-2</v>
      </c>
      <c r="J10" s="139">
        <f t="shared" si="1"/>
        <v>2.9465008672637748E-2</v>
      </c>
      <c r="K10" s="139">
        <f t="shared" si="1"/>
        <v>2.9465008672637748E-2</v>
      </c>
      <c r="L10" s="139">
        <f t="shared" si="1"/>
        <v>2.9465008672637748E-2</v>
      </c>
      <c r="M10" s="139">
        <f t="shared" si="1"/>
        <v>2.9465008672637748E-2</v>
      </c>
      <c r="N10" s="139">
        <f t="shared" si="1"/>
        <v>2.9465008672637748E-2</v>
      </c>
      <c r="O10" s="179">
        <f t="shared" si="1"/>
        <v>2.9465008672637748E-2</v>
      </c>
      <c r="P10" s="186"/>
      <c r="Q10" s="190" t="s">
        <v>234</v>
      </c>
    </row>
    <row r="11" spans="1:17" x14ac:dyDescent="0.3">
      <c r="B11" s="101" t="s">
        <v>169</v>
      </c>
      <c r="C11" s="127">
        <v>-427</v>
      </c>
      <c r="D11" s="128">
        <v>-705</v>
      </c>
      <c r="E11" s="129">
        <v>-1058</v>
      </c>
      <c r="F11" s="116"/>
      <c r="G11" s="117"/>
      <c r="H11" s="117"/>
      <c r="I11" s="117"/>
      <c r="J11" s="117"/>
      <c r="K11" s="117"/>
      <c r="L11" s="117"/>
      <c r="M11" s="117"/>
      <c r="N11" s="117"/>
      <c r="O11" s="178"/>
      <c r="P11" s="186"/>
    </row>
    <row r="12" spans="1:17" x14ac:dyDescent="0.3">
      <c r="B12" s="102" t="s">
        <v>170</v>
      </c>
      <c r="C12" s="130">
        <f>C11/C5</f>
        <v>-0.22010309278350515</v>
      </c>
      <c r="D12" s="85">
        <f t="shared" ref="D12:E12" si="2">D11/D5</f>
        <v>-0.23882113821138212</v>
      </c>
      <c r="E12" s="131">
        <f t="shared" si="2"/>
        <v>-0.258679706601467</v>
      </c>
      <c r="F12" s="134">
        <f>AVERAGE($C$12:$E$12)</f>
        <v>-0.2392013125321181</v>
      </c>
      <c r="G12" s="135">
        <f t="shared" ref="G12:O12" si="3">AVERAGE($C$12:$E$12)</f>
        <v>-0.2392013125321181</v>
      </c>
      <c r="H12" s="135">
        <f t="shared" si="3"/>
        <v>-0.2392013125321181</v>
      </c>
      <c r="I12" s="135">
        <f t="shared" si="3"/>
        <v>-0.2392013125321181</v>
      </c>
      <c r="J12" s="135">
        <f t="shared" si="3"/>
        <v>-0.2392013125321181</v>
      </c>
      <c r="K12" s="135">
        <f t="shared" si="3"/>
        <v>-0.2392013125321181</v>
      </c>
      <c r="L12" s="135">
        <f t="shared" si="3"/>
        <v>-0.2392013125321181</v>
      </c>
      <c r="M12" s="135">
        <f t="shared" si="3"/>
        <v>-0.2392013125321181</v>
      </c>
      <c r="N12" s="135">
        <f t="shared" si="3"/>
        <v>-0.2392013125321181</v>
      </c>
      <c r="O12" s="180">
        <f t="shared" si="3"/>
        <v>-0.2392013125321181</v>
      </c>
      <c r="P12" s="186"/>
      <c r="Q12" s="190" t="s">
        <v>234</v>
      </c>
    </row>
    <row r="13" spans="1:17" x14ac:dyDescent="0.3">
      <c r="B13" s="103"/>
      <c r="C13" s="111"/>
      <c r="D13" s="112"/>
      <c r="E13" s="113"/>
      <c r="F13" s="140"/>
      <c r="G13" s="141"/>
      <c r="H13" s="141"/>
      <c r="I13" s="141"/>
      <c r="J13" s="141"/>
      <c r="K13" s="141"/>
      <c r="L13" s="141"/>
      <c r="M13" s="141"/>
      <c r="N13" s="141"/>
      <c r="O13" s="181"/>
      <c r="P13" s="186"/>
    </row>
    <row r="14" spans="1:17" ht="14.4" customHeight="1" x14ac:dyDescent="0.3">
      <c r="B14" s="99" t="s">
        <v>171</v>
      </c>
      <c r="C14" s="110"/>
      <c r="D14" s="114"/>
      <c r="E14" s="115"/>
      <c r="F14" s="135">
        <v>0.25</v>
      </c>
      <c r="G14" s="135">
        <v>0.25</v>
      </c>
      <c r="H14" s="135">
        <v>0.25</v>
      </c>
      <c r="I14" s="135">
        <v>0.25</v>
      </c>
      <c r="J14" s="135">
        <v>0.25</v>
      </c>
      <c r="K14" s="135">
        <v>0.25</v>
      </c>
      <c r="L14" s="135">
        <v>0.25</v>
      </c>
      <c r="M14" s="135">
        <v>0.25</v>
      </c>
      <c r="N14" s="135">
        <v>0.25</v>
      </c>
      <c r="O14" s="180">
        <v>0.25</v>
      </c>
      <c r="P14" s="186"/>
      <c r="Q14" s="262" t="s">
        <v>258</v>
      </c>
    </row>
    <row r="15" spans="1:17" x14ac:dyDescent="0.3">
      <c r="B15" s="100" t="s">
        <v>172</v>
      </c>
      <c r="C15" s="116"/>
      <c r="D15" s="117"/>
      <c r="E15" s="95"/>
      <c r="F15" s="142">
        <f>E5*(1+F6)</f>
        <v>5112.5</v>
      </c>
      <c r="G15" s="143">
        <f t="shared" ref="G15:N15" si="4">F15*(1+G6)</f>
        <v>6390.625</v>
      </c>
      <c r="H15" s="143">
        <f t="shared" si="4"/>
        <v>7988.28125</v>
      </c>
      <c r="I15" s="143">
        <f t="shared" si="4"/>
        <v>9985.3515625</v>
      </c>
      <c r="J15" s="143">
        <f t="shared" si="4"/>
        <v>12481.689453125</v>
      </c>
      <c r="K15" s="143">
        <f t="shared" si="4"/>
        <v>15049.172973632813</v>
      </c>
      <c r="L15" s="143">
        <f t="shared" si="4"/>
        <v>17478.10949157715</v>
      </c>
      <c r="M15" s="143">
        <f t="shared" si="4"/>
        <v>19524.796113040833</v>
      </c>
      <c r="N15" s="143">
        <f t="shared" si="4"/>
        <v>20946.201270070203</v>
      </c>
      <c r="O15" s="182">
        <f>N15*(1+O6)</f>
        <v>21543.168006267202</v>
      </c>
      <c r="P15" s="216">
        <f>O15*(1+P6)</f>
        <v>22157.148294445818</v>
      </c>
      <c r="Q15" s="262"/>
    </row>
    <row r="16" spans="1:17" x14ac:dyDescent="0.3">
      <c r="B16" s="100" t="s">
        <v>165</v>
      </c>
      <c r="C16" s="116"/>
      <c r="D16" s="117"/>
      <c r="E16" s="95"/>
      <c r="F16" s="144">
        <f>F8*F15</f>
        <v>-106.33999999999999</v>
      </c>
      <c r="G16" s="145">
        <f t="shared" ref="G16:O16" si="5">G8*G15</f>
        <v>-26.201562500000001</v>
      </c>
      <c r="H16" s="145">
        <f t="shared" si="5"/>
        <v>100.65234375</v>
      </c>
      <c r="I16" s="145">
        <f t="shared" si="5"/>
        <v>293.5693359375</v>
      </c>
      <c r="J16" s="145">
        <f t="shared" si="5"/>
        <v>575.4058837890625</v>
      </c>
      <c r="K16" s="145">
        <f t="shared" si="5"/>
        <v>945.08806274414053</v>
      </c>
      <c r="L16" s="145">
        <f t="shared" si="5"/>
        <v>1389.5097045803834</v>
      </c>
      <c r="M16" s="145">
        <f t="shared" si="5"/>
        <v>1880.237865685832</v>
      </c>
      <c r="N16" s="145">
        <f t="shared" si="5"/>
        <v>2366.9207435179333</v>
      </c>
      <c r="O16" s="183">
        <f t="shared" si="5"/>
        <v>2794.1488904128564</v>
      </c>
      <c r="P16" s="216">
        <f>O16*(1+P6)</f>
        <v>2873.7821337896225</v>
      </c>
      <c r="Q16" s="262"/>
    </row>
    <row r="17" spans="2:16" x14ac:dyDescent="0.3">
      <c r="B17" s="100" t="s">
        <v>173</v>
      </c>
      <c r="C17" s="116"/>
      <c r="D17" s="117"/>
      <c r="E17" s="95"/>
      <c r="F17" s="144">
        <f>F16*(1-F14)</f>
        <v>-79.754999999999995</v>
      </c>
      <c r="G17" s="145">
        <f t="shared" ref="G17:N17" si="6">G16*(1-G14)</f>
        <v>-19.651171875000003</v>
      </c>
      <c r="H17" s="145">
        <f t="shared" si="6"/>
        <v>75.4892578125</v>
      </c>
      <c r="I17" s="145">
        <f t="shared" si="6"/>
        <v>220.177001953125</v>
      </c>
      <c r="J17" s="145">
        <f t="shared" si="6"/>
        <v>431.55441284179688</v>
      </c>
      <c r="K17" s="145">
        <f t="shared" si="6"/>
        <v>708.81604705810537</v>
      </c>
      <c r="L17" s="145">
        <f t="shared" si="6"/>
        <v>1042.1322784352876</v>
      </c>
      <c r="M17" s="145">
        <f t="shared" si="6"/>
        <v>1410.1783992643741</v>
      </c>
      <c r="N17" s="145">
        <f t="shared" si="6"/>
        <v>1775.1905576384499</v>
      </c>
      <c r="O17" s="183">
        <f>O16*(1-O14)</f>
        <v>2095.6116678096423</v>
      </c>
      <c r="P17" s="218"/>
    </row>
    <row r="18" spans="2:16" x14ac:dyDescent="0.3">
      <c r="B18" s="100" t="s">
        <v>174</v>
      </c>
      <c r="C18" s="116"/>
      <c r="D18" s="117"/>
      <c r="E18" s="95"/>
      <c r="F18" s="144">
        <f>F10*F15</f>
        <v>150.63985683886048</v>
      </c>
      <c r="G18" s="145">
        <f t="shared" ref="G18:O18" si="7">G10*G15</f>
        <v>188.29982104857561</v>
      </c>
      <c r="H18" s="145">
        <f t="shared" si="7"/>
        <v>235.37477631071951</v>
      </c>
      <c r="I18" s="145">
        <f t="shared" si="7"/>
        <v>294.2184703883994</v>
      </c>
      <c r="J18" s="145">
        <f t="shared" si="7"/>
        <v>367.77308798549922</v>
      </c>
      <c r="K18" s="145">
        <f t="shared" si="7"/>
        <v>443.42401218411641</v>
      </c>
      <c r="L18" s="145">
        <f t="shared" si="7"/>
        <v>514.99264775063284</v>
      </c>
      <c r="M18" s="145">
        <f t="shared" si="7"/>
        <v>575.29828680223193</v>
      </c>
      <c r="N18" s="145">
        <f t="shared" si="7"/>
        <v>617.1800020814344</v>
      </c>
      <c r="O18" s="183">
        <f t="shared" si="7"/>
        <v>634.76963214075522</v>
      </c>
      <c r="P18" s="218"/>
    </row>
    <row r="19" spans="2:16" x14ac:dyDescent="0.3">
      <c r="B19" s="100" t="s">
        <v>175</v>
      </c>
      <c r="C19" s="116"/>
      <c r="D19" s="117"/>
      <c r="E19" s="95"/>
      <c r="F19" s="144">
        <f>F18-E9</f>
        <v>77.639856838860482</v>
      </c>
      <c r="G19" s="145">
        <f>G18-F18</f>
        <v>37.659964209715127</v>
      </c>
      <c r="H19" s="145">
        <f t="shared" ref="H19:O19" si="8">H18-G18</f>
        <v>47.074955262143902</v>
      </c>
      <c r="I19" s="145">
        <f t="shared" si="8"/>
        <v>58.843694077679885</v>
      </c>
      <c r="J19" s="145">
        <f t="shared" si="8"/>
        <v>73.554617597099821</v>
      </c>
      <c r="K19" s="145">
        <f t="shared" si="8"/>
        <v>75.65092419861719</v>
      </c>
      <c r="L19" s="145">
        <f t="shared" si="8"/>
        <v>71.568635566516434</v>
      </c>
      <c r="M19" s="145">
        <f t="shared" si="8"/>
        <v>60.305639051599087</v>
      </c>
      <c r="N19" s="145">
        <f t="shared" si="8"/>
        <v>41.881715279202467</v>
      </c>
      <c r="O19" s="183">
        <f t="shared" si="8"/>
        <v>17.589630059320825</v>
      </c>
      <c r="P19" s="186"/>
    </row>
    <row r="20" spans="2:16" x14ac:dyDescent="0.3">
      <c r="B20" s="100" t="s">
        <v>169</v>
      </c>
      <c r="C20" s="116"/>
      <c r="D20" s="117"/>
      <c r="E20" s="95"/>
      <c r="F20" s="144">
        <f>F12*F15</f>
        <v>-1222.9167103204538</v>
      </c>
      <c r="G20" s="145">
        <f t="shared" ref="G20:O20" si="9">G12*G15</f>
        <v>-1528.6458879005672</v>
      </c>
      <c r="H20" s="145">
        <f t="shared" si="9"/>
        <v>-1910.8073598757089</v>
      </c>
      <c r="I20" s="145">
        <f t="shared" si="9"/>
        <v>-2388.5091998446364</v>
      </c>
      <c r="J20" s="145">
        <f t="shared" si="9"/>
        <v>-2985.6364998057952</v>
      </c>
      <c r="K20" s="145">
        <f t="shared" si="9"/>
        <v>-3599.7819278158477</v>
      </c>
      <c r="L20" s="145">
        <f t="shared" si="9"/>
        <v>-4180.7867309653257</v>
      </c>
      <c r="M20" s="145">
        <f t="shared" si="9"/>
        <v>-4670.356857161365</v>
      </c>
      <c r="N20" s="145">
        <f t="shared" si="9"/>
        <v>-5010.3588363627114</v>
      </c>
      <c r="O20" s="183">
        <f t="shared" si="9"/>
        <v>-5153.1540631990483</v>
      </c>
      <c r="P20" s="186"/>
    </row>
    <row r="21" spans="2:16" x14ac:dyDescent="0.3">
      <c r="B21" s="100" t="s">
        <v>176</v>
      </c>
      <c r="C21" s="116"/>
      <c r="D21" s="117"/>
      <c r="E21" s="95"/>
      <c r="F21" s="144">
        <f>F20-E11</f>
        <v>-164.91671032045383</v>
      </c>
      <c r="G21" s="145">
        <f>G20-F20</f>
        <v>-305.7291775801134</v>
      </c>
      <c r="H21" s="145">
        <f t="shared" ref="H21:O21" si="10">H20-G20</f>
        <v>-382.16147197514169</v>
      </c>
      <c r="I21" s="145">
        <f t="shared" si="10"/>
        <v>-477.70183996892752</v>
      </c>
      <c r="J21" s="145">
        <f t="shared" si="10"/>
        <v>-597.12729996115877</v>
      </c>
      <c r="K21" s="145">
        <f t="shared" si="10"/>
        <v>-614.14542801005246</v>
      </c>
      <c r="L21" s="145">
        <f t="shared" si="10"/>
        <v>-581.00480314947799</v>
      </c>
      <c r="M21" s="145">
        <f t="shared" si="10"/>
        <v>-489.57012619603938</v>
      </c>
      <c r="N21" s="145">
        <f t="shared" si="10"/>
        <v>-340.00197920134633</v>
      </c>
      <c r="O21" s="183">
        <f t="shared" si="10"/>
        <v>-142.79522683633695</v>
      </c>
      <c r="P21" s="186"/>
    </row>
    <row r="22" spans="2:16" x14ac:dyDescent="0.3">
      <c r="B22" s="100" t="s">
        <v>177</v>
      </c>
      <c r="C22" s="116"/>
      <c r="D22" s="117"/>
      <c r="E22" s="95"/>
      <c r="F22" s="144">
        <f>F17-F19-F21</f>
        <v>7.5218534815933538</v>
      </c>
      <c r="G22" s="145">
        <f t="shared" ref="G22:O22" si="11">G17-G19-G21</f>
        <v>248.41804149539826</v>
      </c>
      <c r="H22" s="145">
        <f t="shared" si="11"/>
        <v>410.57577452549776</v>
      </c>
      <c r="I22" s="145">
        <f t="shared" si="11"/>
        <v>639.03514784437266</v>
      </c>
      <c r="J22" s="145">
        <f t="shared" si="11"/>
        <v>955.12709520585577</v>
      </c>
      <c r="K22" s="145">
        <f t="shared" si="11"/>
        <v>1247.3105508695407</v>
      </c>
      <c r="L22" s="145">
        <f t="shared" si="11"/>
        <v>1551.5684460182492</v>
      </c>
      <c r="M22" s="145">
        <f t="shared" si="11"/>
        <v>1839.4428864088145</v>
      </c>
      <c r="N22" s="145">
        <f t="shared" si="11"/>
        <v>2073.3108215605939</v>
      </c>
      <c r="O22" s="183">
        <f t="shared" si="11"/>
        <v>2220.8172645866584</v>
      </c>
      <c r="P22" s="186"/>
    </row>
    <row r="23" spans="2:16" x14ac:dyDescent="0.3">
      <c r="B23" s="100"/>
      <c r="C23" s="116"/>
      <c r="D23" s="117" t="s">
        <v>207</v>
      </c>
      <c r="E23" s="95"/>
      <c r="F23" s="144"/>
      <c r="G23" s="145"/>
      <c r="H23" s="145"/>
      <c r="I23" s="145"/>
      <c r="J23" s="145"/>
      <c r="K23" s="145"/>
      <c r="L23" s="145"/>
      <c r="M23" s="145"/>
      <c r="N23" s="145"/>
      <c r="O23" s="183"/>
      <c r="P23" s="186"/>
    </row>
    <row r="24" spans="2:16" x14ac:dyDescent="0.3">
      <c r="B24" s="100" t="s">
        <v>178</v>
      </c>
      <c r="C24" s="148">
        <f>P6</f>
        <v>2.8500000000000001E-2</v>
      </c>
      <c r="D24" s="117"/>
      <c r="E24" s="95"/>
      <c r="F24" s="116"/>
      <c r="G24" s="117"/>
      <c r="H24" s="117"/>
      <c r="I24" s="117"/>
      <c r="J24" s="117"/>
      <c r="K24" s="117"/>
      <c r="L24" s="117"/>
      <c r="M24" s="117"/>
      <c r="N24" s="117"/>
      <c r="O24" s="178"/>
      <c r="P24" s="186"/>
    </row>
    <row r="25" spans="2:16" x14ac:dyDescent="0.3">
      <c r="B25" s="100" t="s">
        <v>179</v>
      </c>
      <c r="C25" s="148">
        <f>WACC!C12</f>
        <v>7.4700000000000003E-2</v>
      </c>
      <c r="D25" s="117"/>
      <c r="E25" s="95"/>
      <c r="F25" s="116"/>
      <c r="G25" s="117"/>
      <c r="H25" s="117"/>
      <c r="I25" s="117"/>
      <c r="J25" s="117"/>
      <c r="K25" s="117"/>
      <c r="L25" s="117"/>
      <c r="M25" s="117"/>
      <c r="N25" s="117"/>
      <c r="O25" s="178"/>
      <c r="P25" s="187"/>
    </row>
    <row r="26" spans="2:16" ht="15" thickBot="1" x14ac:dyDescent="0.35">
      <c r="B26" s="104" t="s">
        <v>196</v>
      </c>
      <c r="C26" s="146"/>
      <c r="D26" s="147"/>
      <c r="E26" s="149"/>
      <c r="F26" s="146"/>
      <c r="G26" s="147"/>
      <c r="H26" s="147"/>
      <c r="I26" s="147"/>
      <c r="J26" s="147"/>
      <c r="K26" s="147"/>
      <c r="L26" s="147"/>
      <c r="M26" s="147"/>
      <c r="N26" s="147"/>
      <c r="O26" s="184">
        <f>O22*(1+C24)/(C25-C24)</f>
        <v>49439.622437822036</v>
      </c>
      <c r="P26" s="187"/>
    </row>
    <row r="27" spans="2:16" ht="15" thickBot="1" x14ac:dyDescent="0.35">
      <c r="O27" s="83">
        <f>O26/O15</f>
        <v>2.2949095705626661</v>
      </c>
      <c r="P27" s="188" t="s">
        <v>197</v>
      </c>
    </row>
    <row r="28" spans="2:16" x14ac:dyDescent="0.3">
      <c r="B28" s="154" t="s">
        <v>198</v>
      </c>
      <c r="C28" s="150">
        <f>O26/(1+C25)^10</f>
        <v>24054.850199005345</v>
      </c>
      <c r="E28" s="251" t="s">
        <v>208</v>
      </c>
      <c r="F28" s="252"/>
      <c r="G28" s="252"/>
      <c r="H28" s="252"/>
      <c r="I28" s="252"/>
      <c r="J28" s="252"/>
      <c r="K28" s="252"/>
      <c r="L28" s="252"/>
      <c r="M28" s="253"/>
    </row>
    <row r="29" spans="2:16" x14ac:dyDescent="0.3">
      <c r="B29" s="155" t="s">
        <v>199</v>
      </c>
      <c r="C29" s="151">
        <f>NPV(C25,F22:O22)</f>
        <v>6643.0897672533747</v>
      </c>
      <c r="E29" s="220"/>
      <c r="F29" s="82"/>
      <c r="G29" s="254" t="s">
        <v>209</v>
      </c>
      <c r="H29" s="254"/>
      <c r="I29" s="254"/>
      <c r="J29" s="254"/>
      <c r="K29" s="254"/>
      <c r="L29" s="254"/>
      <c r="M29" s="255"/>
    </row>
    <row r="30" spans="2:16" x14ac:dyDescent="0.3">
      <c r="B30" s="155" t="s">
        <v>200</v>
      </c>
      <c r="C30" s="151">
        <f>C28+C29</f>
        <v>30697.93996625872</v>
      </c>
      <c r="E30" s="220"/>
      <c r="F30" s="84">
        <f>C37</f>
        <v>223.5961853502186</v>
      </c>
      <c r="G30" s="157">
        <v>0.02</v>
      </c>
      <c r="H30" s="157">
        <v>2.5000000000000001E-2</v>
      </c>
      <c r="I30" s="157">
        <v>0.04</v>
      </c>
      <c r="J30" s="157">
        <v>0.05</v>
      </c>
      <c r="K30" s="157">
        <v>0.06</v>
      </c>
      <c r="L30" s="157">
        <v>7.0000000000000007E-2</v>
      </c>
      <c r="M30" s="221">
        <v>0.08</v>
      </c>
    </row>
    <row r="31" spans="2:16" x14ac:dyDescent="0.3">
      <c r="B31" s="155" t="s">
        <v>193</v>
      </c>
      <c r="C31" s="152">
        <v>0</v>
      </c>
      <c r="E31" s="256" t="s">
        <v>179</v>
      </c>
      <c r="F31" s="157">
        <v>6.5000000000000002E-2</v>
      </c>
      <c r="G31" s="263">
        <f t="dataTable" ref="G31:M38" dt2D="1" dtr="1" r1="C25" r2="C24"/>
        <v>-221.70487448259732</v>
      </c>
      <c r="H31" s="82">
        <v>-245.40921048215972</v>
      </c>
      <c r="I31" s="82">
        <v>-374.92811975260247</v>
      </c>
      <c r="J31" s="82">
        <v>-607.13462172099798</v>
      </c>
      <c r="K31" s="82">
        <v>-1772.4536978602785</v>
      </c>
      <c r="L31" s="302">
        <v>1727.4835154777891</v>
      </c>
      <c r="M31" s="303">
        <v>562.07074355742736</v>
      </c>
    </row>
    <row r="32" spans="2:16" x14ac:dyDescent="0.3">
      <c r="B32" s="155" t="s">
        <v>201</v>
      </c>
      <c r="C32" s="153">
        <f>'Exhibit 5 (BS)'!E20+'Exhibit 5 (BS)'!E21</f>
        <v>1509</v>
      </c>
      <c r="E32" s="256"/>
      <c r="F32" s="157">
        <v>0.08</v>
      </c>
      <c r="G32" s="82">
        <v>-150.03218519355696</v>
      </c>
      <c r="H32" s="82">
        <v>-161.234517512346</v>
      </c>
      <c r="I32" s="82">
        <v>-212.44099394753266</v>
      </c>
      <c r="J32" s="82">
        <v>-275.84883399304113</v>
      </c>
      <c r="K32" s="82">
        <v>-403.57103559089273</v>
      </c>
      <c r="L32" s="82">
        <v>-788.42593698514963</v>
      </c>
      <c r="M32" s="222" t="e">
        <v>#DIV/0!</v>
      </c>
    </row>
    <row r="33" spans="2:13" x14ac:dyDescent="0.3">
      <c r="B33" s="155" t="s">
        <v>202</v>
      </c>
      <c r="C33" s="153">
        <f>C30-C31+C32</f>
        <v>32206.93996625872</v>
      </c>
      <c r="E33" s="256"/>
      <c r="F33" s="157">
        <v>0.09</v>
      </c>
      <c r="G33" s="82">
        <v>-119.3153183553968</v>
      </c>
      <c r="H33" s="82">
        <v>-126.70131014011464</v>
      </c>
      <c r="I33" s="82">
        <v>-158.27861867917596</v>
      </c>
      <c r="J33" s="82">
        <v>-193.02738706105183</v>
      </c>
      <c r="K33" s="82">
        <v>-251.47296200540532</v>
      </c>
      <c r="L33" s="82">
        <v>-369.10769490799277</v>
      </c>
      <c r="M33" s="222">
        <v>-723.40149369167591</v>
      </c>
    </row>
    <row r="34" spans="2:13" x14ac:dyDescent="0.3">
      <c r="B34" s="155" t="s">
        <v>203</v>
      </c>
      <c r="C34" s="152">
        <v>177.17</v>
      </c>
      <c r="E34" s="256"/>
      <c r="F34" s="157">
        <v>0.1</v>
      </c>
      <c r="G34" s="82">
        <v>-96.27766822677664</v>
      </c>
      <c r="H34" s="82">
        <v>-101.37695806714501</v>
      </c>
      <c r="I34" s="82">
        <v>-122.17036850027151</v>
      </c>
      <c r="J34" s="263">
        <v>-143.33451890185825</v>
      </c>
      <c r="K34" s="82">
        <v>-175.42392521266152</v>
      </c>
      <c r="L34" s="82">
        <v>-229.33494754894036</v>
      </c>
      <c r="M34" s="222">
        <v>-337.75982251694461</v>
      </c>
    </row>
    <row r="35" spans="2:13" x14ac:dyDescent="0.3">
      <c r="B35" s="155" t="s">
        <v>204</v>
      </c>
      <c r="C35" s="204">
        <f>C33/C34</f>
        <v>181.78551654489317</v>
      </c>
      <c r="E35" s="256"/>
      <c r="F35" s="157">
        <v>0.11</v>
      </c>
      <c r="G35" s="82">
        <v>-78.359495904516507</v>
      </c>
      <c r="H35" s="82">
        <v>-82.01127707016829</v>
      </c>
      <c r="I35" s="82">
        <v>-96.378761229625482</v>
      </c>
      <c r="J35" s="82">
        <v>-110.20594012906257</v>
      </c>
      <c r="K35" s="82">
        <v>-129.79450313701528</v>
      </c>
      <c r="L35" s="82">
        <v>-159.44857386941422</v>
      </c>
      <c r="M35" s="222">
        <v>-209.21259879203444</v>
      </c>
    </row>
    <row r="36" spans="2:13" x14ac:dyDescent="0.3">
      <c r="B36" s="155" t="s">
        <v>205</v>
      </c>
      <c r="C36" s="152">
        <v>1.23</v>
      </c>
      <c r="E36" s="256"/>
      <c r="F36" s="157">
        <v>0.12</v>
      </c>
      <c r="G36" s="82">
        <v>-64.02495804670842</v>
      </c>
      <c r="H36" s="82">
        <v>-66.722581546239212</v>
      </c>
      <c r="I36" s="82">
        <v>-77.035055776641002</v>
      </c>
      <c r="J36" s="82">
        <v>-86.542669577065624</v>
      </c>
      <c r="K36" s="82">
        <v>-99.374888419917795</v>
      </c>
      <c r="L36" s="82">
        <v>-117.51674966169853</v>
      </c>
      <c r="M36" s="222">
        <v>-144.93898692957924</v>
      </c>
    </row>
    <row r="37" spans="2:13" ht="15" thickBot="1" x14ac:dyDescent="0.35">
      <c r="B37" s="156" t="s">
        <v>206</v>
      </c>
      <c r="C37" s="219">
        <f>C35*C36</f>
        <v>223.5961853502186</v>
      </c>
      <c r="E37" s="256"/>
      <c r="F37" s="157">
        <v>0.13</v>
      </c>
      <c r="G37" s="82">
        <v>-52.296699799410867</v>
      </c>
      <c r="H37" s="82">
        <v>-54.346018503058559</v>
      </c>
      <c r="I37" s="82">
        <v>-61.989951535430798</v>
      </c>
      <c r="J37" s="82">
        <v>-68.79521666306789</v>
      </c>
      <c r="K37" s="82">
        <v>-77.646592193419551</v>
      </c>
      <c r="L37" s="82">
        <v>-89.562200189888017</v>
      </c>
      <c r="M37" s="222">
        <v>-106.37481981210613</v>
      </c>
    </row>
    <row r="38" spans="2:13" ht="15" thickBot="1" x14ac:dyDescent="0.35">
      <c r="E38" s="257"/>
      <c r="F38" s="223">
        <v>0.14000000000000001</v>
      </c>
      <c r="G38" s="224">
        <v>-42.523151259996276</v>
      </c>
      <c r="H38" s="224">
        <v>-44.121901206518046</v>
      </c>
      <c r="I38" s="224">
        <v>-49.953868142462639</v>
      </c>
      <c r="J38" s="224">
        <v>-54.991642174403019</v>
      </c>
      <c r="K38" s="224">
        <v>-61.350370023545878</v>
      </c>
      <c r="L38" s="224">
        <v>-69.594664852880555</v>
      </c>
      <c r="M38" s="263">
        <v>-80.665375067124074</v>
      </c>
    </row>
  </sheetData>
  <mergeCells count="7">
    <mergeCell ref="Q5:Q7"/>
    <mergeCell ref="C3:E3"/>
    <mergeCell ref="F3:O3"/>
    <mergeCell ref="G29:M29"/>
    <mergeCell ref="E31:E38"/>
    <mergeCell ref="E28:M28"/>
    <mergeCell ref="Q14:Q16"/>
  </mergeCells>
  <pageMargins left="0.7" right="0.7" top="0.75" bottom="0.75" header="0.3" footer="0.3"/>
  <ignoredErrors>
    <ignoredError sqref="F20:O20"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23EF1-A45B-48D6-A374-0D5D33DCCF4D}">
  <dimension ref="B1:E12"/>
  <sheetViews>
    <sheetView zoomScale="142" workbookViewId="0">
      <selection activeCell="C12" sqref="C12"/>
    </sheetView>
  </sheetViews>
  <sheetFormatPr defaultRowHeight="14.4" x14ac:dyDescent="0.3"/>
  <cols>
    <col min="2" max="2" width="12.33203125" bestFit="1" customWidth="1"/>
    <col min="3" max="3" width="23.5546875" bestFit="1" customWidth="1"/>
    <col min="4" max="4" width="14.21875" bestFit="1" customWidth="1"/>
  </cols>
  <sheetData>
    <row r="1" spans="2:5" ht="15" thickBot="1" x14ac:dyDescent="0.35"/>
    <row r="2" spans="2:5" x14ac:dyDescent="0.3">
      <c r="B2" s="154" t="s">
        <v>179</v>
      </c>
      <c r="C2" s="172" t="s">
        <v>180</v>
      </c>
    </row>
    <row r="3" spans="2:5" x14ac:dyDescent="0.3">
      <c r="B3" s="155" t="s">
        <v>181</v>
      </c>
      <c r="C3" s="173">
        <v>0</v>
      </c>
    </row>
    <row r="4" spans="2:5" x14ac:dyDescent="0.3">
      <c r="B4" s="155" t="s">
        <v>182</v>
      </c>
      <c r="C4" s="173">
        <v>0</v>
      </c>
    </row>
    <row r="5" spans="2:5" x14ac:dyDescent="0.3">
      <c r="B5" s="155" t="s">
        <v>183</v>
      </c>
      <c r="C5" s="173">
        <v>0.25</v>
      </c>
    </row>
    <row r="6" spans="2:5" ht="15" thickBot="1" x14ac:dyDescent="0.35">
      <c r="B6" s="156" t="s">
        <v>184</v>
      </c>
      <c r="C6" s="174">
        <f>1-C3</f>
        <v>1</v>
      </c>
    </row>
    <row r="7" spans="2:5" ht="15" thickBot="1" x14ac:dyDescent="0.35"/>
    <row r="8" spans="2:5" x14ac:dyDescent="0.3">
      <c r="B8" s="154" t="s">
        <v>186</v>
      </c>
      <c r="C8" s="172" t="s">
        <v>187</v>
      </c>
    </row>
    <row r="9" spans="2:5" x14ac:dyDescent="0.3">
      <c r="B9" s="155" t="s">
        <v>188</v>
      </c>
      <c r="C9" s="105">
        <v>2.8500000000000001E-2</v>
      </c>
      <c r="D9" s="108" t="s">
        <v>191</v>
      </c>
    </row>
    <row r="10" spans="2:5" x14ac:dyDescent="0.3">
      <c r="B10" s="155" t="s">
        <v>189</v>
      </c>
      <c r="C10" s="95">
        <f>E11</f>
        <v>0.84</v>
      </c>
      <c r="D10" s="108" t="s">
        <v>192</v>
      </c>
      <c r="E10" s="109">
        <v>0.84</v>
      </c>
    </row>
    <row r="11" spans="2:5" x14ac:dyDescent="0.3">
      <c r="B11" s="155" t="s">
        <v>190</v>
      </c>
      <c r="C11" s="106">
        <v>5.5E-2</v>
      </c>
      <c r="D11" s="108" t="s">
        <v>194</v>
      </c>
      <c r="E11" s="109">
        <f>E10*(1+(1-0.25)*C3/C6)</f>
        <v>0.84</v>
      </c>
    </row>
    <row r="12" spans="2:5" ht="15" thickBot="1" x14ac:dyDescent="0.35">
      <c r="B12" s="156" t="s">
        <v>185</v>
      </c>
      <c r="C12" s="107">
        <f>C9+C10*C11</f>
        <v>7.4700000000000003E-2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showGridLines="0" workbookViewId="0">
      <selection activeCell="E10" sqref="E10"/>
    </sheetView>
  </sheetViews>
  <sheetFormatPr defaultColWidth="9.109375" defaultRowHeight="14.4" x14ac:dyDescent="0.3"/>
  <cols>
    <col min="1" max="1" width="20" customWidth="1"/>
    <col min="2" max="2" width="58.6640625" customWidth="1"/>
  </cols>
  <sheetData>
    <row r="1" spans="1:7" ht="106.5" customHeight="1" x14ac:dyDescent="0.3">
      <c r="A1" s="258"/>
      <c r="B1" s="258"/>
    </row>
    <row r="3" spans="1:7" x14ac:dyDescent="0.3">
      <c r="A3" s="63" t="s">
        <v>151</v>
      </c>
      <c r="B3" s="66" t="s">
        <v>156</v>
      </c>
    </row>
    <row r="4" spans="1:7" x14ac:dyDescent="0.3">
      <c r="A4" s="63" t="s">
        <v>152</v>
      </c>
      <c r="B4" s="65" t="s">
        <v>159</v>
      </c>
    </row>
    <row r="5" spans="1:7" ht="28.8" x14ac:dyDescent="0.3">
      <c r="A5" s="63"/>
      <c r="B5" s="65" t="s">
        <v>160</v>
      </c>
    </row>
    <row r="6" spans="1:7" x14ac:dyDescent="0.3">
      <c r="A6" s="63" t="s">
        <v>153</v>
      </c>
      <c r="B6" s="65" t="s">
        <v>158</v>
      </c>
    </row>
    <row r="8" spans="1:7" x14ac:dyDescent="0.3">
      <c r="A8" s="64" t="s">
        <v>154</v>
      </c>
      <c r="B8" s="67">
        <v>43571</v>
      </c>
    </row>
    <row r="10" spans="1:7" ht="104.25" customHeight="1" x14ac:dyDescent="0.3">
      <c r="A10" s="259" t="s">
        <v>155</v>
      </c>
      <c r="B10" s="259"/>
      <c r="C10" s="65"/>
      <c r="D10" s="65"/>
      <c r="E10" s="65"/>
      <c r="F10" s="65"/>
      <c r="G10" s="65"/>
    </row>
    <row r="11" spans="1:7" x14ac:dyDescent="0.3">
      <c r="A11" s="64"/>
    </row>
    <row r="12" spans="1:7" x14ac:dyDescent="0.3">
      <c r="A12" s="260" t="s">
        <v>157</v>
      </c>
      <c r="B12" s="258"/>
    </row>
  </sheetData>
  <sheetProtection password="DD7B" sheet="1" objects="1" scenarios="1"/>
  <mergeCells count="3">
    <mergeCell ref="A1:B1"/>
    <mergeCell ref="A10:B10"/>
    <mergeCell ref="A12:B1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B2:E26"/>
  <sheetViews>
    <sheetView zoomScale="90" workbookViewId="0">
      <selection activeCell="B5" sqref="B5:E7"/>
    </sheetView>
  </sheetViews>
  <sheetFormatPr defaultColWidth="9.109375" defaultRowHeight="13.2" x14ac:dyDescent="0.25"/>
  <cols>
    <col min="1" max="1" width="9.109375" style="2"/>
    <col min="2" max="2" width="49.88671875" style="2" customWidth="1"/>
    <col min="3" max="5" width="12.44140625" style="2" bestFit="1" customWidth="1"/>
    <col min="6" max="16384" width="9.109375" style="2"/>
  </cols>
  <sheetData>
    <row r="2" spans="2:5" x14ac:dyDescent="0.25">
      <c r="B2" s="1" t="s">
        <v>0</v>
      </c>
    </row>
    <row r="3" spans="2:5" x14ac:dyDescent="0.25">
      <c r="B3" s="1" t="s">
        <v>1</v>
      </c>
    </row>
    <row r="4" spans="2:5" x14ac:dyDescent="0.25">
      <c r="B4" s="3" t="s">
        <v>2</v>
      </c>
    </row>
    <row r="5" spans="2:5" x14ac:dyDescent="0.25">
      <c r="B5" s="4"/>
    </row>
    <row r="6" spans="2:5" x14ac:dyDescent="0.25">
      <c r="B6" s="5"/>
      <c r="C6" s="6">
        <v>2015</v>
      </c>
      <c r="D6" s="6">
        <v>2016</v>
      </c>
      <c r="E6" s="6">
        <v>2017</v>
      </c>
    </row>
    <row r="7" spans="2:5" x14ac:dyDescent="0.25">
      <c r="B7" s="7" t="s">
        <v>3</v>
      </c>
      <c r="C7" s="8">
        <v>1940</v>
      </c>
      <c r="D7" s="8">
        <v>2952</v>
      </c>
      <c r="E7" s="8">
        <v>4090</v>
      </c>
    </row>
    <row r="8" spans="2:5" x14ac:dyDescent="0.25">
      <c r="B8" s="7" t="s">
        <v>4</v>
      </c>
      <c r="C8" s="8">
        <v>1714</v>
      </c>
      <c r="D8" s="8">
        <v>2551</v>
      </c>
      <c r="E8" s="8">
        <v>3241</v>
      </c>
    </row>
    <row r="9" spans="2:5" x14ac:dyDescent="0.25">
      <c r="B9" s="9" t="s">
        <v>5</v>
      </c>
      <c r="C9" s="10">
        <v>226</v>
      </c>
      <c r="D9" s="10">
        <v>401</v>
      </c>
      <c r="E9" s="10">
        <v>849</v>
      </c>
    </row>
    <row r="10" spans="2:5" x14ac:dyDescent="0.25">
      <c r="B10" s="7" t="s">
        <v>6</v>
      </c>
      <c r="C10" s="11">
        <v>136</v>
      </c>
      <c r="D10" s="11">
        <v>207</v>
      </c>
      <c r="E10" s="11">
        <v>396</v>
      </c>
    </row>
    <row r="11" spans="2:5" x14ac:dyDescent="0.25">
      <c r="B11" s="7" t="s">
        <v>7</v>
      </c>
      <c r="C11" s="11">
        <v>219</v>
      </c>
      <c r="D11" s="11">
        <v>368</v>
      </c>
      <c r="E11" s="11">
        <v>567</v>
      </c>
    </row>
    <row r="12" spans="2:5" x14ac:dyDescent="0.25">
      <c r="B12" s="7" t="s">
        <v>8</v>
      </c>
      <c r="C12" s="12">
        <v>106</v>
      </c>
      <c r="D12" s="12">
        <v>175</v>
      </c>
      <c r="E12" s="12">
        <v>264</v>
      </c>
    </row>
    <row r="13" spans="2:5" x14ac:dyDescent="0.25">
      <c r="B13" s="13"/>
      <c r="C13" s="10">
        <v>461</v>
      </c>
      <c r="D13" s="10">
        <v>750</v>
      </c>
      <c r="E13" s="14">
        <v>1227</v>
      </c>
    </row>
    <row r="14" spans="2:5" x14ac:dyDescent="0.25">
      <c r="B14" s="9" t="s">
        <v>9</v>
      </c>
      <c r="C14" s="10">
        <v>-235</v>
      </c>
      <c r="D14" s="10">
        <v>-349</v>
      </c>
      <c r="E14" s="14">
        <v>-378</v>
      </c>
    </row>
    <row r="15" spans="2:5" x14ac:dyDescent="0.25">
      <c r="B15" s="7" t="s">
        <v>10</v>
      </c>
      <c r="C15" s="11">
        <v>36</v>
      </c>
      <c r="D15" s="11">
        <v>152</v>
      </c>
      <c r="E15" s="8">
        <v>118</v>
      </c>
    </row>
    <row r="16" spans="2:5" x14ac:dyDescent="0.25">
      <c r="B16" s="7" t="s">
        <v>11</v>
      </c>
      <c r="C16" s="11">
        <v>-26</v>
      </c>
      <c r="D16" s="11">
        <v>-336</v>
      </c>
      <c r="E16" s="8">
        <v>-974</v>
      </c>
    </row>
    <row r="17" spans="2:5" x14ac:dyDescent="0.25">
      <c r="B17" s="7" t="s">
        <v>12</v>
      </c>
      <c r="C17" s="15" t="s">
        <v>13</v>
      </c>
      <c r="D17" s="11">
        <v>-2</v>
      </c>
      <c r="E17" s="16">
        <v>1</v>
      </c>
    </row>
    <row r="18" spans="2:5" x14ac:dyDescent="0.25">
      <c r="B18" s="9" t="s">
        <v>14</v>
      </c>
      <c r="C18" s="10">
        <v>10</v>
      </c>
      <c r="D18" s="10">
        <v>-186</v>
      </c>
      <c r="E18" s="14">
        <v>-855</v>
      </c>
    </row>
    <row r="19" spans="2:5" x14ac:dyDescent="0.25">
      <c r="B19" s="9" t="s">
        <v>15</v>
      </c>
      <c r="C19" s="10">
        <v>-225</v>
      </c>
      <c r="D19" s="10">
        <v>-535</v>
      </c>
      <c r="E19" s="14">
        <v>-1233</v>
      </c>
    </row>
    <row r="20" spans="2:5" x14ac:dyDescent="0.25">
      <c r="B20" s="7" t="s">
        <v>16</v>
      </c>
      <c r="C20" s="11">
        <v>5</v>
      </c>
      <c r="D20" s="11">
        <v>4</v>
      </c>
      <c r="E20" s="8">
        <v>2</v>
      </c>
    </row>
    <row r="21" spans="2:5" x14ac:dyDescent="0.25">
      <c r="B21" s="9" t="s">
        <v>17</v>
      </c>
      <c r="C21" s="10">
        <v>-230</v>
      </c>
      <c r="D21" s="10">
        <v>-539</v>
      </c>
      <c r="E21" s="14">
        <v>-1235</v>
      </c>
    </row>
    <row r="22" spans="2:5" ht="26.4" x14ac:dyDescent="0.25">
      <c r="B22" s="9" t="s">
        <v>18</v>
      </c>
      <c r="C22" s="17"/>
      <c r="D22" s="17"/>
      <c r="E22" s="18"/>
    </row>
    <row r="23" spans="2:5" x14ac:dyDescent="0.25">
      <c r="B23" s="7" t="s">
        <v>19</v>
      </c>
      <c r="C23" s="11">
        <v>-1.62</v>
      </c>
      <c r="D23" s="11">
        <v>-3.63</v>
      </c>
      <c r="E23" s="11">
        <v>-8.14</v>
      </c>
    </row>
    <row r="24" spans="2:5" x14ac:dyDescent="0.25">
      <c r="B24" s="9" t="s">
        <v>20</v>
      </c>
      <c r="C24" s="17"/>
      <c r="D24" s="17"/>
      <c r="E24" s="17"/>
    </row>
    <row r="25" spans="2:5" ht="13.8" thickBot="1" x14ac:dyDescent="0.3">
      <c r="B25" s="7" t="s">
        <v>19</v>
      </c>
      <c r="C25" s="8">
        <v>141946600</v>
      </c>
      <c r="D25" s="8">
        <v>148368720</v>
      </c>
      <c r="E25" s="19">
        <v>151668769</v>
      </c>
    </row>
    <row r="26" spans="2:5" ht="13.8" thickTop="1" x14ac:dyDescent="0.25">
      <c r="B26" s="17"/>
      <c r="C26" s="20"/>
      <c r="D26" s="20"/>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53"/>
  <sheetViews>
    <sheetView zoomScale="85" workbookViewId="0">
      <selection activeCell="B21" sqref="B21"/>
    </sheetView>
  </sheetViews>
  <sheetFormatPr defaultColWidth="9.109375" defaultRowHeight="13.2" x14ac:dyDescent="0.25"/>
  <cols>
    <col min="1" max="1" width="9.109375" style="2"/>
    <col min="2" max="2" width="55.44140625" style="2" customWidth="1"/>
    <col min="3" max="16384" width="9.109375" style="2"/>
  </cols>
  <sheetData>
    <row r="2" spans="2:5" x14ac:dyDescent="0.25">
      <c r="B2" s="1" t="s">
        <v>21</v>
      </c>
    </row>
    <row r="3" spans="2:5" x14ac:dyDescent="0.25">
      <c r="B3" s="1" t="s">
        <v>22</v>
      </c>
    </row>
    <row r="4" spans="2:5" x14ac:dyDescent="0.25">
      <c r="B4" s="3" t="s">
        <v>23</v>
      </c>
    </row>
    <row r="5" spans="2:5" x14ac:dyDescent="0.25">
      <c r="B5" s="4"/>
    </row>
    <row r="6" spans="2:5" x14ac:dyDescent="0.25">
      <c r="B6" s="5"/>
      <c r="C6" s="6">
        <v>2015</v>
      </c>
      <c r="D6" s="6">
        <v>2016</v>
      </c>
      <c r="E6" s="6">
        <v>2017</v>
      </c>
    </row>
    <row r="7" spans="2:5" x14ac:dyDescent="0.25">
      <c r="B7" s="9" t="s">
        <v>24</v>
      </c>
      <c r="C7" s="17"/>
      <c r="D7" s="17"/>
      <c r="E7" s="17"/>
    </row>
    <row r="8" spans="2:5" x14ac:dyDescent="0.25">
      <c r="B8" s="9" t="s">
        <v>25</v>
      </c>
      <c r="C8" s="17"/>
      <c r="D8" s="17"/>
      <c r="E8" s="17"/>
    </row>
    <row r="9" spans="2:5" x14ac:dyDescent="0.25">
      <c r="B9" s="7" t="s">
        <v>26</v>
      </c>
      <c r="C9" s="8">
        <v>81</v>
      </c>
      <c r="D9" s="8">
        <v>85</v>
      </c>
      <c r="E9" s="8">
        <v>73</v>
      </c>
    </row>
    <row r="10" spans="2:5" x14ac:dyDescent="0.25">
      <c r="B10" s="7" t="s">
        <v>27</v>
      </c>
      <c r="C10" s="8">
        <v>73</v>
      </c>
      <c r="D10" s="8">
        <v>80</v>
      </c>
      <c r="E10" s="8">
        <v>162</v>
      </c>
    </row>
    <row r="11" spans="2:5" x14ac:dyDescent="0.25">
      <c r="B11" s="7" t="s">
        <v>28</v>
      </c>
      <c r="C11" s="8">
        <v>1</v>
      </c>
      <c r="D11" s="16">
        <v>0</v>
      </c>
      <c r="E11" s="16">
        <v>1</v>
      </c>
    </row>
    <row r="12" spans="2:5" x14ac:dyDescent="0.25">
      <c r="B12" s="7" t="s">
        <v>29</v>
      </c>
      <c r="C12" s="16">
        <v>0</v>
      </c>
      <c r="D12" s="16">
        <v>0</v>
      </c>
      <c r="E12" s="16">
        <v>910</v>
      </c>
    </row>
    <row r="13" spans="2:5" x14ac:dyDescent="0.25">
      <c r="B13" s="7" t="s">
        <v>30</v>
      </c>
      <c r="C13" s="8">
        <v>21</v>
      </c>
      <c r="D13" s="16">
        <v>23</v>
      </c>
      <c r="E13" s="16">
        <v>54</v>
      </c>
    </row>
    <row r="14" spans="2:5" ht="13.8" thickBot="1" x14ac:dyDescent="0.3">
      <c r="B14" s="7" t="s">
        <v>31</v>
      </c>
      <c r="C14" s="22">
        <v>4</v>
      </c>
      <c r="D14" s="22">
        <v>3</v>
      </c>
      <c r="E14" s="22">
        <v>9</v>
      </c>
    </row>
    <row r="15" spans="2:5" ht="13.8" thickBot="1" x14ac:dyDescent="0.3">
      <c r="B15" s="13"/>
      <c r="C15" s="14">
        <f t="shared" ref="C15:D15" si="0">SUM(C9:C14)</f>
        <v>180</v>
      </c>
      <c r="D15" s="14">
        <f t="shared" si="0"/>
        <v>191</v>
      </c>
      <c r="E15" s="14">
        <f>SUM(E9:E14)</f>
        <v>1209</v>
      </c>
    </row>
    <row r="16" spans="2:5" x14ac:dyDescent="0.25">
      <c r="B16" s="17"/>
      <c r="C16" s="23"/>
      <c r="D16" s="23"/>
      <c r="E16" s="23"/>
    </row>
    <row r="17" spans="2:5" x14ac:dyDescent="0.25">
      <c r="B17" s="9" t="s">
        <v>32</v>
      </c>
      <c r="C17" s="18"/>
      <c r="D17" s="18"/>
      <c r="E17" s="18"/>
    </row>
    <row r="18" spans="2:5" x14ac:dyDescent="0.25">
      <c r="B18" s="7" t="s">
        <v>33</v>
      </c>
      <c r="C18" s="8">
        <v>244</v>
      </c>
      <c r="D18" s="8">
        <v>300</v>
      </c>
      <c r="E18" s="8">
        <v>360</v>
      </c>
    </row>
    <row r="19" spans="2:5" x14ac:dyDescent="0.25">
      <c r="B19" s="7" t="s">
        <v>34</v>
      </c>
      <c r="C19" s="8">
        <v>3</v>
      </c>
      <c r="D19" s="8">
        <v>6</v>
      </c>
      <c r="E19" s="16">
        <v>0</v>
      </c>
    </row>
    <row r="20" spans="2:5" x14ac:dyDescent="0.25">
      <c r="B20" s="7" t="s">
        <v>35</v>
      </c>
      <c r="C20" s="16">
        <v>0</v>
      </c>
      <c r="D20" s="8">
        <v>830</v>
      </c>
      <c r="E20" s="8">
        <v>1032</v>
      </c>
    </row>
    <row r="21" spans="2:5" x14ac:dyDescent="0.25">
      <c r="B21" s="7" t="s">
        <v>36</v>
      </c>
      <c r="C21" s="8">
        <v>597</v>
      </c>
      <c r="D21" s="8">
        <v>755</v>
      </c>
      <c r="E21" s="8">
        <v>477</v>
      </c>
    </row>
    <row r="22" spans="2:5" x14ac:dyDescent="0.25">
      <c r="B22" s="7" t="s">
        <v>37</v>
      </c>
      <c r="C22" s="8">
        <v>27</v>
      </c>
      <c r="D22" s="8">
        <v>18</v>
      </c>
      <c r="E22" s="8">
        <v>29</v>
      </c>
    </row>
    <row r="23" spans="2:5" ht="13.8" thickBot="1" x14ac:dyDescent="0.3">
      <c r="B23" s="13"/>
      <c r="C23" s="24">
        <f t="shared" ref="C23:D23" si="1">SUM(C18:C22)</f>
        <v>871</v>
      </c>
      <c r="D23" s="24">
        <f t="shared" si="1"/>
        <v>1909</v>
      </c>
      <c r="E23" s="24">
        <f>SUM(E18:E22)</f>
        <v>1898</v>
      </c>
    </row>
    <row r="24" spans="2:5" ht="13.8" thickBot="1" x14ac:dyDescent="0.3">
      <c r="B24" s="9" t="s">
        <v>38</v>
      </c>
      <c r="C24" s="14">
        <f t="shared" ref="C24:D24" si="2">C15+C23</f>
        <v>1051</v>
      </c>
      <c r="D24" s="14">
        <f t="shared" si="2"/>
        <v>2100</v>
      </c>
      <c r="E24" s="14">
        <f>E15+E23</f>
        <v>3107</v>
      </c>
    </row>
    <row r="25" spans="2:5" ht="13.8" thickTop="1" x14ac:dyDescent="0.25">
      <c r="B25" s="17"/>
      <c r="C25" s="25"/>
      <c r="D25" s="25"/>
      <c r="E25" s="25"/>
    </row>
    <row r="26" spans="2:5" x14ac:dyDescent="0.25">
      <c r="B26" s="9" t="s">
        <v>39</v>
      </c>
      <c r="C26" s="18"/>
      <c r="D26" s="18"/>
      <c r="E26" s="18"/>
    </row>
    <row r="27" spans="2:5" x14ac:dyDescent="0.25">
      <c r="B27" s="9" t="s">
        <v>40</v>
      </c>
      <c r="C27" s="18"/>
      <c r="D27" s="18"/>
      <c r="E27" s="18"/>
    </row>
    <row r="28" spans="2:5" x14ac:dyDescent="0.25">
      <c r="B28" s="7" t="s">
        <v>41</v>
      </c>
      <c r="C28" s="16">
        <v>0</v>
      </c>
      <c r="D28" s="16">
        <v>0</v>
      </c>
      <c r="E28" s="16">
        <v>0</v>
      </c>
    </row>
    <row r="29" spans="2:5" x14ac:dyDescent="0.25">
      <c r="B29" s="7" t="s">
        <v>42</v>
      </c>
      <c r="C29" s="8">
        <v>797</v>
      </c>
      <c r="D29" s="8">
        <v>830</v>
      </c>
      <c r="E29" s="8">
        <v>2488</v>
      </c>
    </row>
    <row r="30" spans="2:5" x14ac:dyDescent="0.25">
      <c r="B30" s="7" t="s">
        <v>43</v>
      </c>
      <c r="C30" s="8">
        <v>85</v>
      </c>
      <c r="D30" s="8">
        <v>122</v>
      </c>
      <c r="E30" s="8">
        <v>177</v>
      </c>
    </row>
    <row r="31" spans="2:5" ht="13.8" thickBot="1" x14ac:dyDescent="0.3">
      <c r="B31" s="7" t="s">
        <v>44</v>
      </c>
      <c r="C31" s="22">
        <v>-653</v>
      </c>
      <c r="D31" s="22">
        <v>-1192</v>
      </c>
      <c r="E31" s="22">
        <v>-2427</v>
      </c>
    </row>
    <row r="32" spans="2:5" ht="13.8" thickBot="1" x14ac:dyDescent="0.3">
      <c r="B32" s="9" t="s">
        <v>45</v>
      </c>
      <c r="C32" s="26">
        <f t="shared" ref="C32:D32" si="3">SUM(C29:C31)</f>
        <v>229</v>
      </c>
      <c r="D32" s="26">
        <f t="shared" si="3"/>
        <v>-240</v>
      </c>
      <c r="E32" s="26">
        <f>SUM(E29:E31)</f>
        <v>238</v>
      </c>
    </row>
    <row r="33" spans="2:5" ht="13.8" thickTop="1" x14ac:dyDescent="0.25">
      <c r="B33" s="9"/>
      <c r="C33" s="10"/>
      <c r="D33" s="10"/>
      <c r="E33" s="10"/>
    </row>
    <row r="34" spans="2:5" x14ac:dyDescent="0.25">
      <c r="B34" s="9" t="s">
        <v>46</v>
      </c>
      <c r="C34" s="17"/>
      <c r="D34" s="17"/>
      <c r="E34" s="17"/>
    </row>
    <row r="35" spans="2:5" x14ac:dyDescent="0.25">
      <c r="B35" s="7" t="s">
        <v>47</v>
      </c>
      <c r="C35" s="15">
        <v>0</v>
      </c>
      <c r="D35" s="8">
        <v>1106</v>
      </c>
      <c r="E35" s="8">
        <v>944</v>
      </c>
    </row>
    <row r="36" spans="2:5" x14ac:dyDescent="0.25">
      <c r="B36" s="7" t="s">
        <v>48</v>
      </c>
      <c r="C36" s="11">
        <v>16</v>
      </c>
      <c r="D36" s="11">
        <v>10</v>
      </c>
      <c r="E36" s="11">
        <v>56</v>
      </c>
    </row>
    <row r="37" spans="2:5" x14ac:dyDescent="0.25">
      <c r="B37" s="7" t="s">
        <v>49</v>
      </c>
      <c r="C37" s="11">
        <v>8</v>
      </c>
      <c r="D37" s="11">
        <v>4</v>
      </c>
      <c r="E37" s="11">
        <v>6</v>
      </c>
    </row>
    <row r="38" spans="2:5" ht="13.8" thickBot="1" x14ac:dyDescent="0.3">
      <c r="B38" s="7" t="s">
        <v>50</v>
      </c>
      <c r="C38" s="27">
        <v>0</v>
      </c>
      <c r="D38" s="27">
        <v>0</v>
      </c>
      <c r="E38" s="28">
        <v>3</v>
      </c>
    </row>
    <row r="39" spans="2:5" ht="13.8" thickBot="1" x14ac:dyDescent="0.3">
      <c r="B39" s="13"/>
      <c r="C39" s="14">
        <f t="shared" ref="C39:D39" si="4">SUM(C35:C38)</f>
        <v>24</v>
      </c>
      <c r="D39" s="14">
        <f t="shared" si="4"/>
        <v>1120</v>
      </c>
      <c r="E39" s="14">
        <f>SUM(E35:E38)</f>
        <v>1009</v>
      </c>
    </row>
    <row r="40" spans="2:5" x14ac:dyDescent="0.25">
      <c r="B40" s="17"/>
      <c r="C40" s="29"/>
      <c r="D40" s="29"/>
      <c r="E40" s="29"/>
    </row>
    <row r="41" spans="2:5" x14ac:dyDescent="0.25">
      <c r="B41" s="9" t="s">
        <v>51</v>
      </c>
      <c r="C41" s="17"/>
      <c r="D41" s="17"/>
      <c r="E41" s="17"/>
    </row>
    <row r="42" spans="2:5" x14ac:dyDescent="0.25">
      <c r="B42" s="7" t="s">
        <v>52</v>
      </c>
      <c r="C42" s="11">
        <v>119</v>
      </c>
      <c r="D42" s="11">
        <v>201</v>
      </c>
      <c r="E42" s="11">
        <v>341</v>
      </c>
    </row>
    <row r="43" spans="2:5" x14ac:dyDescent="0.25">
      <c r="B43" s="7" t="s">
        <v>53</v>
      </c>
      <c r="C43" s="11">
        <v>5</v>
      </c>
      <c r="D43" s="11">
        <v>6</v>
      </c>
      <c r="E43" s="11">
        <v>9</v>
      </c>
    </row>
    <row r="44" spans="2:5" x14ac:dyDescent="0.25">
      <c r="B44" s="7" t="s">
        <v>54</v>
      </c>
      <c r="C44" s="11">
        <v>92</v>
      </c>
      <c r="D44" s="11">
        <v>149</v>
      </c>
      <c r="E44" s="11">
        <v>216</v>
      </c>
    </row>
    <row r="45" spans="2:5" x14ac:dyDescent="0.25">
      <c r="B45" s="7" t="s">
        <v>48</v>
      </c>
      <c r="C45" s="11">
        <v>485</v>
      </c>
      <c r="D45" s="11">
        <v>673</v>
      </c>
      <c r="E45" s="11">
        <v>881</v>
      </c>
    </row>
    <row r="46" spans="2:5" x14ac:dyDescent="0.25">
      <c r="B46" s="7" t="s">
        <v>49</v>
      </c>
      <c r="C46" s="11">
        <v>15</v>
      </c>
      <c r="D46" s="11">
        <v>57</v>
      </c>
      <c r="E46" s="11">
        <v>59</v>
      </c>
    </row>
    <row r="47" spans="2:5" ht="13.8" thickBot="1" x14ac:dyDescent="0.3">
      <c r="B47" s="7" t="s">
        <v>55</v>
      </c>
      <c r="C47" s="28">
        <v>82</v>
      </c>
      <c r="D47" s="28">
        <v>134</v>
      </c>
      <c r="E47" s="28">
        <v>354</v>
      </c>
    </row>
    <row r="48" spans="2:5" ht="13.8" thickBot="1" x14ac:dyDescent="0.3">
      <c r="B48" s="13"/>
      <c r="C48" s="30">
        <f t="shared" ref="C48:D48" si="5">SUM(C42:C47)</f>
        <v>798</v>
      </c>
      <c r="D48" s="30">
        <f t="shared" si="5"/>
        <v>1220</v>
      </c>
      <c r="E48" s="30">
        <f>SUM(E42:E47)</f>
        <v>1860</v>
      </c>
    </row>
    <row r="49" spans="2:5" x14ac:dyDescent="0.25">
      <c r="B49" s="9" t="s">
        <v>56</v>
      </c>
      <c r="C49" s="14">
        <f t="shared" ref="C49:D49" si="6">C39+C48</f>
        <v>822</v>
      </c>
      <c r="D49" s="14">
        <f t="shared" si="6"/>
        <v>2340</v>
      </c>
      <c r="E49" s="14">
        <f>E39+E48</f>
        <v>2869</v>
      </c>
    </row>
    <row r="50" spans="2:5" ht="13.8" thickBot="1" x14ac:dyDescent="0.3">
      <c r="B50" s="9" t="s">
        <v>57</v>
      </c>
      <c r="C50" s="31">
        <f t="shared" ref="C50:D50" si="7">C49+C32</f>
        <v>1051</v>
      </c>
      <c r="D50" s="31">
        <f t="shared" si="7"/>
        <v>2100</v>
      </c>
      <c r="E50" s="31">
        <f>E49+E32</f>
        <v>3107</v>
      </c>
    </row>
    <row r="51" spans="2:5" ht="13.8" thickTop="1" x14ac:dyDescent="0.25"/>
    <row r="52" spans="2:5" x14ac:dyDescent="0.25">
      <c r="B52" s="2" t="s">
        <v>169</v>
      </c>
      <c r="C52" s="68">
        <f>C18+C19+C22-C42-C43-C44-C45</f>
        <v>-427</v>
      </c>
      <c r="D52" s="68">
        <f t="shared" ref="D52:E52" si="8">D18+D19+D22-D42-D43-D44-D45</f>
        <v>-705</v>
      </c>
      <c r="E52" s="68">
        <f t="shared" si="8"/>
        <v>-1058</v>
      </c>
    </row>
    <row r="53" spans="2:5" x14ac:dyDescent="0.25">
      <c r="B53" s="2" t="s">
        <v>170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56"/>
  <sheetViews>
    <sheetView topLeftCell="A24" workbookViewId="0">
      <selection activeCell="B38" sqref="B38"/>
    </sheetView>
  </sheetViews>
  <sheetFormatPr defaultColWidth="9.109375" defaultRowHeight="13.2" x14ac:dyDescent="0.25"/>
  <cols>
    <col min="1" max="1" width="9.109375" style="2"/>
    <col min="2" max="2" width="54.88671875" style="2" customWidth="1"/>
    <col min="3" max="16384" width="9.109375" style="2"/>
  </cols>
  <sheetData>
    <row r="2" spans="2:5" x14ac:dyDescent="0.25">
      <c r="B2" s="1" t="s">
        <v>58</v>
      </c>
    </row>
    <row r="3" spans="2:5" x14ac:dyDescent="0.25">
      <c r="B3" s="1" t="s">
        <v>1</v>
      </c>
    </row>
    <row r="4" spans="2:5" x14ac:dyDescent="0.25">
      <c r="B4" s="3" t="s">
        <v>23</v>
      </c>
    </row>
    <row r="5" spans="2:5" x14ac:dyDescent="0.25">
      <c r="B5" s="4"/>
    </row>
    <row r="6" spans="2:5" ht="13.8" thickBot="1" x14ac:dyDescent="0.3">
      <c r="B6" s="5"/>
      <c r="C6" s="32">
        <v>2015</v>
      </c>
      <c r="D6" s="32">
        <v>2016</v>
      </c>
      <c r="E6" s="32">
        <v>2017</v>
      </c>
    </row>
    <row r="7" spans="2:5" x14ac:dyDescent="0.25">
      <c r="B7" s="9" t="s">
        <v>59</v>
      </c>
      <c r="C7" s="17"/>
      <c r="D7" s="17"/>
      <c r="E7" s="17"/>
    </row>
    <row r="8" spans="2:5" x14ac:dyDescent="0.25">
      <c r="B8" s="7" t="s">
        <v>60</v>
      </c>
      <c r="C8" s="11">
        <v>-230</v>
      </c>
      <c r="D8" s="11">
        <v>-539</v>
      </c>
      <c r="E8" s="8">
        <v>-1235</v>
      </c>
    </row>
    <row r="9" spans="2:5" ht="16.5" customHeight="1" x14ac:dyDescent="0.25">
      <c r="B9" s="7" t="s">
        <v>61</v>
      </c>
      <c r="C9" s="17"/>
      <c r="D9" s="17"/>
      <c r="E9" s="17"/>
    </row>
    <row r="10" spans="2:5" x14ac:dyDescent="0.25">
      <c r="B10" s="33" t="s">
        <v>62</v>
      </c>
      <c r="C10" s="11">
        <v>26</v>
      </c>
      <c r="D10" s="11">
        <v>32</v>
      </c>
      <c r="E10" s="11">
        <v>46</v>
      </c>
    </row>
    <row r="11" spans="2:5" x14ac:dyDescent="0.25">
      <c r="B11" s="33" t="s">
        <v>63</v>
      </c>
      <c r="C11" s="11">
        <v>4</v>
      </c>
      <c r="D11" s="11">
        <v>6</v>
      </c>
      <c r="E11" s="11">
        <v>8</v>
      </c>
    </row>
    <row r="12" spans="2:5" x14ac:dyDescent="0.25">
      <c r="B12" s="33" t="s">
        <v>64</v>
      </c>
      <c r="C12" s="11">
        <v>28</v>
      </c>
      <c r="D12" s="11">
        <v>53</v>
      </c>
      <c r="E12" s="11">
        <v>65</v>
      </c>
    </row>
    <row r="13" spans="2:5" x14ac:dyDescent="0.25">
      <c r="B13" s="33" t="s">
        <v>65</v>
      </c>
      <c r="C13" s="15">
        <v>0</v>
      </c>
      <c r="D13" s="11">
        <v>15</v>
      </c>
      <c r="E13" s="15">
        <v>0</v>
      </c>
    </row>
    <row r="14" spans="2:5" x14ac:dyDescent="0.25">
      <c r="B14" s="33" t="s">
        <v>10</v>
      </c>
      <c r="C14" s="11">
        <v>-36</v>
      </c>
      <c r="D14" s="11">
        <v>-152</v>
      </c>
      <c r="E14" s="11">
        <v>-118</v>
      </c>
    </row>
    <row r="15" spans="2:5" x14ac:dyDescent="0.25">
      <c r="B15" s="33" t="s">
        <v>11</v>
      </c>
      <c r="C15" s="11">
        <v>26</v>
      </c>
      <c r="D15" s="11">
        <v>336</v>
      </c>
      <c r="E15" s="11">
        <v>974</v>
      </c>
    </row>
    <row r="16" spans="2:5" x14ac:dyDescent="0.25">
      <c r="B16" s="33" t="s">
        <v>16</v>
      </c>
      <c r="C16" s="11">
        <v>5</v>
      </c>
      <c r="D16" s="11">
        <v>4</v>
      </c>
      <c r="E16" s="11">
        <v>2</v>
      </c>
    </row>
    <row r="17" spans="2:5" x14ac:dyDescent="0.25">
      <c r="B17" s="33" t="s">
        <v>12</v>
      </c>
      <c r="C17" s="15">
        <v>0</v>
      </c>
      <c r="D17" s="11">
        <v>2</v>
      </c>
      <c r="E17" s="11">
        <v>-1</v>
      </c>
    </row>
    <row r="18" spans="2:5" x14ac:dyDescent="0.25">
      <c r="B18" s="33" t="s">
        <v>66</v>
      </c>
      <c r="C18" s="11">
        <v>-33</v>
      </c>
      <c r="D18" s="11">
        <v>42</v>
      </c>
      <c r="E18" s="11">
        <v>-3</v>
      </c>
    </row>
    <row r="19" spans="2:5" x14ac:dyDescent="0.25">
      <c r="B19" s="7" t="s">
        <v>67</v>
      </c>
      <c r="C19" s="17"/>
      <c r="D19" s="17"/>
      <c r="E19" s="17"/>
    </row>
    <row r="20" spans="2:5" x14ac:dyDescent="0.25">
      <c r="B20" s="33" t="s">
        <v>68</v>
      </c>
      <c r="C20" s="11">
        <v>-121</v>
      </c>
      <c r="D20" s="11">
        <v>-60</v>
      </c>
      <c r="E20" s="11">
        <v>-112</v>
      </c>
    </row>
    <row r="21" spans="2:5" x14ac:dyDescent="0.25">
      <c r="B21" s="33" t="s">
        <v>69</v>
      </c>
      <c r="C21" s="11">
        <v>251</v>
      </c>
      <c r="D21" s="11">
        <v>245</v>
      </c>
      <c r="E21" s="11">
        <v>447</v>
      </c>
    </row>
    <row r="22" spans="2:5" x14ac:dyDescent="0.25">
      <c r="B22" s="33" t="s">
        <v>70</v>
      </c>
      <c r="C22" s="11">
        <v>25</v>
      </c>
      <c r="D22" s="11">
        <v>77</v>
      </c>
      <c r="E22" s="11">
        <v>77</v>
      </c>
    </row>
    <row r="23" spans="2:5" x14ac:dyDescent="0.25">
      <c r="B23" s="33" t="s">
        <v>71</v>
      </c>
      <c r="C23" s="11">
        <v>20</v>
      </c>
      <c r="D23" s="11">
        <v>38</v>
      </c>
      <c r="E23" s="11">
        <v>8</v>
      </c>
    </row>
    <row r="24" spans="2:5" x14ac:dyDescent="0.25">
      <c r="B24" s="7" t="s">
        <v>72</v>
      </c>
      <c r="C24" s="11">
        <v>2</v>
      </c>
      <c r="D24" s="11">
        <v>5</v>
      </c>
      <c r="E24" s="11">
        <v>19</v>
      </c>
    </row>
    <row r="25" spans="2:5" x14ac:dyDescent="0.25">
      <c r="B25" s="7" t="s">
        <v>73</v>
      </c>
      <c r="C25" s="11">
        <v>-1</v>
      </c>
      <c r="D25" s="15">
        <v>0</v>
      </c>
      <c r="E25" s="15">
        <v>0</v>
      </c>
    </row>
    <row r="26" spans="2:5" ht="13.8" thickBot="1" x14ac:dyDescent="0.3">
      <c r="B26" s="7" t="s">
        <v>74</v>
      </c>
      <c r="C26" s="11">
        <v>-4</v>
      </c>
      <c r="D26" s="11">
        <v>-4</v>
      </c>
      <c r="E26" s="11">
        <v>2</v>
      </c>
    </row>
    <row r="27" spans="2:5" x14ac:dyDescent="0.25">
      <c r="B27" s="17"/>
      <c r="C27" s="29"/>
      <c r="D27" s="29"/>
      <c r="E27" s="29"/>
    </row>
    <row r="28" spans="2:5" ht="13.8" thickBot="1" x14ac:dyDescent="0.3">
      <c r="B28" s="9" t="s">
        <v>75</v>
      </c>
      <c r="C28" s="10">
        <f t="shared" ref="C28:D28" si="0">SUM(C8:C26)</f>
        <v>-38</v>
      </c>
      <c r="D28" s="10">
        <f t="shared" si="0"/>
        <v>100</v>
      </c>
      <c r="E28" s="10">
        <f>SUM(E8:E26)</f>
        <v>179</v>
      </c>
    </row>
    <row r="29" spans="2:5" x14ac:dyDescent="0.25">
      <c r="B29" s="17"/>
      <c r="C29" s="29"/>
      <c r="D29" s="29"/>
      <c r="E29" s="29"/>
    </row>
    <row r="30" spans="2:5" x14ac:dyDescent="0.25">
      <c r="B30" s="5"/>
      <c r="C30" s="5"/>
      <c r="D30" s="5"/>
      <c r="E30" s="5"/>
    </row>
    <row r="31" spans="2:5" x14ac:dyDescent="0.25">
      <c r="B31" s="9" t="s">
        <v>76</v>
      </c>
      <c r="C31" s="17"/>
      <c r="D31" s="17"/>
      <c r="E31" s="17"/>
    </row>
    <row r="32" spans="2:5" x14ac:dyDescent="0.25">
      <c r="B32" s="7" t="s">
        <v>77</v>
      </c>
      <c r="C32" s="11">
        <v>-7</v>
      </c>
      <c r="D32" s="8">
        <v>-7</v>
      </c>
      <c r="E32" s="8">
        <v>-49</v>
      </c>
    </row>
    <row r="33" spans="2:5" x14ac:dyDescent="0.25">
      <c r="B33" s="7" t="s">
        <v>28</v>
      </c>
      <c r="C33" s="11">
        <v>-1</v>
      </c>
      <c r="D33" s="8">
        <v>-1</v>
      </c>
      <c r="E33" s="16">
        <v>0</v>
      </c>
    </row>
    <row r="34" spans="2:5" x14ac:dyDescent="0.25">
      <c r="B34" s="7" t="s">
        <v>78</v>
      </c>
      <c r="C34" s="11">
        <v>-44</v>
      </c>
      <c r="D34" s="8">
        <v>-27</v>
      </c>
      <c r="E34" s="8">
        <v>-36</v>
      </c>
    </row>
    <row r="35" spans="2:5" x14ac:dyDescent="0.25">
      <c r="B35" s="7" t="s">
        <v>79</v>
      </c>
      <c r="C35" s="11">
        <v>-5</v>
      </c>
      <c r="D35" s="8">
        <v>-3</v>
      </c>
      <c r="E35" s="8">
        <v>-10</v>
      </c>
    </row>
    <row r="36" spans="2:5" x14ac:dyDescent="0.25">
      <c r="B36" s="7" t="s">
        <v>80</v>
      </c>
      <c r="C36" s="15">
        <v>0</v>
      </c>
      <c r="D36" s="8">
        <v>-1397</v>
      </c>
      <c r="E36" s="8">
        <v>-1386</v>
      </c>
    </row>
    <row r="37" spans="2:5" x14ac:dyDescent="0.25">
      <c r="B37" s="7" t="s">
        <v>81</v>
      </c>
      <c r="C37" s="15">
        <v>0</v>
      </c>
      <c r="D37" s="8">
        <v>609</v>
      </c>
      <c r="E37" s="8">
        <v>1080</v>
      </c>
    </row>
    <row r="38" spans="2:5" ht="13.8" thickBot="1" x14ac:dyDescent="0.3">
      <c r="B38" s="7" t="s">
        <v>82</v>
      </c>
      <c r="C38" s="11">
        <v>-10</v>
      </c>
      <c r="D38" s="8">
        <v>-1</v>
      </c>
      <c r="E38" s="8">
        <v>-34</v>
      </c>
    </row>
    <row r="39" spans="2:5" x14ac:dyDescent="0.25">
      <c r="B39" s="17"/>
      <c r="C39" s="29"/>
      <c r="D39" s="29"/>
      <c r="E39" s="29"/>
    </row>
    <row r="40" spans="2:5" ht="13.8" thickBot="1" x14ac:dyDescent="0.3">
      <c r="B40" s="9" t="s">
        <v>83</v>
      </c>
      <c r="C40" s="10">
        <f t="shared" ref="C40:D40" si="1">SUM(C32:C38)</f>
        <v>-67</v>
      </c>
      <c r="D40" s="10">
        <f t="shared" si="1"/>
        <v>-827</v>
      </c>
      <c r="E40" s="10">
        <f>SUM(E32:E38)</f>
        <v>-435</v>
      </c>
    </row>
    <row r="41" spans="2:5" x14ac:dyDescent="0.25">
      <c r="B41" s="17"/>
      <c r="C41" s="29"/>
      <c r="D41" s="29"/>
      <c r="E41" s="29"/>
    </row>
    <row r="42" spans="2:5" x14ac:dyDescent="0.25">
      <c r="B42" s="5"/>
      <c r="C42" s="5"/>
      <c r="D42" s="5"/>
      <c r="E42" s="5"/>
    </row>
    <row r="43" spans="2:5" x14ac:dyDescent="0.25">
      <c r="B43" s="9" t="s">
        <v>84</v>
      </c>
      <c r="C43" s="17"/>
      <c r="D43" s="17"/>
      <c r="E43" s="17"/>
    </row>
    <row r="44" spans="2:5" x14ac:dyDescent="0.25">
      <c r="B44" s="7" t="s">
        <v>85</v>
      </c>
      <c r="C44" s="11">
        <v>-4</v>
      </c>
      <c r="D44" s="11">
        <v>-5</v>
      </c>
      <c r="E44" s="11">
        <v>-4</v>
      </c>
    </row>
    <row r="45" spans="2:5" x14ac:dyDescent="0.25">
      <c r="B45" s="7" t="s">
        <v>86</v>
      </c>
      <c r="C45" s="15">
        <v>0</v>
      </c>
      <c r="D45" s="11">
        <v>861</v>
      </c>
      <c r="E45" s="15">
        <v>0</v>
      </c>
    </row>
    <row r="46" spans="2:5" x14ac:dyDescent="0.25">
      <c r="B46" s="7" t="s">
        <v>87</v>
      </c>
      <c r="C46" s="11">
        <v>474</v>
      </c>
      <c r="D46" s="15">
        <v>0</v>
      </c>
      <c r="E46" s="15">
        <v>0</v>
      </c>
    </row>
    <row r="47" spans="2:5" x14ac:dyDescent="0.25">
      <c r="B47" s="7" t="s">
        <v>88</v>
      </c>
      <c r="C47" s="15">
        <v>0</v>
      </c>
      <c r="D47" s="11">
        <v>27</v>
      </c>
      <c r="E47" s="11">
        <v>9</v>
      </c>
    </row>
    <row r="48" spans="2:5" ht="13.8" thickBot="1" x14ac:dyDescent="0.3">
      <c r="B48" s="7" t="s">
        <v>89</v>
      </c>
      <c r="C48" s="11">
        <v>6</v>
      </c>
      <c r="D48" s="11">
        <v>33</v>
      </c>
      <c r="E48" s="11">
        <v>29</v>
      </c>
    </row>
    <row r="49" spans="2:5" x14ac:dyDescent="0.25">
      <c r="B49" s="17"/>
      <c r="C49" s="29"/>
      <c r="D49" s="29"/>
      <c r="E49" s="29"/>
    </row>
    <row r="50" spans="2:5" ht="13.8" thickBot="1" x14ac:dyDescent="0.3">
      <c r="B50" s="9" t="s">
        <v>90</v>
      </c>
      <c r="C50" s="10">
        <f t="shared" ref="C50:D50" si="2">SUM(C44:C48)</f>
        <v>476</v>
      </c>
      <c r="D50" s="10">
        <f t="shared" si="2"/>
        <v>916</v>
      </c>
      <c r="E50" s="10">
        <f>SUM(E44:E48)</f>
        <v>34</v>
      </c>
    </row>
    <row r="51" spans="2:5" x14ac:dyDescent="0.25">
      <c r="B51" s="17"/>
      <c r="C51" s="29"/>
      <c r="D51" s="29"/>
      <c r="E51" s="29"/>
    </row>
    <row r="52" spans="2:5" x14ac:dyDescent="0.25">
      <c r="B52" s="9" t="s">
        <v>91</v>
      </c>
      <c r="C52" s="10">
        <v>371</v>
      </c>
      <c r="D52" s="10">
        <v>190</v>
      </c>
      <c r="E52" s="10">
        <v>-222</v>
      </c>
    </row>
    <row r="53" spans="2:5" x14ac:dyDescent="0.25">
      <c r="B53" s="7" t="s">
        <v>92</v>
      </c>
      <c r="C53" s="11">
        <v>206</v>
      </c>
      <c r="D53" s="11">
        <v>597</v>
      </c>
      <c r="E53" s="11">
        <v>755</v>
      </c>
    </row>
    <row r="54" spans="2:5" ht="27" thickBot="1" x14ac:dyDescent="0.3">
      <c r="B54" s="7" t="s">
        <v>93</v>
      </c>
      <c r="C54" s="11">
        <v>20</v>
      </c>
      <c r="D54" s="11">
        <v>-32</v>
      </c>
      <c r="E54" s="11">
        <v>-56</v>
      </c>
    </row>
    <row r="55" spans="2:5" x14ac:dyDescent="0.25">
      <c r="B55" s="17"/>
      <c r="C55" s="29"/>
      <c r="D55" s="29"/>
      <c r="E55" s="29"/>
    </row>
    <row r="56" spans="2:5" x14ac:dyDescent="0.25">
      <c r="B56" s="9" t="s">
        <v>94</v>
      </c>
      <c r="C56" s="10">
        <f t="shared" ref="C56:D56" si="3">SUM(C52:C54)</f>
        <v>597</v>
      </c>
      <c r="D56" s="10">
        <f t="shared" si="3"/>
        <v>755</v>
      </c>
      <c r="E56" s="10">
        <f>SUM(E52:E54)</f>
        <v>477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E43"/>
  <sheetViews>
    <sheetView topLeftCell="A15" workbookViewId="0">
      <selection activeCell="B29" sqref="B29"/>
    </sheetView>
  </sheetViews>
  <sheetFormatPr defaultColWidth="9.109375" defaultRowHeight="13.2" x14ac:dyDescent="0.25"/>
  <cols>
    <col min="1" max="1" width="9.109375" style="2"/>
    <col min="2" max="2" width="37.88671875" style="2" customWidth="1"/>
    <col min="3" max="3" width="13.109375" style="2" customWidth="1"/>
    <col min="4" max="4" width="14.44140625" style="2" bestFit="1" customWidth="1"/>
    <col min="5" max="5" width="16.6640625" style="2" customWidth="1"/>
    <col min="6" max="16384" width="9.109375" style="2"/>
  </cols>
  <sheetData>
    <row r="2" spans="2:5" ht="13.8" thickBot="1" x14ac:dyDescent="0.3">
      <c r="C2" s="34">
        <v>2015</v>
      </c>
      <c r="D2" s="34">
        <v>2016</v>
      </c>
      <c r="E2" s="34">
        <v>2017</v>
      </c>
    </row>
    <row r="3" spans="2:5" x14ac:dyDescent="0.25">
      <c r="B3" s="17"/>
      <c r="C3" s="35"/>
      <c r="D3" s="35"/>
      <c r="E3" s="35" t="s">
        <v>95</v>
      </c>
    </row>
    <row r="4" spans="2:5" x14ac:dyDescent="0.25">
      <c r="B4" s="9" t="s">
        <v>96</v>
      </c>
      <c r="C4" s="17"/>
      <c r="D4" s="17"/>
      <c r="E4" s="17"/>
    </row>
    <row r="5" spans="2:5" x14ac:dyDescent="0.25">
      <c r="B5" s="7" t="s">
        <v>3</v>
      </c>
      <c r="C5" s="8">
        <v>1744</v>
      </c>
      <c r="D5" s="8">
        <v>2657</v>
      </c>
      <c r="E5" s="8">
        <v>3674</v>
      </c>
    </row>
    <row r="6" spans="2:5" x14ac:dyDescent="0.25">
      <c r="B6" s="7" t="s">
        <v>4</v>
      </c>
      <c r="C6" s="36">
        <v>1492</v>
      </c>
      <c r="D6" s="36">
        <v>2228</v>
      </c>
      <c r="E6" s="36">
        <v>2868</v>
      </c>
    </row>
    <row r="7" spans="2:5" ht="13.8" thickBot="1" x14ac:dyDescent="0.3">
      <c r="B7" s="9" t="s">
        <v>5</v>
      </c>
      <c r="C7" s="14">
        <f>C5-C6</f>
        <v>252</v>
      </c>
      <c r="D7" s="14">
        <f>D5-D6</f>
        <v>429</v>
      </c>
      <c r="E7" s="14">
        <f>E5-E6</f>
        <v>806</v>
      </c>
    </row>
    <row r="8" spans="2:5" ht="13.8" thickTop="1" x14ac:dyDescent="0.25">
      <c r="B8" s="17"/>
      <c r="C8" s="20"/>
      <c r="D8" s="20"/>
      <c r="E8" s="20"/>
    </row>
    <row r="9" spans="2:5" x14ac:dyDescent="0.25">
      <c r="B9" s="17"/>
      <c r="C9" s="5"/>
      <c r="D9" s="5"/>
      <c r="E9" s="5"/>
    </row>
    <row r="10" spans="2:5" x14ac:dyDescent="0.25">
      <c r="B10" s="9" t="s">
        <v>97</v>
      </c>
      <c r="C10" s="17"/>
      <c r="D10" s="17"/>
      <c r="E10" s="17"/>
    </row>
    <row r="11" spans="2:5" x14ac:dyDescent="0.25">
      <c r="B11" s="7" t="s">
        <v>3</v>
      </c>
      <c r="C11" s="11">
        <v>196</v>
      </c>
      <c r="D11" s="11">
        <v>295</v>
      </c>
      <c r="E11" s="11">
        <v>416</v>
      </c>
    </row>
    <row r="12" spans="2:5" x14ac:dyDescent="0.25">
      <c r="B12" s="7" t="s">
        <v>4</v>
      </c>
      <c r="C12" s="12">
        <v>227</v>
      </c>
      <c r="D12" s="12">
        <v>330</v>
      </c>
      <c r="E12" s="12">
        <v>373</v>
      </c>
    </row>
    <row r="13" spans="2:5" ht="13.8" thickBot="1" x14ac:dyDescent="0.3">
      <c r="B13" s="9" t="s">
        <v>98</v>
      </c>
      <c r="C13" s="10">
        <f t="shared" ref="C13:D13" si="0">C11-C12</f>
        <v>-31</v>
      </c>
      <c r="D13" s="10">
        <f t="shared" si="0"/>
        <v>-35</v>
      </c>
      <c r="E13" s="10">
        <f>E11-E12</f>
        <v>43</v>
      </c>
    </row>
    <row r="14" spans="2:5" ht="13.8" thickTop="1" x14ac:dyDescent="0.25">
      <c r="B14" s="17"/>
      <c r="C14" s="20"/>
      <c r="D14" s="20"/>
      <c r="E14" s="20"/>
    </row>
    <row r="15" spans="2:5" x14ac:dyDescent="0.25">
      <c r="B15" s="17"/>
      <c r="C15" s="5"/>
      <c r="D15" s="5"/>
      <c r="E15" s="5"/>
    </row>
    <row r="16" spans="2:5" x14ac:dyDescent="0.25">
      <c r="B16" s="9" t="s">
        <v>99</v>
      </c>
      <c r="C16" s="17"/>
      <c r="D16" s="17"/>
      <c r="E16" s="17"/>
    </row>
    <row r="17" spans="2:5" x14ac:dyDescent="0.25">
      <c r="B17" s="7" t="s">
        <v>3</v>
      </c>
      <c r="C17" s="8">
        <v>1940</v>
      </c>
      <c r="D17" s="8">
        <v>2952</v>
      </c>
      <c r="E17" s="8">
        <v>4090</v>
      </c>
    </row>
    <row r="18" spans="2:5" x14ac:dyDescent="0.25">
      <c r="B18" s="7" t="s">
        <v>4</v>
      </c>
      <c r="C18" s="36">
        <v>1714</v>
      </c>
      <c r="D18" s="36">
        <v>2551</v>
      </c>
      <c r="E18" s="36">
        <v>3241</v>
      </c>
    </row>
    <row r="19" spans="2:5" ht="13.8" thickBot="1" x14ac:dyDescent="0.3">
      <c r="B19" s="9" t="s">
        <v>5</v>
      </c>
      <c r="C19" s="37" t="s">
        <v>100</v>
      </c>
      <c r="D19" s="37" t="s">
        <v>101</v>
      </c>
      <c r="E19" s="31">
        <f>E17-E18</f>
        <v>849</v>
      </c>
    </row>
    <row r="20" spans="2:5" ht="13.8" thickTop="1" x14ac:dyDescent="0.25"/>
    <row r="22" spans="2:5" x14ac:dyDescent="0.25">
      <c r="B22" s="3" t="s">
        <v>102</v>
      </c>
    </row>
    <row r="23" spans="2:5" ht="66.75" customHeight="1" x14ac:dyDescent="0.25">
      <c r="B23" s="261" t="s">
        <v>103</v>
      </c>
      <c r="C23" s="261"/>
      <c r="D23" s="261"/>
      <c r="E23" s="261"/>
    </row>
    <row r="25" spans="2:5" ht="13.8" thickBot="1" x14ac:dyDescent="0.3">
      <c r="C25" s="34">
        <v>2015</v>
      </c>
      <c r="D25" s="34">
        <v>2016</v>
      </c>
      <c r="E25" s="34">
        <v>2017</v>
      </c>
    </row>
    <row r="26" spans="2:5" x14ac:dyDescent="0.25">
      <c r="C26" s="35"/>
      <c r="D26" s="35"/>
      <c r="E26" s="35" t="s">
        <v>95</v>
      </c>
    </row>
    <row r="27" spans="2:5" x14ac:dyDescent="0.25">
      <c r="B27" s="9" t="s">
        <v>104</v>
      </c>
      <c r="C27" s="10">
        <v>226</v>
      </c>
      <c r="D27" s="10">
        <v>401</v>
      </c>
      <c r="E27" s="10">
        <v>849</v>
      </c>
    </row>
    <row r="28" spans="2:5" x14ac:dyDescent="0.25">
      <c r="B28" s="7" t="s">
        <v>6</v>
      </c>
      <c r="C28" s="11">
        <v>-136</v>
      </c>
      <c r="D28" s="11">
        <v>-207</v>
      </c>
      <c r="E28" s="11">
        <v>-396</v>
      </c>
    </row>
    <row r="29" spans="2:5" x14ac:dyDescent="0.25">
      <c r="B29" s="7" t="s">
        <v>7</v>
      </c>
      <c r="C29" s="11">
        <v>-219</v>
      </c>
      <c r="D29" s="11">
        <v>-368</v>
      </c>
      <c r="E29" s="11">
        <v>-567</v>
      </c>
    </row>
    <row r="30" spans="2:5" x14ac:dyDescent="0.25">
      <c r="B30" s="7" t="s">
        <v>8</v>
      </c>
      <c r="C30" s="11">
        <v>-106</v>
      </c>
      <c r="D30" s="11">
        <v>-175</v>
      </c>
      <c r="E30" s="11">
        <v>-264</v>
      </c>
    </row>
    <row r="31" spans="2:5" x14ac:dyDescent="0.25">
      <c r="B31" s="7" t="s">
        <v>10</v>
      </c>
      <c r="C31" s="11">
        <v>36</v>
      </c>
      <c r="D31" s="11">
        <v>152</v>
      </c>
      <c r="E31" s="11">
        <v>118</v>
      </c>
    </row>
    <row r="32" spans="2:5" x14ac:dyDescent="0.25">
      <c r="B32" s="7" t="s">
        <v>11</v>
      </c>
      <c r="C32" s="11">
        <v>-26</v>
      </c>
      <c r="D32" s="11">
        <v>-336</v>
      </c>
      <c r="E32" s="11">
        <v>-974</v>
      </c>
    </row>
    <row r="33" spans="2:5" ht="26.4" x14ac:dyDescent="0.25">
      <c r="B33" s="7" t="s">
        <v>12</v>
      </c>
      <c r="C33" s="38" t="s">
        <v>13</v>
      </c>
      <c r="D33" s="12">
        <v>-2</v>
      </c>
      <c r="E33" s="12">
        <v>1</v>
      </c>
    </row>
    <row r="34" spans="2:5" ht="13.8" thickBot="1" x14ac:dyDescent="0.3">
      <c r="B34" s="9" t="s">
        <v>15</v>
      </c>
      <c r="C34" s="10">
        <f t="shared" ref="C34" si="1">C27+SUM(C28:C33)</f>
        <v>-225</v>
      </c>
      <c r="D34" s="10">
        <f>D27+SUM(D28:D33)</f>
        <v>-535</v>
      </c>
      <c r="E34" s="14">
        <f>E27+SUM(E28:E33)</f>
        <v>-1233</v>
      </c>
    </row>
    <row r="35" spans="2:5" ht="13.8" thickTop="1" x14ac:dyDescent="0.25">
      <c r="B35" s="17"/>
      <c r="C35" s="20"/>
      <c r="D35" s="20"/>
      <c r="E35" s="20"/>
    </row>
    <row r="36" spans="2:5" ht="13.8" thickBot="1" x14ac:dyDescent="0.3">
      <c r="B36" s="4"/>
      <c r="C36" s="34">
        <v>2015</v>
      </c>
      <c r="D36" s="34">
        <v>2016</v>
      </c>
      <c r="E36" s="34">
        <v>2017</v>
      </c>
    </row>
    <row r="37" spans="2:5" x14ac:dyDescent="0.25">
      <c r="B37" s="3" t="s">
        <v>105</v>
      </c>
      <c r="C37" s="35"/>
      <c r="D37" s="35"/>
      <c r="E37" s="35" t="s">
        <v>95</v>
      </c>
    </row>
    <row r="38" spans="2:5" x14ac:dyDescent="0.25">
      <c r="B38" s="7" t="s">
        <v>106</v>
      </c>
      <c r="C38" s="11">
        <v>741</v>
      </c>
      <c r="D38" s="8">
        <v>1173</v>
      </c>
      <c r="E38" s="8">
        <v>1577</v>
      </c>
    </row>
    <row r="39" spans="2:5" x14ac:dyDescent="0.25">
      <c r="B39" s="7" t="s">
        <v>107</v>
      </c>
      <c r="C39" s="11">
        <v>268</v>
      </c>
      <c r="D39" s="11">
        <v>342</v>
      </c>
      <c r="E39" s="11">
        <v>444</v>
      </c>
    </row>
    <row r="40" spans="2:5" x14ac:dyDescent="0.25">
      <c r="B40" s="7" t="s">
        <v>108</v>
      </c>
      <c r="C40" s="11">
        <v>1</v>
      </c>
      <c r="D40" s="11">
        <v>1</v>
      </c>
      <c r="E40" s="11">
        <v>3</v>
      </c>
    </row>
    <row r="41" spans="2:5" x14ac:dyDescent="0.25">
      <c r="B41" s="7" t="s">
        <v>109</v>
      </c>
      <c r="C41" s="12">
        <v>930</v>
      </c>
      <c r="D41" s="36">
        <v>1436</v>
      </c>
      <c r="E41" s="36">
        <v>2066</v>
      </c>
    </row>
    <row r="42" spans="2:5" ht="13.8" thickBot="1" x14ac:dyDescent="0.3">
      <c r="B42" s="13"/>
      <c r="C42" s="14">
        <f t="shared" ref="C42:D42" si="2">SUM(C38:C41)</f>
        <v>1940</v>
      </c>
      <c r="D42" s="14">
        <f t="shared" si="2"/>
        <v>2952</v>
      </c>
      <c r="E42" s="14">
        <f>SUM(E38:E41)</f>
        <v>4090</v>
      </c>
    </row>
    <row r="43" spans="2:5" ht="13.8" thickTop="1" x14ac:dyDescent="0.25">
      <c r="B43" s="17"/>
      <c r="C43" s="20"/>
      <c r="D43" s="20"/>
      <c r="E43" s="20"/>
    </row>
  </sheetData>
  <mergeCells count="1">
    <mergeCell ref="B23:E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O39"/>
  <sheetViews>
    <sheetView topLeftCell="B1" zoomScale="64" workbookViewId="0">
      <selection activeCell="E19" sqref="E19"/>
    </sheetView>
  </sheetViews>
  <sheetFormatPr defaultColWidth="8.88671875" defaultRowHeight="13.2" x14ac:dyDescent="0.25"/>
  <cols>
    <col min="1" max="1" width="33.5546875" style="39" customWidth="1"/>
    <col min="2" max="2" width="13" style="39" customWidth="1"/>
    <col min="3" max="3" width="14.5546875" style="39" customWidth="1"/>
    <col min="4" max="10" width="15.33203125" style="39" customWidth="1"/>
    <col min="11" max="11" width="10.6640625" style="39" bestFit="1" customWidth="1"/>
    <col min="12" max="12" width="11.44140625" style="39" customWidth="1"/>
    <col min="13" max="16384" width="8.88671875" style="39"/>
  </cols>
  <sheetData>
    <row r="2" spans="1:13" ht="42" x14ac:dyDescent="0.25">
      <c r="A2" s="225" t="s">
        <v>110</v>
      </c>
      <c r="B2" s="226" t="s">
        <v>111</v>
      </c>
      <c r="C2" s="226" t="s">
        <v>112</v>
      </c>
      <c r="D2" s="226" t="s">
        <v>113</v>
      </c>
      <c r="E2" s="226" t="s">
        <v>254</v>
      </c>
      <c r="F2" s="226" t="s">
        <v>115</v>
      </c>
      <c r="G2" s="226" t="s">
        <v>255</v>
      </c>
      <c r="H2" s="226" t="s">
        <v>117</v>
      </c>
      <c r="I2" s="226" t="s">
        <v>118</v>
      </c>
      <c r="J2" s="226" t="s">
        <v>119</v>
      </c>
      <c r="L2" s="226" t="s">
        <v>238</v>
      </c>
      <c r="M2" s="226" t="s">
        <v>239</v>
      </c>
    </row>
    <row r="3" spans="1:13" x14ac:dyDescent="0.25">
      <c r="A3" s="227" t="s">
        <v>120</v>
      </c>
      <c r="B3" s="43">
        <v>178.91</v>
      </c>
      <c r="C3" s="44">
        <v>2569.5</v>
      </c>
      <c r="D3" s="44">
        <v>459705.2</v>
      </c>
      <c r="E3" s="44">
        <v>-15074.3</v>
      </c>
      <c r="F3" s="44">
        <v>456971</v>
      </c>
      <c r="G3" s="45">
        <v>9.3800000000000008</v>
      </c>
      <c r="H3" s="44">
        <v>36081.5</v>
      </c>
      <c r="I3" s="44">
        <v>14222.7</v>
      </c>
      <c r="J3" s="46">
        <v>0.57709999999999995</v>
      </c>
    </row>
    <row r="4" spans="1:13" x14ac:dyDescent="0.25">
      <c r="A4" s="227" t="s">
        <v>121</v>
      </c>
      <c r="B4" s="43">
        <v>1431.42</v>
      </c>
      <c r="C4" s="44">
        <v>484.1</v>
      </c>
      <c r="D4" s="44">
        <v>692960.7</v>
      </c>
      <c r="E4" s="44">
        <v>13161</v>
      </c>
      <c r="F4" s="44">
        <v>706121.7</v>
      </c>
      <c r="G4" s="45">
        <v>22.7</v>
      </c>
      <c r="H4" s="44">
        <v>177866</v>
      </c>
      <c r="I4" s="44">
        <v>15039</v>
      </c>
      <c r="J4" s="46">
        <v>0.308</v>
      </c>
    </row>
    <row r="5" spans="1:13" s="196" customFormat="1" x14ac:dyDescent="0.25">
      <c r="A5" s="191" t="s">
        <v>122</v>
      </c>
      <c r="B5" s="203">
        <v>166.48</v>
      </c>
      <c r="C5" s="193">
        <v>5074</v>
      </c>
      <c r="D5" s="193">
        <v>844721.7</v>
      </c>
      <c r="E5" s="193">
        <v>45247</v>
      </c>
      <c r="F5" s="193">
        <v>889968.7</v>
      </c>
      <c r="G5" s="194">
        <v>26.01</v>
      </c>
      <c r="H5" s="193">
        <v>239176</v>
      </c>
      <c r="I5" s="193">
        <v>74174</v>
      </c>
      <c r="J5" s="192">
        <v>9.6500000000000002E-2</v>
      </c>
      <c r="L5" s="196">
        <f>F5/H5</f>
        <v>3.7209782754122487</v>
      </c>
      <c r="M5" s="196">
        <f>F5/I5</f>
        <v>11.998391619705018</v>
      </c>
    </row>
    <row r="6" spans="1:13" x14ac:dyDescent="0.25">
      <c r="A6" s="227" t="s">
        <v>123</v>
      </c>
      <c r="B6" s="43">
        <v>223.1</v>
      </c>
      <c r="C6" s="44">
        <v>348.2</v>
      </c>
      <c r="D6" s="44">
        <v>77675</v>
      </c>
      <c r="E6" s="44">
        <v>-11997.8</v>
      </c>
      <c r="F6" s="44">
        <v>68388.2</v>
      </c>
      <c r="G6" s="45">
        <v>42.96</v>
      </c>
      <c r="H6" s="44">
        <v>13485.5</v>
      </c>
      <c r="I6" s="44">
        <v>4361.8</v>
      </c>
      <c r="J6" s="46">
        <v>0.2021</v>
      </c>
      <c r="L6" s="196">
        <f t="shared" ref="L6:L16" si="0">F6/H6</f>
        <v>5.071239479440881</v>
      </c>
      <c r="M6" s="196">
        <f t="shared" ref="M6:M16" si="1">F6/I6</f>
        <v>15.678894034572881</v>
      </c>
    </row>
    <row r="7" spans="1:13" x14ac:dyDescent="0.25">
      <c r="A7" s="227" t="s">
        <v>124</v>
      </c>
      <c r="B7" s="43">
        <v>33.28</v>
      </c>
      <c r="C7" s="44">
        <v>4644.5</v>
      </c>
      <c r="D7" s="44">
        <v>154569.20000000001</v>
      </c>
      <c r="E7" s="44">
        <v>61119</v>
      </c>
      <c r="F7" s="44">
        <v>217888.2</v>
      </c>
      <c r="G7" s="45">
        <v>-9.9700000000000006</v>
      </c>
      <c r="H7" s="44">
        <v>84526</v>
      </c>
      <c r="I7" s="44">
        <v>27812</v>
      </c>
      <c r="J7" s="46">
        <v>5.1299999999999998E-2</v>
      </c>
      <c r="L7" s="196">
        <f t="shared" si="0"/>
        <v>2.5777654212904908</v>
      </c>
      <c r="M7" s="196">
        <f t="shared" si="1"/>
        <v>7.8343233136775501</v>
      </c>
    </row>
    <row r="8" spans="1:13" x14ac:dyDescent="0.25">
      <c r="A8" s="227" t="s">
        <v>125</v>
      </c>
      <c r="B8" s="43">
        <v>40.11</v>
      </c>
      <c r="C8" s="44">
        <v>1012.1</v>
      </c>
      <c r="D8" s="44">
        <v>40594.5</v>
      </c>
      <c r="E8" s="44">
        <v>4152</v>
      </c>
      <c r="F8" s="44">
        <v>44746.5</v>
      </c>
      <c r="G8" s="45">
        <v>3.13</v>
      </c>
      <c r="H8" s="44">
        <v>9567</v>
      </c>
      <c r="I8" s="44">
        <v>2941</v>
      </c>
      <c r="J8" s="46">
        <v>6.5500000000000003E-2</v>
      </c>
      <c r="L8" s="196">
        <f t="shared" si="0"/>
        <v>4.6771715271244902</v>
      </c>
      <c r="M8" s="196">
        <f t="shared" si="1"/>
        <v>15.214722883373001</v>
      </c>
    </row>
    <row r="9" spans="1:13" x14ac:dyDescent="0.25">
      <c r="A9" s="227" t="s">
        <v>126</v>
      </c>
      <c r="B9" s="43">
        <v>153.03</v>
      </c>
      <c r="C9" s="44">
        <v>2905</v>
      </c>
      <c r="D9" s="44">
        <v>444552.3</v>
      </c>
      <c r="E9" s="44">
        <v>-41711</v>
      </c>
      <c r="F9" s="44">
        <v>402841.3</v>
      </c>
      <c r="G9" s="45">
        <v>18.670000000000002</v>
      </c>
      <c r="H9" s="44">
        <v>40653</v>
      </c>
      <c r="I9" s="44">
        <v>23228</v>
      </c>
      <c r="J9" s="46">
        <v>0.47089999999999999</v>
      </c>
      <c r="L9" s="196">
        <f t="shared" si="0"/>
        <v>9.9092637689715399</v>
      </c>
      <c r="M9" s="196">
        <f t="shared" si="1"/>
        <v>17.342918029963837</v>
      </c>
    </row>
    <row r="10" spans="1:13" s="196" customFormat="1" x14ac:dyDescent="0.25">
      <c r="A10" s="191" t="s">
        <v>127</v>
      </c>
      <c r="B10" s="203">
        <v>285.77</v>
      </c>
      <c r="C10" s="193">
        <v>433.9</v>
      </c>
      <c r="D10" s="193">
        <v>124009.5</v>
      </c>
      <c r="E10" s="193">
        <v>3676.6</v>
      </c>
      <c r="F10" s="193">
        <v>127686.1</v>
      </c>
      <c r="G10" s="194">
        <v>-15.67</v>
      </c>
      <c r="H10" s="193">
        <v>11692.7</v>
      </c>
      <c r="I10" s="193">
        <v>910.6</v>
      </c>
      <c r="J10" s="192">
        <v>0.3241</v>
      </c>
      <c r="L10" s="196">
        <f t="shared" si="0"/>
        <v>10.920155310578394</v>
      </c>
      <c r="M10" s="196">
        <f t="shared" si="1"/>
        <v>140.2219415769822</v>
      </c>
    </row>
    <row r="11" spans="1:13" x14ac:dyDescent="0.25">
      <c r="A11" s="227" t="s">
        <v>128</v>
      </c>
      <c r="B11" s="43">
        <v>4.96</v>
      </c>
      <c r="C11" s="44">
        <v>254.9</v>
      </c>
      <c r="D11" s="44">
        <v>1264.2</v>
      </c>
      <c r="E11" s="44">
        <v>-227.8</v>
      </c>
      <c r="F11" s="44">
        <v>1527.2</v>
      </c>
      <c r="G11" s="45">
        <v>0.04</v>
      </c>
      <c r="H11" s="44">
        <v>1466.8</v>
      </c>
      <c r="I11" s="44">
        <v>-289</v>
      </c>
      <c r="J11" s="46">
        <v>5.9200000000000003E-2</v>
      </c>
      <c r="L11" s="196">
        <f t="shared" si="0"/>
        <v>1.04117807472048</v>
      </c>
      <c r="M11" s="196">
        <f t="shared" si="1"/>
        <v>-5.2844290657439448</v>
      </c>
    </row>
    <row r="12" spans="1:13" x14ac:dyDescent="0.25">
      <c r="A12" s="227" t="s">
        <v>129</v>
      </c>
      <c r="B12" s="43">
        <v>98.54</v>
      </c>
      <c r="C12" s="44">
        <v>1503.7</v>
      </c>
      <c r="D12" s="44">
        <v>148172.20000000001</v>
      </c>
      <c r="E12" s="44">
        <v>21414</v>
      </c>
      <c r="F12" s="44">
        <v>174522.2</v>
      </c>
      <c r="G12" s="45">
        <v>3.29</v>
      </c>
      <c r="H12" s="44">
        <v>55704</v>
      </c>
      <c r="I12" s="44">
        <v>16912</v>
      </c>
      <c r="J12" s="46">
        <v>9.5999999999999992E-3</v>
      </c>
      <c r="L12" s="196">
        <f t="shared" si="0"/>
        <v>3.1330281487864426</v>
      </c>
      <c r="M12" s="196">
        <f t="shared" si="1"/>
        <v>10.319429990539263</v>
      </c>
    </row>
    <row r="13" spans="1:13" x14ac:dyDescent="0.25">
      <c r="A13" s="227" t="s">
        <v>130</v>
      </c>
      <c r="B13" s="43">
        <v>94.2</v>
      </c>
      <c r="C13" s="44">
        <v>779.9</v>
      </c>
      <c r="D13" s="44">
        <v>73462</v>
      </c>
      <c r="E13" s="44">
        <v>21123</v>
      </c>
      <c r="F13" s="44">
        <v>94621</v>
      </c>
      <c r="G13" s="45">
        <v>-8.49</v>
      </c>
      <c r="H13" s="44">
        <v>31271</v>
      </c>
      <c r="I13" s="44">
        <v>9081</v>
      </c>
      <c r="J13" s="46">
        <v>6.6600000000000006E-2</v>
      </c>
      <c r="L13" s="196">
        <f t="shared" si="0"/>
        <v>3.025838636436315</v>
      </c>
      <c r="M13" s="196">
        <f t="shared" si="1"/>
        <v>10.419667437506883</v>
      </c>
    </row>
    <row r="14" spans="1:13" x14ac:dyDescent="0.25">
      <c r="A14" s="227" t="s">
        <v>131</v>
      </c>
      <c r="B14" s="43">
        <v>35.880000000000003</v>
      </c>
      <c r="C14" s="44">
        <v>1852.5</v>
      </c>
      <c r="D14" s="44">
        <v>66165.3</v>
      </c>
      <c r="E14" s="44">
        <v>13985</v>
      </c>
      <c r="F14" s="44">
        <v>82104.3</v>
      </c>
      <c r="G14" s="45">
        <v>-2.15</v>
      </c>
      <c r="H14" s="44">
        <v>29351</v>
      </c>
      <c r="I14" s="44">
        <v>6540</v>
      </c>
      <c r="J14" s="46">
        <v>4.5900000000000003E-2</v>
      </c>
      <c r="L14" s="196">
        <f t="shared" si="0"/>
        <v>2.7973254744301728</v>
      </c>
      <c r="M14" s="196">
        <f t="shared" si="1"/>
        <v>12.554174311926605</v>
      </c>
    </row>
    <row r="15" spans="1:13" x14ac:dyDescent="0.25">
      <c r="A15" s="227" t="s">
        <v>132</v>
      </c>
      <c r="B15" s="43">
        <v>28.45</v>
      </c>
      <c r="C15" s="44">
        <v>748.1</v>
      </c>
      <c r="D15" s="44">
        <v>21284.5</v>
      </c>
      <c r="E15" s="44">
        <v>-2609.4</v>
      </c>
      <c r="F15" s="44">
        <v>18675.099999999999</v>
      </c>
      <c r="G15" s="45">
        <v>5.12</v>
      </c>
      <c r="H15" s="44">
        <v>2443.3000000000002</v>
      </c>
      <c r="I15" s="44">
        <v>344.8</v>
      </c>
      <c r="J15" s="46">
        <v>-3.4099999999999998E-2</v>
      </c>
      <c r="L15" s="196">
        <f t="shared" si="0"/>
        <v>7.6433921335898161</v>
      </c>
      <c r="M15" s="196">
        <f t="shared" si="1"/>
        <v>54.162122969837583</v>
      </c>
    </row>
    <row r="16" spans="1:13" x14ac:dyDescent="0.25">
      <c r="A16" s="228" t="s">
        <v>133</v>
      </c>
      <c r="B16" s="48">
        <v>65.14</v>
      </c>
      <c r="C16" s="49">
        <v>88.5</v>
      </c>
      <c r="D16" s="49">
        <v>5765.1</v>
      </c>
      <c r="E16" s="49">
        <v>-204.5</v>
      </c>
      <c r="F16" s="49">
        <v>5560.6</v>
      </c>
      <c r="G16" s="50">
        <v>-0.57999999999999996</v>
      </c>
      <c r="H16" s="49">
        <v>4720.8999999999996</v>
      </c>
      <c r="I16" s="49">
        <v>-174.2</v>
      </c>
      <c r="J16" s="51">
        <v>0.39660000000000001</v>
      </c>
      <c r="L16" s="196">
        <f t="shared" si="0"/>
        <v>1.1778686267449006</v>
      </c>
      <c r="M16" s="196">
        <f t="shared" si="1"/>
        <v>-31.920780711825493</v>
      </c>
    </row>
    <row r="17" spans="1:15" x14ac:dyDescent="0.25">
      <c r="A17" s="21"/>
    </row>
    <row r="19" spans="1:15" ht="52.8" x14ac:dyDescent="0.25">
      <c r="A19" s="225" t="s">
        <v>110</v>
      </c>
      <c r="B19" s="226" t="s">
        <v>134</v>
      </c>
      <c r="C19" s="226" t="s">
        <v>256</v>
      </c>
      <c r="D19" s="226" t="s">
        <v>257</v>
      </c>
      <c r="E19" s="226" t="s">
        <v>137</v>
      </c>
      <c r="F19" s="226" t="s">
        <v>138</v>
      </c>
      <c r="G19" s="226" t="s">
        <v>139</v>
      </c>
      <c r="H19" s="226" t="s">
        <v>140</v>
      </c>
      <c r="I19" s="226" t="s">
        <v>141</v>
      </c>
      <c r="J19" s="226" t="s">
        <v>142</v>
      </c>
      <c r="L19" s="229" t="s">
        <v>193</v>
      </c>
    </row>
    <row r="20" spans="1:15" x14ac:dyDescent="0.25">
      <c r="A20" s="227" t="s">
        <v>120</v>
      </c>
      <c r="B20" s="46">
        <v>0.313</v>
      </c>
      <c r="C20" s="44">
        <v>50077.42</v>
      </c>
      <c r="D20" s="44">
        <v>21196.81</v>
      </c>
      <c r="E20" s="45">
        <v>2.58</v>
      </c>
      <c r="F20" s="45">
        <v>13.1</v>
      </c>
      <c r="G20" s="45">
        <v>44.2</v>
      </c>
      <c r="H20" s="52">
        <v>19.7</v>
      </c>
      <c r="I20" s="52">
        <v>9.1300000000000008</v>
      </c>
      <c r="J20" s="52">
        <v>21.56</v>
      </c>
    </row>
    <row r="21" spans="1:15" x14ac:dyDescent="0.25">
      <c r="A21" s="227" t="s">
        <v>121</v>
      </c>
      <c r="B21" s="46">
        <v>2.3E-2</v>
      </c>
      <c r="C21" s="44">
        <v>233498.44</v>
      </c>
      <c r="D21" s="44">
        <v>26976.18</v>
      </c>
      <c r="E21" s="45">
        <v>1.55</v>
      </c>
      <c r="F21" s="45">
        <v>4</v>
      </c>
      <c r="G21" s="45">
        <v>47</v>
      </c>
      <c r="H21" s="52">
        <v>63.1</v>
      </c>
      <c r="I21" s="52">
        <v>3.02</v>
      </c>
      <c r="J21" s="52">
        <v>26.18</v>
      </c>
    </row>
    <row r="22" spans="1:15" s="196" customFormat="1" x14ac:dyDescent="0.25">
      <c r="A22" s="191" t="s">
        <v>122</v>
      </c>
      <c r="B22" s="192">
        <v>0.26900000000000002</v>
      </c>
      <c r="C22" s="193">
        <v>263346.37</v>
      </c>
      <c r="D22" s="193">
        <v>80278.740000000005</v>
      </c>
      <c r="E22" s="194">
        <v>1.18</v>
      </c>
      <c r="F22" s="194">
        <v>3.7</v>
      </c>
      <c r="G22" s="194">
        <v>12</v>
      </c>
      <c r="H22" s="195">
        <v>6.4</v>
      </c>
      <c r="I22" s="195">
        <v>3.38</v>
      </c>
      <c r="J22" s="195">
        <v>11.09</v>
      </c>
      <c r="K22" s="196" t="s">
        <v>236</v>
      </c>
      <c r="L22" s="202">
        <v>93735</v>
      </c>
      <c r="M22" s="230">
        <f>L22/(L22+D5)</f>
        <v>9.9882072342815612E-2</v>
      </c>
      <c r="N22" s="231">
        <f>1-M22</f>
        <v>0.90011792765718435</v>
      </c>
      <c r="O22" s="232">
        <f>E22/(1+(1-0.25)*M22/N22)</f>
        <v>1.0893405526058115</v>
      </c>
    </row>
    <row r="23" spans="1:15" x14ac:dyDescent="0.25">
      <c r="A23" s="227" t="s">
        <v>123</v>
      </c>
      <c r="B23" s="46">
        <v>0.185</v>
      </c>
      <c r="C23" s="44">
        <v>15953.04</v>
      </c>
      <c r="D23" s="44">
        <v>4214.04</v>
      </c>
      <c r="E23" s="45">
        <v>1.77</v>
      </c>
      <c r="F23" s="45">
        <v>5.2</v>
      </c>
      <c r="G23" s="45">
        <v>16.3</v>
      </c>
      <c r="H23" s="52">
        <v>5.4</v>
      </c>
      <c r="I23" s="52">
        <v>4.29</v>
      </c>
      <c r="J23" s="52">
        <v>16.23</v>
      </c>
    </row>
    <row r="24" spans="1:15" ht="15.6" x14ac:dyDescent="0.25">
      <c r="A24" s="227" t="s">
        <v>124</v>
      </c>
      <c r="B24" s="46">
        <v>0.20799999999999999</v>
      </c>
      <c r="C24" s="44">
        <v>89550.32</v>
      </c>
      <c r="D24" s="44">
        <v>29456.58</v>
      </c>
      <c r="E24" s="45">
        <v>1.1599999999999999</v>
      </c>
      <c r="F24" s="45">
        <v>2.6</v>
      </c>
      <c r="G24" s="45">
        <v>7.8</v>
      </c>
      <c r="H24" s="52" t="s">
        <v>143</v>
      </c>
      <c r="I24" s="52">
        <v>2.4300000000000002</v>
      </c>
      <c r="J24" s="52">
        <v>7.4</v>
      </c>
    </row>
    <row r="25" spans="1:15" x14ac:dyDescent="0.25">
      <c r="A25" s="227" t="s">
        <v>125</v>
      </c>
      <c r="B25" s="46">
        <v>0.23699999999999999</v>
      </c>
      <c r="C25" s="44">
        <v>10962.01</v>
      </c>
      <c r="D25" s="44">
        <v>3721.61</v>
      </c>
      <c r="E25" s="45">
        <v>1.06</v>
      </c>
      <c r="F25" s="45">
        <v>4.7</v>
      </c>
      <c r="G25" s="45">
        <v>15.2</v>
      </c>
      <c r="H25" s="52">
        <v>12.8</v>
      </c>
      <c r="I25" s="52">
        <v>4.08</v>
      </c>
      <c r="J25" s="52">
        <v>12.02</v>
      </c>
    </row>
    <row r="26" spans="1:15" x14ac:dyDescent="0.25">
      <c r="A26" s="227" t="s">
        <v>126</v>
      </c>
      <c r="B26" s="46">
        <v>0.497</v>
      </c>
      <c r="C26" s="44">
        <v>55284.56</v>
      </c>
      <c r="D26" s="44">
        <v>33601.339999999997</v>
      </c>
      <c r="E26" s="45">
        <v>0.66</v>
      </c>
      <c r="F26" s="45">
        <v>9.9</v>
      </c>
      <c r="G26" s="45">
        <v>17.3</v>
      </c>
      <c r="H26" s="52">
        <v>8.1999999999999993</v>
      </c>
      <c r="I26" s="52">
        <v>7.29</v>
      </c>
      <c r="J26" s="52">
        <v>11.99</v>
      </c>
    </row>
    <row r="27" spans="1:15" s="196" customFormat="1" x14ac:dyDescent="0.25">
      <c r="A27" s="191" t="s">
        <v>127</v>
      </c>
      <c r="B27" s="192">
        <v>7.1999999999999995E-2</v>
      </c>
      <c r="C27" s="193">
        <v>15862.46</v>
      </c>
      <c r="D27" s="193">
        <v>1922.95</v>
      </c>
      <c r="E27" s="194">
        <v>0.96</v>
      </c>
      <c r="F27" s="194">
        <v>10.9</v>
      </c>
      <c r="G27" s="194">
        <v>140.19999999999999</v>
      </c>
      <c r="H27" s="195" t="s">
        <v>144</v>
      </c>
      <c r="I27" s="195">
        <v>8.0500000000000007</v>
      </c>
      <c r="J27" s="195">
        <v>66.400000000000006</v>
      </c>
      <c r="K27" s="196" t="s">
        <v>236</v>
      </c>
      <c r="L27" s="196">
        <v>6499.43</v>
      </c>
      <c r="M27" s="230">
        <f>L27/(L27+D10)</f>
        <v>4.9800653487849456E-2</v>
      </c>
      <c r="N27" s="231">
        <f>1-M27</f>
        <v>0.95019934651215054</v>
      </c>
      <c r="O27" s="232">
        <f>E27/(1+(1-0.25)*M27/N27)</f>
        <v>0.92369148251425715</v>
      </c>
    </row>
    <row r="28" spans="1:15" x14ac:dyDescent="0.25">
      <c r="A28" s="227" t="s">
        <v>128</v>
      </c>
      <c r="B28" s="46">
        <v>-0.23</v>
      </c>
      <c r="C28" s="44">
        <v>1505.75</v>
      </c>
      <c r="D28" s="44">
        <v>-98.17</v>
      </c>
      <c r="E28" s="45">
        <v>-0.4</v>
      </c>
      <c r="F28" s="45">
        <v>1</v>
      </c>
      <c r="G28" s="45">
        <v>0</v>
      </c>
      <c r="H28" s="52">
        <v>111.4</v>
      </c>
      <c r="I28" s="52">
        <v>1.01</v>
      </c>
      <c r="J28" s="52" t="s">
        <v>144</v>
      </c>
      <c r="O28" s="233"/>
    </row>
    <row r="29" spans="1:15" x14ac:dyDescent="0.25">
      <c r="A29" s="227" t="s">
        <v>129</v>
      </c>
      <c r="B29" s="46">
        <v>0.253</v>
      </c>
      <c r="C29" s="44">
        <v>58771.31</v>
      </c>
      <c r="D29" s="44">
        <v>17847.82</v>
      </c>
      <c r="E29" s="45">
        <v>1.31</v>
      </c>
      <c r="F29" s="45">
        <v>3.1</v>
      </c>
      <c r="G29" s="45">
        <v>10.199999999999999</v>
      </c>
      <c r="H29" s="52">
        <v>30</v>
      </c>
      <c r="I29" s="52">
        <v>2.97</v>
      </c>
      <c r="J29" s="52">
        <v>9.7799999999999994</v>
      </c>
      <c r="O29" s="233"/>
    </row>
    <row r="30" spans="1:15" x14ac:dyDescent="0.25">
      <c r="A30" s="227" t="s">
        <v>130</v>
      </c>
      <c r="B30" s="46">
        <v>0.26800000000000002</v>
      </c>
      <c r="C30" s="44">
        <v>32566.25</v>
      </c>
      <c r="D30" s="44">
        <v>9448.41</v>
      </c>
      <c r="E30" s="45">
        <v>0.92</v>
      </c>
      <c r="F30" s="45">
        <v>3</v>
      </c>
      <c r="G30" s="45">
        <v>10.6</v>
      </c>
      <c r="H30" s="52" t="s">
        <v>144</v>
      </c>
      <c r="I30" s="52">
        <v>2.91</v>
      </c>
      <c r="J30" s="52">
        <v>10.01</v>
      </c>
      <c r="O30" s="233"/>
    </row>
    <row r="31" spans="1:15" x14ac:dyDescent="0.25">
      <c r="A31" s="227" t="s">
        <v>131</v>
      </c>
      <c r="B31" s="46">
        <v>0.20399999999999999</v>
      </c>
      <c r="C31" s="44">
        <v>31296.14</v>
      </c>
      <c r="D31" s="44">
        <v>7492.9</v>
      </c>
      <c r="E31" s="45">
        <v>1.26</v>
      </c>
      <c r="F31" s="45">
        <v>2.8</v>
      </c>
      <c r="G31" s="45">
        <v>12.6</v>
      </c>
      <c r="H31" s="52" t="s">
        <v>144</v>
      </c>
      <c r="I31" s="52">
        <v>2.62</v>
      </c>
      <c r="J31" s="52">
        <v>10.96</v>
      </c>
      <c r="O31" s="233"/>
    </row>
    <row r="32" spans="1:15" s="235" customFormat="1" x14ac:dyDescent="0.25">
      <c r="A32" s="234" t="s">
        <v>132</v>
      </c>
      <c r="B32" s="71">
        <v>1.9E-2</v>
      </c>
      <c r="C32" s="72">
        <v>2704.45</v>
      </c>
      <c r="D32" s="72">
        <v>964.67</v>
      </c>
      <c r="E32" s="76">
        <v>0.8</v>
      </c>
      <c r="F32" s="73">
        <v>7.6</v>
      </c>
      <c r="G32" s="73">
        <v>54.2</v>
      </c>
      <c r="H32" s="74">
        <v>5.6</v>
      </c>
      <c r="I32" s="74">
        <v>6.91</v>
      </c>
      <c r="J32" s="74">
        <v>19.36</v>
      </c>
      <c r="K32" s="235" t="s">
        <v>235</v>
      </c>
      <c r="L32" s="236">
        <v>1627.46</v>
      </c>
      <c r="M32" s="237">
        <f>L32/(L32+D15)</f>
        <v>7.103102484466628E-2</v>
      </c>
      <c r="N32" s="238">
        <f>1-M32</f>
        <v>0.92896897515533372</v>
      </c>
      <c r="O32" s="239">
        <f>E32/(1+(1-0.25)*M32/N32)</f>
        <v>0.75661089188914776</v>
      </c>
    </row>
    <row r="33" spans="1:10" x14ac:dyDescent="0.25">
      <c r="A33" s="228" t="s">
        <v>133</v>
      </c>
      <c r="B33" s="51">
        <v>-4.8000000000000001E-2</v>
      </c>
      <c r="C33" s="49">
        <v>6242.32</v>
      </c>
      <c r="D33" s="49">
        <v>-99.07</v>
      </c>
      <c r="E33" s="50">
        <v>1.27</v>
      </c>
      <c r="F33" s="50">
        <v>1.2</v>
      </c>
      <c r="G33" s="50">
        <v>0</v>
      </c>
      <c r="H33" s="53" t="s">
        <v>144</v>
      </c>
      <c r="I33" s="53">
        <v>0.89</v>
      </c>
      <c r="J33" s="53" t="s">
        <v>144</v>
      </c>
    </row>
    <row r="34" spans="1:10" x14ac:dyDescent="0.25">
      <c r="E34" s="76">
        <f>AVERAGE(E22,E27)</f>
        <v>1.0699999999999998</v>
      </c>
      <c r="F34" s="39" t="s">
        <v>195</v>
      </c>
    </row>
    <row r="36" spans="1:10" ht="15.6" x14ac:dyDescent="0.25">
      <c r="A36" s="39" t="s">
        <v>145</v>
      </c>
    </row>
    <row r="39" spans="1:10" x14ac:dyDescent="0.25">
      <c r="A39" s="240" t="s">
        <v>237</v>
      </c>
      <c r="B39" s="241">
        <v>177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7"/>
  <sheetViews>
    <sheetView workbookViewId="0">
      <selection activeCell="A17" sqref="A17"/>
    </sheetView>
  </sheetViews>
  <sheetFormatPr defaultRowHeight="14.4" x14ac:dyDescent="0.3"/>
  <cols>
    <col min="1" max="1" width="22.88671875" customWidth="1"/>
    <col min="2" max="3" width="26" customWidth="1"/>
  </cols>
  <sheetData>
    <row r="1" spans="1:3" ht="15" thickBot="1" x14ac:dyDescent="0.35"/>
    <row r="2" spans="1:3" s="56" customFormat="1" ht="43.8" thickBot="1" x14ac:dyDescent="0.35">
      <c r="A2" s="54" t="s">
        <v>146</v>
      </c>
      <c r="B2" s="55" t="s">
        <v>147</v>
      </c>
      <c r="C2" s="55" t="s">
        <v>150</v>
      </c>
    </row>
    <row r="3" spans="1:3" ht="15" thickBot="1" x14ac:dyDescent="0.35">
      <c r="A3" s="57"/>
      <c r="B3" s="58"/>
      <c r="C3" s="58"/>
    </row>
    <row r="4" spans="1:3" ht="15" thickBot="1" x14ac:dyDescent="0.35">
      <c r="A4" s="59">
        <v>2018</v>
      </c>
      <c r="B4" s="60">
        <v>-2.0799999999999999E-2</v>
      </c>
      <c r="C4" s="61">
        <v>255.63</v>
      </c>
    </row>
    <row r="5" spans="1:3" ht="15" thickBot="1" x14ac:dyDescent="0.35">
      <c r="A5" s="59">
        <v>2019</v>
      </c>
      <c r="B5" s="60">
        <v>-4.1000000000000003E-3</v>
      </c>
      <c r="C5" s="61">
        <v>319.52999999999997</v>
      </c>
    </row>
    <row r="6" spans="1:3" ht="15" thickBot="1" x14ac:dyDescent="0.35">
      <c r="A6" s="59">
        <v>2020</v>
      </c>
      <c r="B6" s="60">
        <v>1.26E-2</v>
      </c>
      <c r="C6" s="61">
        <v>399.41</v>
      </c>
    </row>
    <row r="7" spans="1:3" ht="15" thickBot="1" x14ac:dyDescent="0.35">
      <c r="A7" s="59">
        <v>2021</v>
      </c>
      <c r="B7" s="60">
        <v>2.9399999999999999E-2</v>
      </c>
      <c r="C7" s="61">
        <v>499.27</v>
      </c>
    </row>
    <row r="8" spans="1:3" ht="15" thickBot="1" x14ac:dyDescent="0.35">
      <c r="A8" s="59">
        <v>2022</v>
      </c>
      <c r="B8" s="60">
        <v>4.6100000000000002E-2</v>
      </c>
      <c r="C8" s="61">
        <v>624.08000000000004</v>
      </c>
    </row>
    <row r="9" spans="1:3" ht="15" thickBot="1" x14ac:dyDescent="0.35">
      <c r="A9" s="59">
        <v>2023</v>
      </c>
      <c r="B9" s="60">
        <v>6.2799999999999995E-2</v>
      </c>
      <c r="C9" s="61">
        <v>624.08000000000004</v>
      </c>
    </row>
    <row r="10" spans="1:3" ht="15" thickBot="1" x14ac:dyDescent="0.35">
      <c r="A10" s="59">
        <v>2024</v>
      </c>
      <c r="B10" s="60">
        <v>7.9500000000000001E-2</v>
      </c>
      <c r="C10" s="61">
        <v>561.67999999999995</v>
      </c>
    </row>
    <row r="11" spans="1:3" ht="15" thickBot="1" x14ac:dyDescent="0.35">
      <c r="A11" s="59">
        <v>2025</v>
      </c>
      <c r="B11" s="60">
        <v>9.6299999999999997E-2</v>
      </c>
      <c r="C11" s="61">
        <v>473.68</v>
      </c>
    </row>
    <row r="12" spans="1:3" ht="15" thickBot="1" x14ac:dyDescent="0.35">
      <c r="A12" s="59">
        <v>2026</v>
      </c>
      <c r="B12" s="60">
        <v>0.113</v>
      </c>
      <c r="C12" s="61">
        <v>382.39</v>
      </c>
    </row>
    <row r="13" spans="1:3" ht="15" thickBot="1" x14ac:dyDescent="0.35">
      <c r="A13" s="59">
        <v>2027</v>
      </c>
      <c r="B13" s="60">
        <v>0.12970000000000001</v>
      </c>
      <c r="C13" s="61">
        <v>258.11</v>
      </c>
    </row>
    <row r="16" spans="1:3" x14ac:dyDescent="0.3">
      <c r="A16" s="62" t="s">
        <v>148</v>
      </c>
    </row>
    <row r="17" spans="1:1" x14ac:dyDescent="0.3">
      <c r="A17" s="62" t="s">
        <v>149</v>
      </c>
    </row>
  </sheetData>
  <hyperlinks>
    <hyperlink ref="A16" location="_ftnref1" display="_ftnref1" xr:uid="{00000000-0004-0000-0600-000000000000}"/>
    <hyperlink ref="A17" location="_ftnref2" display="_ftnref2" xr:uid="{00000000-0004-0000-06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7374-638F-46B8-94E1-414537199898}">
  <dimension ref="A2:O17"/>
  <sheetViews>
    <sheetView workbookViewId="0">
      <selection activeCell="C11" sqref="C11"/>
    </sheetView>
  </sheetViews>
  <sheetFormatPr defaultRowHeight="14.4" x14ac:dyDescent="0.3"/>
  <cols>
    <col min="1" max="1" width="16.109375" style="112" customWidth="1"/>
    <col min="2" max="2" width="19.5546875" style="112" bestFit="1" customWidth="1"/>
    <col min="3" max="3" width="10.44140625" style="112" customWidth="1"/>
    <col min="4" max="5" width="8.88671875" style="112"/>
    <col min="6" max="6" width="12.33203125" style="112" bestFit="1" customWidth="1"/>
    <col min="7" max="7" width="7" style="112" bestFit="1" customWidth="1"/>
    <col min="8" max="10" width="8.88671875" style="112"/>
    <col min="11" max="11" width="23" style="112" bestFit="1" customWidth="1"/>
    <col min="12" max="12" width="9.21875" style="112" bestFit="1" customWidth="1"/>
    <col min="13" max="13" width="8.88671875" style="112"/>
    <col min="14" max="14" width="18.5546875" style="112" bestFit="1" customWidth="1"/>
    <col min="15" max="16384" width="8.88671875" style="112"/>
  </cols>
  <sheetData>
    <row r="2" spans="1:15" x14ac:dyDescent="0.3">
      <c r="B2" s="165" t="s">
        <v>210</v>
      </c>
    </row>
    <row r="3" spans="1:15" x14ac:dyDescent="0.3">
      <c r="F3" s="166" t="s">
        <v>186</v>
      </c>
      <c r="G3" s="117"/>
      <c r="K3" s="160" t="s">
        <v>219</v>
      </c>
      <c r="L3" s="117"/>
      <c r="N3" s="167" t="s">
        <v>225</v>
      </c>
      <c r="O3" s="117"/>
    </row>
    <row r="4" spans="1:15" x14ac:dyDescent="0.3">
      <c r="B4" s="112" t="s">
        <v>181</v>
      </c>
      <c r="C4" s="161">
        <f>C11/(C11+C17)</f>
        <v>2.5085609620132199E-3</v>
      </c>
      <c r="F4" s="117" t="s">
        <v>188</v>
      </c>
      <c r="G4" s="168">
        <v>4.3200000000000002E-2</v>
      </c>
      <c r="H4" s="112" t="s">
        <v>218</v>
      </c>
      <c r="K4" s="117" t="s">
        <v>220</v>
      </c>
      <c r="L4" s="117" t="s">
        <v>223</v>
      </c>
      <c r="N4" s="117" t="s">
        <v>226</v>
      </c>
      <c r="O4" s="117" t="s">
        <v>229</v>
      </c>
    </row>
    <row r="5" spans="1:15" x14ac:dyDescent="0.3">
      <c r="B5" s="112" t="s">
        <v>182</v>
      </c>
      <c r="C5" s="162">
        <f>L7</f>
        <v>6.4599999999999991E-2</v>
      </c>
      <c r="F5" s="117" t="s">
        <v>216</v>
      </c>
      <c r="G5" s="117">
        <v>2.09</v>
      </c>
      <c r="H5" s="112" t="s">
        <v>217</v>
      </c>
      <c r="K5" s="117" t="s">
        <v>221</v>
      </c>
      <c r="L5" s="168">
        <v>6.0999999999999999E-2</v>
      </c>
      <c r="N5" s="117" t="s">
        <v>227</v>
      </c>
      <c r="O5" s="168">
        <v>2.1999999999999999E-2</v>
      </c>
    </row>
    <row r="6" spans="1:15" x14ac:dyDescent="0.3">
      <c r="B6" s="112" t="s">
        <v>183</v>
      </c>
      <c r="C6" s="163">
        <v>0.21</v>
      </c>
      <c r="F6" s="117" t="s">
        <v>190</v>
      </c>
      <c r="G6" s="169">
        <v>0.05</v>
      </c>
      <c r="K6" s="117" t="s">
        <v>222</v>
      </c>
      <c r="L6" s="168">
        <v>7.1800000000000003E-2</v>
      </c>
      <c r="N6" s="117" t="s">
        <v>228</v>
      </c>
      <c r="O6" s="168">
        <f>G4</f>
        <v>4.3200000000000002E-2</v>
      </c>
    </row>
    <row r="7" spans="1:15" x14ac:dyDescent="0.3">
      <c r="B7" s="112" t="s">
        <v>184</v>
      </c>
      <c r="C7" s="164">
        <f>1-C4</f>
        <v>0.99749143903798676</v>
      </c>
      <c r="F7" s="117" t="s">
        <v>185</v>
      </c>
      <c r="G7" s="168">
        <f>G4+G5*G6</f>
        <v>0.1477</v>
      </c>
      <c r="K7" s="117" t="s">
        <v>224</v>
      </c>
      <c r="L7" s="170">
        <f>2/3*L5+(1/3*L6)</f>
        <v>6.4599999999999991E-2</v>
      </c>
      <c r="N7" s="117" t="s">
        <v>228</v>
      </c>
      <c r="O7" s="168">
        <f>O5+O6</f>
        <v>6.5200000000000008E-2</v>
      </c>
    </row>
    <row r="8" spans="1:15" x14ac:dyDescent="0.3">
      <c r="B8" s="112" t="s">
        <v>185</v>
      </c>
      <c r="C8" s="162">
        <f>G7</f>
        <v>0.1477</v>
      </c>
    </row>
    <row r="9" spans="1:15" x14ac:dyDescent="0.3">
      <c r="B9" s="112" t="s">
        <v>179</v>
      </c>
      <c r="C9" s="162">
        <f>C4*C5*(1-C6)+C7*C8</f>
        <v>0.14745750744604602</v>
      </c>
    </row>
    <row r="11" spans="1:15" ht="28.8" x14ac:dyDescent="0.3">
      <c r="A11" s="171" t="s">
        <v>215</v>
      </c>
      <c r="B11" s="160" t="s">
        <v>193</v>
      </c>
      <c r="C11" s="117">
        <v>2331</v>
      </c>
    </row>
    <row r="12" spans="1:15" x14ac:dyDescent="0.3">
      <c r="B12" s="158" t="s">
        <v>211</v>
      </c>
      <c r="C12" s="117">
        <v>1459</v>
      </c>
    </row>
    <row r="13" spans="1:15" x14ac:dyDescent="0.3">
      <c r="B13" s="158" t="s">
        <v>214</v>
      </c>
      <c r="C13" s="117">
        <v>872</v>
      </c>
    </row>
    <row r="15" spans="1:15" x14ac:dyDescent="0.3">
      <c r="B15" s="159" t="s">
        <v>212</v>
      </c>
      <c r="C15" s="117">
        <v>266.5</v>
      </c>
    </row>
    <row r="16" spans="1:15" x14ac:dyDescent="0.3">
      <c r="B16" s="159" t="s">
        <v>112</v>
      </c>
      <c r="C16" s="117">
        <v>3478</v>
      </c>
    </row>
    <row r="17" spans="2:3" x14ac:dyDescent="0.3">
      <c r="B17" s="159" t="s">
        <v>213</v>
      </c>
      <c r="C17" s="117">
        <v>926887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1.2.Comps,Transtn</vt:lpstr>
      <vt:lpstr>DCF</vt:lpstr>
      <vt:lpstr>WACC</vt:lpstr>
      <vt:lpstr>Copyright</vt:lpstr>
      <vt:lpstr>Exhibit 4 (IS)</vt:lpstr>
      <vt:lpstr>Exhibit 5 (BS)</vt:lpstr>
      <vt:lpstr>Exhibit 6 (CF)</vt:lpstr>
      <vt:lpstr>Exhibit 7 (Segments)</vt:lpstr>
      <vt:lpstr>Exhibit 9 (Comps)</vt:lpstr>
      <vt:lpstr>Exhibit 10 (Forecasts)</vt:lpstr>
      <vt:lpstr>tesla_wacc</vt:lpstr>
      <vt:lpstr>'Exhibit 10 (Forecasts)'!_ftn1</vt:lpstr>
      <vt:lpstr>'Exhibit 10 (Forecasts)'!_ftn2</vt:lpstr>
      <vt:lpstr>'Exhibit 10 (Forecasts)'!_ftnref1</vt:lpstr>
      <vt:lpstr>'Exhibit 10 (Forecasts)'!_ftnref2</vt:lpstr>
    </vt:vector>
  </TitlesOfParts>
  <Company>Ivey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Foerster, Steve</dc:creator>
  <cp:lastModifiedBy>harshitha js</cp:lastModifiedBy>
  <dcterms:created xsi:type="dcterms:W3CDTF">2018-04-16T15:47:05Z</dcterms:created>
  <dcterms:modified xsi:type="dcterms:W3CDTF">2023-09-25T18:15:56Z</dcterms:modified>
</cp:coreProperties>
</file>